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80" windowHeight="11640" activeTab="0"/>
  </bookViews>
  <sheets>
    <sheet name="Proj. Uch. RM nr z 31.07.2013." sheetId="1" r:id="rId1"/>
    <sheet name="zał. nr 1" sheetId="2" r:id="rId2"/>
    <sheet name="Zał. nr 2" sheetId="3" r:id="rId3"/>
    <sheet name="zał. nr 3" sheetId="4" r:id="rId4"/>
    <sheet name="Zał nr 4" sheetId="5" r:id="rId5"/>
  </sheets>
  <definedNames>
    <definedName name="_xlnm.Print_Titles" localSheetId="1">'zał. nr 1'!$10:$12</definedName>
    <definedName name="_xlnm.Print_Titles" localSheetId="2">'Zał. nr 2'!$12:$12</definedName>
    <definedName name="_xlnm.Print_Titles" localSheetId="3">'zał. nr 3'!$13:$13</definedName>
  </definedNames>
  <calcPr fullCalcOnLoad="1"/>
</workbook>
</file>

<file path=xl/sharedStrings.xml><?xml version="1.0" encoding="utf-8"?>
<sst xmlns="http://schemas.openxmlformats.org/spreadsheetml/2006/main" count="1027" uniqueCount="670">
  <si>
    <t xml:space="preserve">Nr  54/2013 Prezydenta Miasta Konina z dnia 16 maja 2013 r.; Nr  58/2013 Prezydenta Miasta Konina </t>
  </si>
  <si>
    <t>Lp.</t>
  </si>
  <si>
    <t xml:space="preserve">SPnr 1/WO </t>
  </si>
  <si>
    <t xml:space="preserve">SPnr 3/WO </t>
  </si>
  <si>
    <t xml:space="preserve">SPnr 12/WO </t>
  </si>
  <si>
    <t xml:space="preserve">Budowa ulic na osiedlu Przydziałki - etap II </t>
  </si>
  <si>
    <t>Opracowanie dokumentacji projektowo - kosztorysowej na budowę parkingu  przy ulicy Powstańców Styczniowych 1 -3 -5</t>
  </si>
  <si>
    <t>Przebudowa parkingu przy ul. Kard. S. Wyszyńskiego 19 i 21 w Koninie</t>
  </si>
  <si>
    <t>Wykonanie ( Wyznaczenie) miejsca do ważenia pojazdów na ulicy Hutniczej w Koninie</t>
  </si>
  <si>
    <t>Opracowanie dokumentacji projektowej na remont ul. Przemysłowej w   Koninie</t>
  </si>
  <si>
    <t>Adaptację budynku Sądu Rejonowego w Koninie na cele administracyjne</t>
  </si>
  <si>
    <t>Wykonanie zabezpieczeń na  Bulwarze Nadwarciańskim w Koninie</t>
  </si>
  <si>
    <t>dz. 758 rozdz.75818 § 6800 zwiększa się o kwotę</t>
  </si>
  <si>
    <t>pkt 3) kwotę rezerwy celowej na inwestycjne i zakupy inwestycyjne</t>
  </si>
  <si>
    <t>Opracowanie  dokumentacji projektowej ul. Laskówiecka w Koninie</t>
  </si>
  <si>
    <t>Cmentarze</t>
  </si>
  <si>
    <t>Opracowanie koncepcji  na rozbudowę cmentarza wraz z układem komunikacyjnym przy ul. Kolskiej w Koninie</t>
  </si>
  <si>
    <t>opracowanie koncepcji</t>
  </si>
  <si>
    <t>Zakup i montaż dźwigów  osobowych (platform)   w budynkach przy ul. Kosmonautów 10 i  ul. 11 Listopada 9</t>
  </si>
  <si>
    <t>Wniesienie wkładu pieniężnego na opracowanie dokumentacji na budowę kanalizacji sanitarnej osiedle Morzysław II etap i sieci wodociągowej w ulicy Staromorzysławskiej</t>
  </si>
  <si>
    <t>Wniesienie wkładu pieniężnego na budowę sieci kanalizacji sanitarnej i wodociągu w ulicy Rudzickiej</t>
  </si>
  <si>
    <t>Wniesienie wkładu pieniężnego na budowę wodociągu w ulicy Piaskowej, Borowej i Świerkowej</t>
  </si>
  <si>
    <t>Opracowanie dokumentacji projektowej na budowę toalet  przy Bulwarze Nadwarciańskim w Koninie</t>
  </si>
  <si>
    <t>Wykonanie sterowania wyjazdową sygnalizacją świetlną w Komendzie Miejskiej Państwowej Straży Pożarnej w Koninie  w siedzibie Jednostki Ratowniczo – Gaśniczej Nr 2</t>
  </si>
  <si>
    <t>Opracowanie dokumentacji  projektowo - kosztorysowej na budowę parkingu oraz drogi dojazdowej przy cmentarzu na ulicy Kolskiej</t>
  </si>
  <si>
    <t>wykonanie projektu, wykonanie prac, wymiana rejestratora, zakup kamer i urządzeń</t>
  </si>
  <si>
    <t>ZOUM</t>
  </si>
  <si>
    <t>Różne rozliczenia</t>
  </si>
  <si>
    <t>Rezerwy ogólne i celowe</t>
  </si>
  <si>
    <t>Zakup busa do przewozu dzieci niepełnosprawnych w Szkole Podstawowej Oddziałami Integracyjnymi Nr 9</t>
  </si>
  <si>
    <t>SP nr 9/WO</t>
  </si>
  <si>
    <t>Wykonanie ścianki boulderowej  dla Gimnazjum nr 3 w Koninie</t>
  </si>
  <si>
    <t>Szpitale ogólne</t>
  </si>
  <si>
    <t>WS</t>
  </si>
  <si>
    <t>Budowa chodnika ze schodami przy ul. Paderewskiego w Koninie(za przystankiem nr 336-02)</t>
  </si>
  <si>
    <t>Domy i ośrodki kultury, świetlice i kluby</t>
  </si>
  <si>
    <t>CKU/WO</t>
  </si>
  <si>
    <t>IILO.WO</t>
  </si>
  <si>
    <t>Licea ogólnokształcące</t>
  </si>
  <si>
    <t xml:space="preserve">        PLAN DOTACJI DLA PODMIOTÓW ZALICZANYCH DO SEKTORA FINANSÓW </t>
  </si>
  <si>
    <t xml:space="preserve">PUBLICZNYCH NA CELE PUBLICZNE ZWIĄZANE Z REALIZACJĄ ZADAŃ MIASTA  </t>
  </si>
  <si>
    <t xml:space="preserve">                                                             NA 2013 ROK</t>
  </si>
  <si>
    <t>Dotacje podmiotowe</t>
  </si>
  <si>
    <t>Koniński Dom Kultury</t>
  </si>
  <si>
    <t>Młodzieżowy Dom Kultury</t>
  </si>
  <si>
    <t>Dotacje przedmiotowe</t>
  </si>
  <si>
    <t>do kosztów utrzymania zbiorowej komunikacji miejskiej</t>
  </si>
  <si>
    <t>Gospodarka komunalna  i ochrona środowiska</t>
  </si>
  <si>
    <t>Miejska Biblioteka Publiczna</t>
  </si>
  <si>
    <t>koszty utrzymania dzieci  z miasta Konina umieszczonych w placówkach opiekuńczych na terenie kraju</t>
  </si>
  <si>
    <t>koszty utrzymania dzieci  z miasta Konina umieszczonych w rodzinach zastępczych na terenie kraju</t>
  </si>
  <si>
    <t>Budowa ogrodzenia zespołu garaży przy ulicy Gajowej w Koninie</t>
  </si>
  <si>
    <t>Zmniejsza się plan wydatków o kwotę</t>
  </si>
  <si>
    <t>Zakup i montaż wiat przystankowych</t>
  </si>
  <si>
    <t>Lokalny transport zbiorowy</t>
  </si>
  <si>
    <t>wiaty przystankowe</t>
  </si>
  <si>
    <t>GN</t>
  </si>
  <si>
    <t>budowa ogrodzenia</t>
  </si>
  <si>
    <t xml:space="preserve">WI </t>
  </si>
  <si>
    <t>realizowanych na podstawie porozumień między jednostkami samorządu terytorialnego</t>
  </si>
  <si>
    <r>
      <t xml:space="preserve">na 2013 rok  - zadania własne" </t>
    </r>
    <r>
      <rPr>
        <sz val="12"/>
        <rFont val="Times New Roman"/>
        <family val="1"/>
      </rPr>
      <t>dokonuje się następujących zmian:</t>
    </r>
  </si>
  <si>
    <t>stan środków obrotowych</t>
  </si>
  <si>
    <t>na początek okresu</t>
  </si>
  <si>
    <t>na koniec okresu</t>
  </si>
  <si>
    <t>sprawozdawczego</t>
  </si>
  <si>
    <t xml:space="preserve">         Plan wydatków na 2013 rok</t>
  </si>
  <si>
    <t>Opracowanie dokumentacji projektowo-kosztorysowej na budowę łącznika od ul. Przemysłowej do ul. Kleczewskiej</t>
  </si>
  <si>
    <t>prowadzenie działalności Powiatowego Urzędu Pracy</t>
  </si>
  <si>
    <t>Dotacja celowa na dofinansowanie zakupu oprogramowania wraz z licencją w ramach informatyzacji Wojewódzkiego Szpitala Zespolonego w Koninie</t>
  </si>
  <si>
    <t>Budowa ulic: Jesionowej, Modrzewiowej, Lipowej, Klonowej i Cisowej  w Koninie</t>
  </si>
  <si>
    <t>Budowa - przedłużenie ulicy Solnej - odcinek od ul. Kaliskiej do ul. Świętojańskiej</t>
  </si>
  <si>
    <t>Budowa chodnika na ul. Działkowej w Koninie</t>
  </si>
  <si>
    <t>75818</t>
  </si>
  <si>
    <t>4810</t>
  </si>
  <si>
    <t xml:space="preserve">do Uchwały nr  </t>
  </si>
  <si>
    <t>wykonanie schodów</t>
  </si>
  <si>
    <t>Komendy powiatowe Policji</t>
  </si>
  <si>
    <t>- wprowadza się następujące zmiany:</t>
  </si>
  <si>
    <t xml:space="preserve">1. Projekt i budowa przyłączy dla MBP na ul. Dworcowej i dla Konińskiego Domu Kultury oraz rurociągu w Moście Briańskim.
2. Wypełnienie światłowodem rurociągu na trasie od ul. Powstańców Wielkopolskich do ul. Kleczewskiej
</t>
  </si>
  <si>
    <t>podłączenie do sieci</t>
  </si>
  <si>
    <t>zakup sztandaru</t>
  </si>
  <si>
    <t>Budowa ulicy Leopolda Staffa w Koninie</t>
  </si>
  <si>
    <t>Rozbudowa monitoringu miejskiego</t>
  </si>
  <si>
    <t>Rozbudowa miejskiej sieci szerokopasmowej KoMAN</t>
  </si>
  <si>
    <t>Budowa windy schodowej dla osób niepełnosprawnych w Przedszkolu nr 32</t>
  </si>
  <si>
    <t>Budowa podjazdu dla osób niepełnosprawnych przy Przedszkolu nr 32</t>
  </si>
  <si>
    <t>Budowa placów zabaw w mieście Koninie</t>
  </si>
  <si>
    <t>Przebudowa chodnika przy ulicy Staromorzysławskiej w Koninie</t>
  </si>
  <si>
    <t>Termomodernizacja budynku II Liceum w Koninie</t>
  </si>
  <si>
    <t>Budowa hangaru przy Zespole Szkól Centrum Kształcenia Ustawicznego w Koninie</t>
  </si>
  <si>
    <t>KT/KDK</t>
  </si>
  <si>
    <t>80101</t>
  </si>
  <si>
    <t>80148</t>
  </si>
  <si>
    <t>Budowa kanalizacji deszczowej w rejonie ulicy Gajowej w Koninie</t>
  </si>
  <si>
    <t>85219</t>
  </si>
  <si>
    <t>6800</t>
  </si>
  <si>
    <t>Przebudowa chodnika ul. Żeglarska w Koninie</t>
  </si>
  <si>
    <t>na realizację zadania pn. "Aglomeracja konińska -  współpraca JST kluczem do nowoczesnego rozwoju gospodarczego"</t>
  </si>
  <si>
    <t>(Dz. U. z 2013 r. poz. 594), art. 211 ustawy z dnia 27 sierpnia 2009 r.</t>
  </si>
  <si>
    <t>tablica interaktywna</t>
  </si>
  <si>
    <t xml:space="preserve">likwidacja kolizji sieci elektroenergetycznej </t>
  </si>
  <si>
    <t>docieplenie ścian zewnętrznych i dachu</t>
  </si>
  <si>
    <t>Centra kształcenia ustawicznego i praktycznego oraz ośrodki dokształcania zawodowego</t>
  </si>
  <si>
    <t>Prezydenta Miasta Konina z dnia 7 marca 2013 r.; Nr 25/2013 Prezydenta Miasta Konina z dnia 14 marca 2013 r.;</t>
  </si>
  <si>
    <t>Budowa placu zabaw w ramach programu rządowego "Radosna Szkoła" przy Szkole Podstawowej Nr 3</t>
  </si>
  <si>
    <t>Budowa placu zabaw w ramach programu rządowego "Radosna Szkoła" przy Szkole Podstawowej Nr 9</t>
  </si>
  <si>
    <t>Budowa placu zabaw w ramach programu rządowego "Radosna Szkoła" przy Szkole Podstawowej Nr 12</t>
  </si>
  <si>
    <t>Zakup tablicy interaktywnej dla Przedszkola nr 14</t>
  </si>
  <si>
    <t>Zakup zestawu komputerowego dla Przedszkola nr 14</t>
  </si>
  <si>
    <t>zestaw komputerowy</t>
  </si>
  <si>
    <t>P nr 14/WO</t>
  </si>
  <si>
    <t>80195</t>
  </si>
  <si>
    <t>w tym;</t>
  </si>
  <si>
    <t>758</t>
  </si>
  <si>
    <t>4300</t>
  </si>
  <si>
    <t>900</t>
  </si>
  <si>
    <t>6050</t>
  </si>
  <si>
    <t>Przebudowa - likwidacja kolizji sieci elektroenergetycznej obręb Maliniec</t>
  </si>
  <si>
    <t>0970</t>
  </si>
  <si>
    <t xml:space="preserve">pkt 2)  kwotę rezerwy celowej oświatowej </t>
  </si>
  <si>
    <t>Budowa ul. Paprotkowej, Azaliowej i Kameliowej w Koninie</t>
  </si>
  <si>
    <t>Zainstalowanie klimatyzacji w budynku Urzędu Miejskiego plac Wolności 1</t>
  </si>
  <si>
    <t>Wniesienie wkładu pieniężnego na budowę kanalizacji sanitarnej w ulicy Magnoliowej</t>
  </si>
  <si>
    <t>Zakupy inwestycyjne dla Obiektu Rekreacyjno Sportowego „Rondo” w Koninie</t>
  </si>
  <si>
    <t>Zakup samochodu dostawczego</t>
  </si>
  <si>
    <t xml:space="preserve">                    Zmniejsza się</t>
  </si>
  <si>
    <t xml:space="preserve">                       Zwiększa się</t>
  </si>
  <si>
    <t>w tym:</t>
  </si>
  <si>
    <t xml:space="preserve"> </t>
  </si>
  <si>
    <t>§ 1</t>
  </si>
  <si>
    <t>Dz.</t>
  </si>
  <si>
    <t>§</t>
  </si>
  <si>
    <t>Ogółem</t>
  </si>
  <si>
    <t>zadania z zakresu administracji rządowej</t>
  </si>
  <si>
    <t>Razem</t>
  </si>
  <si>
    <t>W części dotyczącej wydatków  powiatu</t>
  </si>
  <si>
    <t>Rozdz.</t>
  </si>
  <si>
    <t>RAZEM</t>
  </si>
  <si>
    <t>Zwiększa się plan wydatków o kwotę</t>
  </si>
  <si>
    <t>W części dotyczącej wydatków  gminy</t>
  </si>
  <si>
    <t xml:space="preserve">                                     RADY  MIASTA  KONINA</t>
  </si>
  <si>
    <t xml:space="preserve">          Na podstawie art. 18 ust. 2 pkt 4 ustawy z dnia 8 marca 1990 r. o samorządzie gminnym</t>
  </si>
  <si>
    <t xml:space="preserve">o finansach  publicznych (Dz. U.   Nr  157 poz. 1240 ze zm.)   R a d a    M i a s t a   K o n i n a  </t>
  </si>
  <si>
    <t xml:space="preserve"> u c h w a l a,  co następuje :</t>
  </si>
  <si>
    <t>1. W § 1 ust. 1</t>
  </si>
  <si>
    <t xml:space="preserve">         Kwotę dochodów ogółem      </t>
  </si>
  <si>
    <t xml:space="preserve">         zastępuje się kwotą</t>
  </si>
  <si>
    <t xml:space="preserve">           z tego:</t>
  </si>
  <si>
    <t>z tego:</t>
  </si>
  <si>
    <t xml:space="preserve">Zakup sztandaru dla Szkoły Podstawowej nr 12  w Koninie
</t>
  </si>
  <si>
    <t>SP nr 12/WO</t>
  </si>
  <si>
    <t>Podłączenie I Liceum Ogólnokształcącego i Filii MBP Starówka do sieci KoMAN</t>
  </si>
  <si>
    <t xml:space="preserve">        a) dochody bieżące w wysokości                                        </t>
  </si>
  <si>
    <t>zastępuje się kwotą</t>
  </si>
  <si>
    <t xml:space="preserve">             Zmniejsza się</t>
  </si>
  <si>
    <t xml:space="preserve">          Zwiększa się</t>
  </si>
  <si>
    <t>Kwotę wydatków ogółem</t>
  </si>
  <si>
    <t xml:space="preserve">           1) kwotę  wydatków  gminy  ogółem                      </t>
  </si>
  <si>
    <t>z tego;</t>
  </si>
  <si>
    <t xml:space="preserve">          a) kwotę wydatków bieżących ogółem                      </t>
  </si>
  <si>
    <t xml:space="preserve">          b) kwotę wydatków majątkowych ogółem                      </t>
  </si>
  <si>
    <t xml:space="preserve">           2) kwotę  wydatków  powiatu ogółem                      </t>
  </si>
  <si>
    <t xml:space="preserve">                  Zwiększa się</t>
  </si>
  <si>
    <r>
      <t xml:space="preserve"> W Załączniku  nr 3 do uchwały budżetowej obejmującym   </t>
    </r>
    <r>
      <rPr>
        <i/>
        <sz val="12"/>
        <rFont val="Times New Roman"/>
        <family val="1"/>
      </rPr>
      <t xml:space="preserve">"Plan wydatków majątkowych realizowanych </t>
    </r>
  </si>
  <si>
    <t>W części dotyczącej zadań  gminy</t>
  </si>
  <si>
    <t>0690</t>
  </si>
  <si>
    <t>600</t>
  </si>
  <si>
    <t>60016</t>
  </si>
  <si>
    <t>dz. 600 rozdz.60016 § 6050 zwiększa się o kwotę</t>
  </si>
  <si>
    <t>60015</t>
  </si>
  <si>
    <t>Dokumentacje przyszłościowe</t>
  </si>
  <si>
    <t xml:space="preserve">opracowanie dokumentacji projektowej w zakresie budowy łącznika ulic Poznańska - Rumiankowa - Zakładowa - Kleczewska </t>
  </si>
  <si>
    <r>
      <t xml:space="preserve">Załącznik nr  3 do uchwały budżetowej otrzymuje brzmienie  w treści   </t>
    </r>
    <r>
      <rPr>
        <b/>
        <sz val="13"/>
        <rFont val="Times New Roman"/>
        <family val="1"/>
      </rPr>
      <t>Załącznika nr  1</t>
    </r>
  </si>
  <si>
    <t>do niniejszej uchwały.</t>
  </si>
  <si>
    <t xml:space="preserve">          zastępuje się kwotą</t>
  </si>
  <si>
    <t xml:space="preserve">         w tym:</t>
  </si>
  <si>
    <t>a) kwotę części gminnej</t>
  </si>
  <si>
    <t xml:space="preserve">    zastępuje się kwotą</t>
  </si>
  <si>
    <t xml:space="preserve">                                                                               § 2</t>
  </si>
  <si>
    <t>Wykonanie uchwały powierza się Prezydentowi Miasta Konina.</t>
  </si>
  <si>
    <t xml:space="preserve">                                                                               § 3</t>
  </si>
  <si>
    <t>Uchwała wchodzi w życie z dniem podjęcia.</t>
  </si>
  <si>
    <t xml:space="preserve">     Przewodniczący </t>
  </si>
  <si>
    <t>Rady Miasta Konina</t>
  </si>
  <si>
    <t>2. W Załączniku Nr 1 do uchwały budżetowej dokonuje się następujących zmian:</t>
  </si>
  <si>
    <r>
      <t xml:space="preserve">w sprawie </t>
    </r>
    <r>
      <rPr>
        <b/>
        <i/>
        <sz val="14"/>
        <rFont val="Times New Roman"/>
        <family val="1"/>
      </rPr>
      <t>zmian w budżecie miasta Konina na 2013 rok</t>
    </r>
  </si>
  <si>
    <t>W części dotyczącej dochodów  gminy</t>
  </si>
  <si>
    <t xml:space="preserve">         1) dochody gminy ogółem                                                                                  </t>
  </si>
  <si>
    <t xml:space="preserve">         W uchwale Nr 506 Rady Miasta Konina z dnia 19 grudnia 2012 r. w sprawie uchwalenia budżetu</t>
  </si>
  <si>
    <t>Projekt</t>
  </si>
  <si>
    <t>SL</t>
  </si>
  <si>
    <t>ZAŁĄCZNIK nr 1</t>
  </si>
  <si>
    <t>Plan wydatków majątkowych realizowanych ze środków budżetowych miasta Konina na 2013 rok</t>
  </si>
  <si>
    <t>w złotych</t>
  </si>
  <si>
    <t xml:space="preserve">           Plan na 2013 rok</t>
  </si>
  <si>
    <t>Lp</t>
  </si>
  <si>
    <t>Dział</t>
  </si>
  <si>
    <t>Nazwa  zadania</t>
  </si>
  <si>
    <t>Ogólny koszt zadania</t>
  </si>
  <si>
    <t>Poniesione nakłady i przewidywane do końca 2012 roku</t>
  </si>
  <si>
    <t>Druk nr  661</t>
  </si>
  <si>
    <t>Zakres rzeczowy zadania</t>
  </si>
  <si>
    <t>Odpow. za realizację           i uwagi</t>
  </si>
  <si>
    <t>Termin rozpocz. i zakoń. inwestycji</t>
  </si>
  <si>
    <t>ogółem</t>
  </si>
  <si>
    <t>środki  w ramach ustawy Prawo ochrony środowiska</t>
  </si>
  <si>
    <t>RAZEM GMINA</t>
  </si>
  <si>
    <t>Transport i łączność</t>
  </si>
  <si>
    <t>Drogi publiczne gminne</t>
  </si>
  <si>
    <t>Budowa ulic na osiedlu Wilków (Leszczynowa, Borowa)</t>
  </si>
  <si>
    <t>zakup busa</t>
  </si>
  <si>
    <t>budowa windy schodowej</t>
  </si>
  <si>
    <t>budowa podjazdu</t>
  </si>
  <si>
    <t xml:space="preserve"> ścianka boulderowa</t>
  </si>
  <si>
    <t xml:space="preserve">zakupu oprogramowania wraz z licencją </t>
  </si>
  <si>
    <t>budowa chodnika ze schodami</t>
  </si>
  <si>
    <t>place zabaw</t>
  </si>
  <si>
    <t>hangar plus wyposażenie</t>
  </si>
  <si>
    <t>4210</t>
  </si>
  <si>
    <t>Zakup laptopa dla Przedszkola nr 10</t>
  </si>
  <si>
    <t>Zakup wyposażenia placu zabaw dla Przedszkola nr 10</t>
  </si>
  <si>
    <t>zakup laptopa</t>
  </si>
  <si>
    <t xml:space="preserve">zakup wyposażenia placu zabaw </t>
  </si>
  <si>
    <t>Założenie systemu sygnalizacji włamania w Przedszkolu nr 25 BAJKA</t>
  </si>
  <si>
    <t>założenie systemu sygnalizacji włamania</t>
  </si>
  <si>
    <t>przebudowa ulic wraz z oświetleniem i odwodnieniem</t>
  </si>
  <si>
    <t>WI</t>
  </si>
  <si>
    <t>2012/2013</t>
  </si>
  <si>
    <t>Budowa ulic na osiedlu Chorzeń (Tulipanowa i Krokusowa)</t>
  </si>
  <si>
    <t>budowa ulic wraz z oświetleniem i odwodnieniem</t>
  </si>
  <si>
    <t>Przebudowa ulicy Jana Matejki w Koninie</t>
  </si>
  <si>
    <t>przebudowa ulicy wraz z oświetleniem i odwodnieniem</t>
  </si>
  <si>
    <t>Przebudowa ulicy Stodolnianej w Koninie</t>
  </si>
  <si>
    <t>2012/2014</t>
  </si>
  <si>
    <t>Budowa chodnika przy ul. Nowiny w kierunku cmentarza parafialnego</t>
  </si>
  <si>
    <t>budowa chodnika wraz z odwodnieniem i oświetleniem</t>
  </si>
  <si>
    <t xml:space="preserve">Budowa przedłużenia ul. Makowej od Al. Astrów do torów kolejowych   </t>
  </si>
  <si>
    <t>wykonanie dokumentacji projektowej wraz z etapem przygotowania do realizacji</t>
  </si>
  <si>
    <t>Opracowanie dokumentacji projektowo-kosztorysowej na budowę ulicy Wierzbowej (od ul. Europejskiej w kierunku wschodnim)</t>
  </si>
  <si>
    <t>wykonanie dokumentacji projektowo-kosztorysowej</t>
  </si>
  <si>
    <t>Budowa i przebudowa ulicy Kapitańskiej w Koninie</t>
  </si>
  <si>
    <t>budowa i przebudowa ulicy wraz z oświetleniem i odwodnieniem</t>
  </si>
  <si>
    <t>Rozbudowa skrzyżowania ulic Stanisława Staszica, Romana Dmowskiego i Tadeusza Kościuszki na skrzyżowanie typu "rondo" w Koninie</t>
  </si>
  <si>
    <t>budowa ronda na skrzyżowaniu ulic, oświetlenie ronda, kanalizacja deszczowa</t>
  </si>
  <si>
    <t>Budowa parkingu przy ul. Sadowej 9</t>
  </si>
  <si>
    <t>opracowanie dokumentacji projektowo-kosztorysowej, realizacja zadania</t>
  </si>
  <si>
    <t>DR</t>
  </si>
  <si>
    <t>Budowa ulicy Drewnowskiego i ulicy Godlewskiego</t>
  </si>
  <si>
    <t>budowa ulicy wraz z odwodnieniem i oświetleniem</t>
  </si>
  <si>
    <t>Opracowanie dokumentacji projektowo- kosztorysowej  kładki nad Kanałem Ulgi</t>
  </si>
  <si>
    <t xml:space="preserve">opracowanie dokumentacji projektowo-kosztorysowej, </t>
  </si>
  <si>
    <t>Opracowanie dokumentacji  projektowo –  kosztorysowej na budowę ulicy Brunatnej w Koninie - etap I</t>
  </si>
  <si>
    <t>Dostawa i montaż parkomatów na terenie miasta Konina</t>
  </si>
  <si>
    <t>dostawa i montaż 7 szt. parkomatów</t>
  </si>
  <si>
    <t>Gospodarka mieszkaniowa</t>
  </si>
  <si>
    <t>Gospodarka gruntami i nieruchomościami</t>
  </si>
  <si>
    <t>Nabycie nieruchomości gruntowych</t>
  </si>
  <si>
    <t>GN/GM</t>
  </si>
  <si>
    <t>2012-2016</t>
  </si>
  <si>
    <t>Pozostała działalność</t>
  </si>
  <si>
    <t>Modernizacja wewnętrznej instalacji elektrycznej w budynkach przy ul. Kanałowej 6, 7, 11</t>
  </si>
  <si>
    <t>opracowanie dokumentacji i realizacja</t>
  </si>
  <si>
    <t>Administracja publiczna</t>
  </si>
  <si>
    <t>Urzędy gmin (miast i miast na prawach powiatu)</t>
  </si>
  <si>
    <t>Doposażenie techniczne Urzędu</t>
  </si>
  <si>
    <t xml:space="preserve">zakup drukarek, komputerów, MS Office MOLP, zakup rzutnika i laptopa </t>
  </si>
  <si>
    <t>IN</t>
  </si>
  <si>
    <t>Opracowanie dokumentacji projektowej na remont ul. Przemysłowej w Koninie</t>
  </si>
  <si>
    <t>Adaptacja budynku przy ul. Benesza 1 w Koninie  na cele administracyjne</t>
  </si>
  <si>
    <t xml:space="preserve">adaptacja istniejącego budynku na cele administracji  </t>
  </si>
  <si>
    <t>2012-2014</t>
  </si>
  <si>
    <t>Adaptacja budynku przy ul. 3 Maja 1 i 3 na Centrum Organizacji Pozarządowych</t>
  </si>
  <si>
    <t>adaptacja istniejącego budynku na potrzeby COP</t>
  </si>
  <si>
    <t>Bezpieczeństwo publiczne i ochrona przeciwpożarowa</t>
  </si>
  <si>
    <t>Ochotnicze Straże Pożarne</t>
  </si>
  <si>
    <t xml:space="preserve">Zakupy inwestycyjne </t>
  </si>
  <si>
    <t>zakup motopompy Niagara  dla OSP Cukrownia</t>
  </si>
  <si>
    <t>WZ</t>
  </si>
  <si>
    <t>Obrona cywilna</t>
  </si>
  <si>
    <t>zakup i montaż 1 elektronicznej syreny alarmowej tubowej wraz z osprzętem (montaż 1 punktu alarmowego)</t>
  </si>
  <si>
    <t>Rezerwa celowa na inwestycje i zakupy inwestycyjne</t>
  </si>
  <si>
    <t>Oświata i wychowanie</t>
  </si>
  <si>
    <t>Szkoły podstawowe</t>
  </si>
  <si>
    <t>Budowa placu zabaw w ramach programu rządowego "Radosna Szkoła" przy Szkole Podstawowej Nr 1</t>
  </si>
  <si>
    <t>budowa dużego placu zabaw</t>
  </si>
  <si>
    <t xml:space="preserve">Opracowanie koncepcji i studium wykonalności na budowę sali gimnastycznej przy SP nr 1
</t>
  </si>
  <si>
    <t xml:space="preserve">koncepcja i studium wykonalności </t>
  </si>
  <si>
    <t>Zakup kserokopiarki dla Szkoły Podstawowej Nr 1</t>
  </si>
  <si>
    <t xml:space="preserve">zakup kserokopiarki </t>
  </si>
  <si>
    <t>SP nr 11/WO</t>
  </si>
  <si>
    <t>Przedszkola</t>
  </si>
  <si>
    <t>Modernizacja i rozbudowa budynku przy ul. Kamiennej 28 w Koninie</t>
  </si>
  <si>
    <t>adaptacja budynku na potrzeby punktu przedszkolnego i świetlicy</t>
  </si>
  <si>
    <t>Modernizacja placu zabaw Przedszkola nr 31</t>
  </si>
  <si>
    <t>modernizacja placu zabaw</t>
  </si>
  <si>
    <t>P nr 31/WO</t>
  </si>
  <si>
    <t xml:space="preserve">założenie monitoringu wizyjnego </t>
  </si>
  <si>
    <t>P nr 25/WO</t>
  </si>
  <si>
    <t>Założenie monitoringu wizyjnego przy Przedszkolu Nr 31</t>
  </si>
  <si>
    <t>Termomodernizacja budynku Przedszkola nr 10</t>
  </si>
  <si>
    <t>docieplenie ścian</t>
  </si>
  <si>
    <t>P nr 10/WO</t>
  </si>
  <si>
    <t>Budowa parkingu przy Przedszkolu nr 7 w Koninie</t>
  </si>
  <si>
    <t>budowa parkingu</t>
  </si>
  <si>
    <t>Zakup obieraczki do ziemniaków dla Przedszkola Nr 4</t>
  </si>
  <si>
    <t xml:space="preserve">zakup obieraczki do ziemniaków </t>
  </si>
  <si>
    <t>P nr 4/WO</t>
  </si>
  <si>
    <t>Gimnazja</t>
  </si>
  <si>
    <t>Zakup kserokopiarki dla Gimnazjum Nr 2</t>
  </si>
  <si>
    <t>G nr 2/WO</t>
  </si>
  <si>
    <t>Stołówki szkolne i przedszkolne</t>
  </si>
  <si>
    <t>Zakup kotła warzelnego dla SP-15</t>
  </si>
  <si>
    <t xml:space="preserve">zakup kotła warzelnego </t>
  </si>
  <si>
    <t>SP nr 15/WO</t>
  </si>
  <si>
    <t>Zarządzanie energią w budynkach użyteczności publicznej w Koninie</t>
  </si>
  <si>
    <t xml:space="preserve">wymiana oświetlenia na energooszczędne </t>
  </si>
  <si>
    <t>Ochrona zdrowia</t>
  </si>
  <si>
    <t>Izby wytrzeźwień</t>
  </si>
  <si>
    <t>Zakup sprzętu medycznego</t>
  </si>
  <si>
    <t>zakup sprzętu medycznego</t>
  </si>
  <si>
    <t>ODPOzPAiP</t>
  </si>
  <si>
    <t>Pozostałe zadania w zakresie polityki społecznej</t>
  </si>
  <si>
    <t xml:space="preserve">Pozostała działalność </t>
  </si>
  <si>
    <t>Zakup sprzętu do zabaw ruchowych na plac zabaw dla Przedszkola nr 32</t>
  </si>
  <si>
    <t>sprzęt do zabaw ruchowych</t>
  </si>
  <si>
    <t>P nr 32/WO</t>
  </si>
  <si>
    <t>Zakup sprzętu do Sali Doświadczania Świata dla Przedszkola nr 32</t>
  </si>
  <si>
    <t xml:space="preserve"> sprzęt do Sali Doświadczania Świata</t>
  </si>
  <si>
    <t>Zakup sprzętu rehabilitacyjnego dla Przedszkola nr 32</t>
  </si>
  <si>
    <t xml:space="preserve">sprzęt rehabilitacyjny </t>
  </si>
  <si>
    <t>Jesteś przedsiębiorczy! Zacznij działać już dziś w  Koninie - w ramach programu POKL (dotacja celowa)</t>
  </si>
  <si>
    <t>przekazanie dotacji inwestycyjnej na założenie działalności gospodarczej zgodnie z biznesplanem m.in. na zakup sprzętu komputerowego i oprogramowania, maszyn i urządzeń lub remont pomieszczeń</t>
  </si>
  <si>
    <t>DG</t>
  </si>
  <si>
    <t>Jesteś przedsiębiorczy! Zacznij działać już dziś w  Koninie  - w ramach programu POKL (dotacja celowa)</t>
  </si>
  <si>
    <t>Dobry pomysł na firmę - wspomagamy przedsiębiorczość w Koninie - w ramach programu POKL (dotacja celowa)</t>
  </si>
  <si>
    <t>rozwój przedsiębiorczości w mieście Koninie oraz poprawa sytuacji na rynku pracy -wsparcie 47 os. które rozpoczęły działalność gospodarczą</t>
  </si>
  <si>
    <t>Gospodarka komunalna i ochrona środowiska</t>
  </si>
  <si>
    <t>Gospodarka odpadami</t>
  </si>
  <si>
    <t xml:space="preserve">Usuwanie wyrobów zawierających azbest z nieruchomości położonych na terenie miasta Konina </t>
  </si>
  <si>
    <t xml:space="preserve">usuwanie wyrobów zawierających azbest </t>
  </si>
  <si>
    <t>OŚ</t>
  </si>
  <si>
    <t>Oświetlenie ulic, placów i dróg</t>
  </si>
  <si>
    <t xml:space="preserve">Zakup i montaż ulicznych lamp solarnych </t>
  </si>
  <si>
    <t xml:space="preserve">Budowa sygnalizacji świetlnej na skrzyżowaniu ul. Przemysłowej i ul. Gosławickiej  wraz z doświetleniem przejść dla pieszych
</t>
  </si>
  <si>
    <t xml:space="preserve">sygnalizacja świetlna oraz doświetlenie 3 przejść dla pieszych  – rejon ul. Gosławickiej,  ul. Jędrzejewskiego, przy wjeździe do ZE PAK
</t>
  </si>
  <si>
    <t xml:space="preserve">Budowa  sygnalizacji świetlnej na skrzyżowaniu ulic Zagórowska - Pułaskiego  - Marii  Dąbrowskiej
</t>
  </si>
  <si>
    <t>sygnalizacja świetlna</t>
  </si>
  <si>
    <t>Doświetlenie przejść dla pieszych w Koninie</t>
  </si>
  <si>
    <t xml:space="preserve">Budowa ulicy na os. Zemełki oznaczonej w planie symbolem KL-2 </t>
  </si>
  <si>
    <t xml:space="preserve">11 kwietnia 2013 r.; Nr 559  Rady Miasta Konina z dnia 24 kwietnia 2013 r.; Nr 46/2013 Prezydenta Miasta Konina </t>
  </si>
  <si>
    <t xml:space="preserve">z dnia 24 maja 2013 r.; Nr 574 Rady Miasta Konina z dnia 29 maja 2013 r.; Nr 67/2013 Prezydenta Miasta Konina </t>
  </si>
  <si>
    <t xml:space="preserve">z dnia 14 czerwca 2013 r.; Nr 592 Rady Miasta Konina z dnia 26 czerwca 2013 r.; Nr 75/2013 Prezydenta Miasta </t>
  </si>
  <si>
    <t>0750</t>
  </si>
  <si>
    <t>4270</t>
  </si>
  <si>
    <t>90095</t>
  </si>
  <si>
    <t>dz. 900 rozdz.90095 § 6050   zmniejsza się o kwotę</t>
  </si>
  <si>
    <t>Budowa chodnika ze schodami przy ul. Paderewskiego w Koninie</t>
  </si>
  <si>
    <t>(za przystankiem nr 336-02)</t>
  </si>
  <si>
    <t>W części dotyczącej zadań  powiatu</t>
  </si>
  <si>
    <t>dz. 600 rozdz.60015 § 6050   zmniejsza się o kwotę</t>
  </si>
  <si>
    <t>drogi krajowej Nr 25</t>
  </si>
  <si>
    <t>Aktualizacja dokumentacji projektowej na II etap nowego przebiegu</t>
  </si>
  <si>
    <t>dz. 600 rozdz.60015 § 6050 zwiększa się o kwotę</t>
  </si>
  <si>
    <t>Budowa przyłącza światłowodowego do sterownika sygnalizacji świetlnej na skrzyżowaniu ul. Kard. S. Wyszyńskiego i ul. Przyjaźni w Koninie</t>
  </si>
  <si>
    <t>Budowa przyłącza światłowodowego do sterownika sygnalizacji świetlnej</t>
  </si>
  <si>
    <t>na skrzyżowaniu ul. Kard. S. Wyszyńskiego i ul. Przyjaźni w Koninie</t>
  </si>
  <si>
    <t>921</t>
  </si>
  <si>
    <t>92109</t>
  </si>
  <si>
    <t>2480</t>
  </si>
  <si>
    <t>750</t>
  </si>
  <si>
    <t>75023</t>
  </si>
  <si>
    <t>926</t>
  </si>
  <si>
    <t>92604</t>
  </si>
  <si>
    <t>wraz z dwoma sięgaczami KD w Koninie</t>
  </si>
  <si>
    <t>pkt 1) kwotę rezerwy ogólnej</t>
  </si>
  <si>
    <t>Konina z dnia 4 lipca 2013 r.; Nr 89/2013 Prezydenta Miasta Konina z dnia 15 lipca 2013 r.;</t>
  </si>
  <si>
    <r>
      <t xml:space="preserve">otrzymuje brzmienie w treści   </t>
    </r>
    <r>
      <rPr>
        <b/>
        <sz val="13"/>
        <rFont val="Times New Roman"/>
        <family val="1"/>
      </rPr>
      <t xml:space="preserve">Załącznika nr 2 </t>
    </r>
    <r>
      <rPr>
        <sz val="13"/>
        <rFont val="Times New Roman"/>
        <family val="1"/>
      </rPr>
      <t>do niniejszej uchwały</t>
    </r>
  </si>
  <si>
    <r>
      <t xml:space="preserve">Załącznik nr 13 do uchwały budżetowej obejmujący  </t>
    </r>
    <r>
      <rPr>
        <i/>
        <sz val="13"/>
        <rFont val="Times New Roman"/>
        <family val="1"/>
      </rPr>
      <t xml:space="preserve">"Plan przychodów i wydatków </t>
    </r>
  </si>
  <si>
    <t>samorządowego zakładu budżetowego na 2013 rok"  otrzymuje brzmienie</t>
  </si>
  <si>
    <t>10. W § 5</t>
  </si>
  <si>
    <t>rozdz.80195 § 6050 zwiększa się o kwotę</t>
  </si>
  <si>
    <t>80130</t>
  </si>
  <si>
    <t>80140</t>
  </si>
  <si>
    <t>Przebudowa skrzyżowania ulicy Warszawskiej z ulicą Kolską w Koninie</t>
  </si>
  <si>
    <t xml:space="preserve">      PLAN DOTACJI DLA PODMIOTÓW NIE ZALICZANYCH DO SEKTORA FINANSÓW </t>
  </si>
  <si>
    <t>PUBLICZNYCH NA CELE PUBLICZNE ZWIĄZANE Z REALIZACJĄ ZADAŃ MIASTA  NA 2013 ROK</t>
  </si>
  <si>
    <t xml:space="preserve">Dotacje podmiotowe </t>
  </si>
  <si>
    <t>Prywatna Szkoła Podstawowa Zespół Edukacji Wiedza</t>
  </si>
  <si>
    <t xml:space="preserve">Centrum Szkoleniowe „WIEDZA” </t>
  </si>
  <si>
    <t xml:space="preserve">Gimnazjum Towarzystwa Salezjańskiego </t>
  </si>
  <si>
    <t>Gimnazjum Edukacji Innowacyjnej</t>
  </si>
  <si>
    <t>AP Edukacja Gimnazjum dla Dorosłych</t>
  </si>
  <si>
    <t>KIN Zdzisław Gimnazjum dla Dorosłych</t>
  </si>
  <si>
    <t xml:space="preserve">Przedszkole niepubliczne„Bajkolandia”  </t>
  </si>
  <si>
    <t>rezerwa na realizację zadań o któryvh mowa w § 6 pkt 1 Uchwały nr 226 Rady Miasta Konina z dnia 26 października 2011 roku</t>
  </si>
  <si>
    <t>Przedszkole niepubliczne "Chatka -Puchatka"</t>
  </si>
  <si>
    <t xml:space="preserve">Punkt przedszkolny „Bajkowa Kraina”  </t>
  </si>
  <si>
    <t xml:space="preserve">Punkt przedszkolny „Misiowa Kraina”  </t>
  </si>
  <si>
    <t>Punkt przedszkolny "Mały Artysta"</t>
  </si>
  <si>
    <t>Punkt przedszkolny "Akademia Smyka"</t>
  </si>
  <si>
    <t>prowadzenie Punktu Konsultacyjnego dla osób i rodzin dotkniętych problemem narkotykowym</t>
  </si>
  <si>
    <t>prowadzenie świetlic środowiskowych z dożywianiem</t>
  </si>
  <si>
    <t>realizacja programu zapobiegania i przeciwdziałania przemocy w rodzinie "Bezpieczeństwo w rodzinie" i "Dzieciństwo bez przemocy" w ramach Niebieskich Kart</t>
  </si>
  <si>
    <t>realizacja programu "Szkolna Interwencja Profilaktyczna"</t>
  </si>
  <si>
    <t>organizacja półkolonii letnich i zimowych z programem profilaktycznym, z dożywianiem i zajęciami sportowymi dla dzieci z rodzin dysfunkcyjnych</t>
  </si>
  <si>
    <t>organizacja kolonii socjoterapeutycznych dla dzieci i młodzieży z rodzin dysfunkcyjnych</t>
  </si>
  <si>
    <t>prowadzenie środowiskowych ognisk wychowawczych</t>
  </si>
  <si>
    <t>prowadzenie świetlic socjoterapeutycznych</t>
  </si>
  <si>
    <t>pomoc żywnościowa dla rodzin dysfunkcyjnych</t>
  </si>
  <si>
    <t>olimpiada wiedzy nt. uzależnień</t>
  </si>
  <si>
    <t>świadczenie usług opiekuńczych w domu podopiecznego na terenie miasta Konina</t>
  </si>
  <si>
    <t>prowadzenie noclegowni i schroniska dla bezdomnych</t>
  </si>
  <si>
    <t>prowadzenie Ośrodka Rehabilitacyjno-Edukacyjno-Wychowawczego i Punktu Rehabilitacyjnego w Koninie</t>
  </si>
  <si>
    <t>dotacja celowa dla prywatnych żłobków</t>
  </si>
  <si>
    <t>Wspieranie realizacji zadań organizacji pozarządowych</t>
  </si>
  <si>
    <t>"Jesteś przedsiębiorczy! Zacznij działać już dziś w Koninie "  w ramach programu POKL (dotacja celowa)</t>
  </si>
  <si>
    <t>"Dobry pomysł na firmę" wspomagamy przedsiębiorczość w Koninie - w ramach programu POKL (dotacja celowa)</t>
  </si>
  <si>
    <t xml:space="preserve">„PI  Wsparcie rozwoju narzędzi związanych z kontraktowaniem usług społecznych w Koninie” w ramach programu POKL (dotacja celowa)  </t>
  </si>
  <si>
    <t>Gospodarka komunalna                         i ochrona środowiska</t>
  </si>
  <si>
    <t>organizacja ochrony przed bezdomnymi zwierzętami art. 3 ust. 2 pkt 5 ustawy z dnia 13 września 1996 r. o utrzymaniu czystości i porządku w gminach oraz art. 11 a ustawy o ochronie zwierząt z dnia 16 września 2011 r.</t>
  </si>
  <si>
    <t>budowa przyłączy kanalizacyjnych i przyłączenie nieruchomości do miejskiej sieci kanalizacyjnej</t>
  </si>
  <si>
    <t>Budowa czterech domków mieszkalnych  oraz rozbudowa budynku gospodarczego w Koninie przy ul. M. Dąbrowskiej</t>
  </si>
  <si>
    <t>dz. 700 rozdz.70095 § 6050 zwiększa się o kwotę</t>
  </si>
  <si>
    <t>Budowa instalacji centralnego ogrzewania i ciepłej wody w budynku przy ul. M. Dąbrowskiej 50 w Koninie</t>
  </si>
  <si>
    <t xml:space="preserve"> przy ul. M. Dąbrowskiej 50 w Koninie</t>
  </si>
  <si>
    <t xml:space="preserve">Budowa instalacji centralnego ogrzewania i ciepłej wody w budynku </t>
  </si>
  <si>
    <t>700</t>
  </si>
  <si>
    <t>70095</t>
  </si>
  <si>
    <t>92695</t>
  </si>
  <si>
    <t>2820</t>
  </si>
  <si>
    <t>dz. 926 rozdz.92604 § 6050 zwiększa się o kwotę</t>
  </si>
  <si>
    <t>Wykonanie instalacji monitoringu widowni i hali sportowej w obiekcie sportowo-rekreacyjnym "Rondo" w Koninie</t>
  </si>
  <si>
    <t xml:space="preserve">wykonanie instalacji monitoringu widowni i hali sportowej </t>
  </si>
  <si>
    <t xml:space="preserve">Wykonanie instalacji monitoringu widowni i hali sportowej w obiekcie </t>
  </si>
  <si>
    <t xml:space="preserve"> sportowo-rekreacyjnym "Rondo" w Koninie</t>
  </si>
  <si>
    <t>budowa instalacji centralnego ogrzewania i ciepłej wody</t>
  </si>
  <si>
    <t>dz. 853 rozdz.85395 § 6067 zwiększa się o kwotę</t>
  </si>
  <si>
    <t>dz. 853 rozdz.85395  § 6067 zmniejsza się o kwotę</t>
  </si>
  <si>
    <t>remont kościoła ,  konserwacja ołtarzy bocznych  pw. św. Bartłomieja w Koninie</t>
  </si>
  <si>
    <t>renowacja  i konserwacja  ołtarza barokowego w kościele pw. św. Marii Magdaleny w Klasztorze oo. Franciszkanów w Koninie</t>
  </si>
  <si>
    <t>organizacja imprez kulturalnych dla mieszkańców m. Konina</t>
  </si>
  <si>
    <t xml:space="preserve">Kultura fizyczna  </t>
  </si>
  <si>
    <t>szkolenie uzdolnionych sportowo w: szermierce, kolarstwie, piłce nożnej kobiet, piłce nożnej mężczyzn, koszykówce, pięściarstwie, tenisie stołowym, szachach, tenisie ziemnym, piłce ręcznej, piłce siatkowej, judo, sportach szybowcowych i samolotowych i innych</t>
  </si>
  <si>
    <t>organizacja imprez sportowo-rekreacyjnych dla mieszkańców Konina</t>
  </si>
  <si>
    <t>organizacja imprez sportowo-rekreacyjnych dla osób niepełnosprawnych</t>
  </si>
  <si>
    <t>Centrum Nauki i Biznesu „Żak</t>
  </si>
  <si>
    <t>Europejskie Centrum Kształcenia "PASCAL"</t>
  </si>
  <si>
    <t xml:space="preserve">Zespół Edukacji „WIEDZA”    </t>
  </si>
  <si>
    <t xml:space="preserve">Technikum Uzupełniające Michał Lewandowski  </t>
  </si>
  <si>
    <t>Zakład Doskonalenia Zawodowego Centrum Kształcenia</t>
  </si>
  <si>
    <t xml:space="preserve">COSINUS     </t>
  </si>
  <si>
    <t>Niepubliczne Policealne Studium Zawodowe Michał Lewandowski</t>
  </si>
  <si>
    <t xml:space="preserve">AP EDUKACJA            </t>
  </si>
  <si>
    <t>PLUS EDUKACJA</t>
  </si>
  <si>
    <t>Stowarzyszenie Edukacja na Odległość</t>
  </si>
  <si>
    <t>Cech Rzemiosł Różnych</t>
  </si>
  <si>
    <t>Centrum Szkoleniowe NET - Alicja Woźniak</t>
  </si>
  <si>
    <t>Instytut Postępowania Twórczego</t>
  </si>
  <si>
    <t xml:space="preserve">Elitarne Studium Służb Ochrony „DELTA”  </t>
  </si>
  <si>
    <t xml:space="preserve">  Liceum Ogólnokształcące w Konińskim Centrum Edukacyjnym</t>
  </si>
  <si>
    <t>Liceum Ogólnokształcące dla Dorosłych Michał Lewandowski</t>
  </si>
  <si>
    <t>prowadzenie warsztatów terapii zajęciowej, rehabilitacja zawodowa i społeczna</t>
  </si>
  <si>
    <t>Edukacyjna opieka wychowawcza</t>
  </si>
  <si>
    <t xml:space="preserve">Polskiego Stowarzyszenia na Rzecz Osób z Upośledzeniem Umysłowym </t>
  </si>
  <si>
    <t>promocja turystyczna miasta Konina oraz udzielanie o nim informacji turystycznej</t>
  </si>
  <si>
    <t>organizacja imprez turystycznych dla mieszkańców Konina</t>
  </si>
  <si>
    <t>prowadzenie placówki opiekuńczo - wychowawczej typu rodzinnego -  Rodzinny Dom Dziecka</t>
  </si>
  <si>
    <t>działalność na rzecz rozwoju gospodarczego wspierająca lokalny rynek pracy</t>
  </si>
  <si>
    <t>dofinansowanie szkolenia uzdolnionych sportowo   w piłce koszykowej kobiet (ekstarklasa)</t>
  </si>
  <si>
    <t>dofinansowanie szkolenia uzdolnionych sportowo   w piłce ręcznej mężczyzn (II liga)</t>
  </si>
  <si>
    <t>ZAŁĄCZNIK nr 2</t>
  </si>
  <si>
    <t>aktualizacja dokumentacji projektowej ;  zlecenie oceny przydatności do dalszego wykorzystania instniejącej dokumentacji oraz opracowanie  przedmiotu zamówienia dla  przeprojektowania istniejacej dokumentacji projektowo-kosztorysowej na II etap nowego przebiegu drogi krajowej nr 25 w Koninie</t>
  </si>
  <si>
    <t>WI/DR</t>
  </si>
  <si>
    <t>ust. 1</t>
  </si>
  <si>
    <r>
      <t xml:space="preserve">Załącznik nr 11 do uchwały budżetowej obejmujący  </t>
    </r>
    <r>
      <rPr>
        <i/>
        <sz val="13"/>
        <rFont val="Times New Roman"/>
        <family val="1"/>
      </rPr>
      <t>"Plan dotacji dla podmiotów nie zaliczanych</t>
    </r>
  </si>
  <si>
    <r>
      <t xml:space="preserve">otrzymuje brzmienie w treści   </t>
    </r>
    <r>
      <rPr>
        <b/>
        <sz val="13"/>
        <rFont val="Times New Roman"/>
        <family val="1"/>
      </rPr>
      <t xml:space="preserve">Załącznika nr 3 </t>
    </r>
    <r>
      <rPr>
        <sz val="13"/>
        <rFont val="Times New Roman"/>
        <family val="1"/>
      </rPr>
      <t>do niniejszej uchwały</t>
    </r>
  </si>
  <si>
    <r>
      <t xml:space="preserve"> w treści   </t>
    </r>
    <r>
      <rPr>
        <b/>
        <sz val="13"/>
        <rFont val="Times New Roman"/>
        <family val="1"/>
      </rPr>
      <t xml:space="preserve">Załącznika nr 4 </t>
    </r>
    <r>
      <rPr>
        <sz val="13"/>
        <rFont val="Times New Roman"/>
        <family val="1"/>
      </rPr>
      <t>do niniejszej uchwały</t>
    </r>
  </si>
  <si>
    <t>Załącznik nr 4</t>
  </si>
  <si>
    <t>kwotę wpływów związanych z gromadzeniem środków w ramach</t>
  </si>
  <si>
    <t>ustawy Prawo ochrony środowiska</t>
  </si>
  <si>
    <t>7. W § 1  ust. 4 otrzymuje brzmienie w treści:</t>
  </si>
  <si>
    <r>
      <t xml:space="preserve">        "</t>
    </r>
    <r>
      <rPr>
        <sz val="12"/>
        <rFont val="Times New Roman"/>
        <family val="1"/>
      </rPr>
      <t xml:space="preserve">Ustala się kwotę wydatków na ochronę środowiska związanych z realizacją ustawy </t>
    </r>
  </si>
  <si>
    <t xml:space="preserve">      Prawo ochrony środowiska z tego:</t>
  </si>
  <si>
    <r>
      <t xml:space="preserve">         a)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 xml:space="preserve">wydatki bieżące  </t>
    </r>
  </si>
  <si>
    <t>(dz.900)</t>
  </si>
  <si>
    <r>
      <t xml:space="preserve">         b)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 xml:space="preserve">wydatki majątkowe  </t>
    </r>
  </si>
  <si>
    <t>(dz. 600; 700; 754; 801; 900 i 926)"</t>
  </si>
  <si>
    <t xml:space="preserve">zakup i montaż dźwigów  osobowych </t>
  </si>
  <si>
    <t>instalacja klimatyzacji</t>
  </si>
  <si>
    <t>budowa sieci kanalizacji sanitarnej i wodociągu</t>
  </si>
  <si>
    <t xml:space="preserve">budowa sieci kanalizacji sanitarnej </t>
  </si>
  <si>
    <t>budowa  wodociągu</t>
  </si>
  <si>
    <t>Wykonanie klimatyzacji pomieszczenia Strefy K oraz modernizacja central klimatyzacyjnych sali widowiskowej</t>
  </si>
  <si>
    <t>wykonanie klimatyzacji  oraz modernizacja central klimatyzacyjnych</t>
  </si>
  <si>
    <t>tablica wyników; nagłościenie; klimatyzatory; urządzenia do aromatoterapii</t>
  </si>
  <si>
    <t>samochód dostawczy</t>
  </si>
  <si>
    <t>przebudowa parkingu</t>
  </si>
  <si>
    <t xml:space="preserve">wykonanie  miejsca do ważenia pojazdów </t>
  </si>
  <si>
    <t>Aktualizacja  dokumentacji projektowej na „Przebudowę mostu im. Józefa Piłsudskiego w  Koninie"</t>
  </si>
  <si>
    <t>zabezpieczenie</t>
  </si>
  <si>
    <t>opracowanie dokumentacji projektowej i budowa przyłącza</t>
  </si>
  <si>
    <t>Dofinansowanie zakupu   radiowozów dla KMP w Koninie</t>
  </si>
  <si>
    <t>zakup   radiowozów</t>
  </si>
  <si>
    <t xml:space="preserve">wykonanie sterowania wyjazdową sygnalizacją świetlną </t>
  </si>
  <si>
    <t>Budowa ulicy na os. Zemełki oznaczonej w planie symbolem KL-2  wraz z dwoma sięgaczami KD</t>
  </si>
  <si>
    <t>SP nr 8/WO</t>
  </si>
  <si>
    <t>z dnia 31 lipca 2013 roku</t>
  </si>
  <si>
    <t xml:space="preserve"> z dnia 30 stycznia 2013 r. Nr 13/2013 Prezydenta Miasta Konina z dnia 7 lutego 2013 r.; Nr 14/2013 Prezydenta</t>
  </si>
  <si>
    <t>Miasta Konina z dnia  15 lutego 2013 r.; Nr 522 Rady Miasta Konina z dnia 27 lutego 2013 r.; Nr 22/2013</t>
  </si>
  <si>
    <t>Nr 540 Rady Miasta Konina z dnia 27 marca 2013 r.;  Nr 40/2013 Prezydenta Miasta Konina z dnia</t>
  </si>
  <si>
    <t>do sektora finansów publicznych na cele publiczne związane z realizacją zadań miasta na 2013 rok"</t>
  </si>
  <si>
    <r>
      <t xml:space="preserve">Załącznik nr 12 do uchwały budżetowej obejmujący  </t>
    </r>
    <r>
      <rPr>
        <i/>
        <sz val="13"/>
        <rFont val="Times New Roman"/>
        <family val="1"/>
      </rPr>
      <t>"Plan dotacji dla podmiotów  zaliczanych</t>
    </r>
  </si>
  <si>
    <t xml:space="preserve">z dnia  25 kwietnia 2013 r.;  Nr 49/2013 Prezydenta Miasta Konina z dnia 29 kwietnia 2013 r.;  </t>
  </si>
  <si>
    <t>Opracowanie dokumentacji projektowo-kosztorysowej ścieżki rowerowej wokół Wyspy Pociejewo</t>
  </si>
  <si>
    <t>a/ nabycie działek gruntu obrębach: Pawłówek, Przydziałki, Grójec, Łężyn, Nowy Dwór ;  b/ nabycie gruntów w związku z przebudową ulic: Europejskiej, Kolskiej, Warszawskiej                                                          c/ wykupy gruntów pod budowę przyszłych dróg na terenie całego miasta</t>
  </si>
  <si>
    <t>Zakup i zamontowanie windy dla uczniów niepełnosprawnych w  SP nr 15 w Koninie</t>
  </si>
  <si>
    <t>zakup i zamontowanie windy</t>
  </si>
  <si>
    <t>Modernizacja oświetlenia ulicznego miasta  Konina na energooszczędne</t>
  </si>
  <si>
    <t>2013/2015</t>
  </si>
  <si>
    <t>Adaptacja pomieszczeń budynku Klubu Energetyk na potrzeby Młodzieżowego Domu Kultury w Koninie</t>
  </si>
  <si>
    <t xml:space="preserve">adaptacja pomieszczeń budynku </t>
  </si>
  <si>
    <t>przebudowa chodnika</t>
  </si>
  <si>
    <t>4040</t>
  </si>
  <si>
    <t>Wniesienie wkładu pieniężnego na opracowanie dokumentacji projektowej na budowę kanalizacji sanitarnej os. Wilków V etap (ul. Topolowa, Jarzębinowa)</t>
  </si>
  <si>
    <t>ust. 2</t>
  </si>
  <si>
    <t xml:space="preserve">ul. Przemysłowa (dawny 
Konwart); ul.Przemysłowa  - ul. Jeziorna; ul. Przemysłowa – Maliniec  (2 przejścia – rejon ul. Zapłocie i  ul. Malinieckiej); 
ul. Przemysłowa – Gaj; ul. Ślesińska - Cukrownia
</t>
  </si>
  <si>
    <t xml:space="preserve">Budowa oświetlenia ulicznego Al.. Cukrownicza, ul. Pałacowa, ul. 150-lecia, ul. Kortowa
</t>
  </si>
  <si>
    <t>oświetlenie uliczne</t>
  </si>
  <si>
    <t>Budowa kanalizacji deszczowej na terenie osiedla Pątnów  w Koninie</t>
  </si>
  <si>
    <t>dokumentacja projektowo-kosztorysowa</t>
  </si>
  <si>
    <t>Przygotowanie terenów inwestycyjnych w obrębie Konin - Międzylesie</t>
  </si>
  <si>
    <t>opracowanie studyjno-koncepcyjne, opracowanie dokumentacji projektowej</t>
  </si>
  <si>
    <t>2011/2013</t>
  </si>
  <si>
    <t>Wykonanie dokumentacji projektowej  budowy ulic: Bluszczowa, Gerberowa, Begoniowa, Kaktusowa, Nasturcjowa, Daliowa, Piwoniowa  w Koninie</t>
  </si>
  <si>
    <t>Budowa przyłączy kanalizacyjnych i przyłączenie nieruchomości do miejskiej sieci kanalizacyjnej</t>
  </si>
  <si>
    <t>przyłącza kanalizacyjne</t>
  </si>
  <si>
    <t>GK</t>
  </si>
  <si>
    <t xml:space="preserve">Kultura fizyczna </t>
  </si>
  <si>
    <t>Obiekty sportowe</t>
  </si>
  <si>
    <t>Wykonanie piłkochwytów przy boisku ORLIK 2012 przy Gimnazjum nr 3 na os. Chorzeń</t>
  </si>
  <si>
    <t>podwyższenie istniejących piłkochwytów</t>
  </si>
  <si>
    <t>Dokumentacja przyszłościowa na budowę boiska przy Gimnazjum                      nr 7 ul. Kard.Wyszyńskiego</t>
  </si>
  <si>
    <t>opracowanie dokumentacji projektowej</t>
  </si>
  <si>
    <t xml:space="preserve">Instytucje kultury fizycznej </t>
  </si>
  <si>
    <t>Wykonanie siłowni terenowej na osiedlu Zatorze</t>
  </si>
  <si>
    <t>siłownia terenowa</t>
  </si>
  <si>
    <t>MOSiR</t>
  </si>
  <si>
    <t>RAZEM POWIAT</t>
  </si>
  <si>
    <t>Drogi publiczne w miastach na prawach powiatu</t>
  </si>
  <si>
    <t>Przebudowa Wiaduktu Briańskiego wraz ze skrzyżowaniem ulic Kleczewska-Fryderyka Chopina</t>
  </si>
  <si>
    <t>przebudowa wiaduktu wraz ze skrzyżowaniem ulic oraz odwodnieniem i oświetleniem</t>
  </si>
  <si>
    <t>WI/GN</t>
  </si>
  <si>
    <t>Przebudowa ul. Żwirki i Wigury wraz z kanalizacją deszczową</t>
  </si>
  <si>
    <t>przebudowa ulicy wraz z kanalizacją deszczową</t>
  </si>
  <si>
    <t xml:space="preserve">Opracowanie dokumentacji projektowo-kosztorysowej na połączenie ul. I. Paderewskiego z ul. Kard. S. Wyszyńskiego
</t>
  </si>
  <si>
    <t xml:space="preserve">Opracowanie dokumentacji projektowej na przebudowę parkingu przy ul.Kard. S. Wyszyńskiego
</t>
  </si>
  <si>
    <t>Aktualizacja dokumentacji projektowej na II etap nowego przebiegu drogi krajowej Nr 25</t>
  </si>
  <si>
    <t xml:space="preserve">aktualizacja dokumentacji projektowej </t>
  </si>
  <si>
    <t>Działalność usługowa</t>
  </si>
  <si>
    <t>Ośrodki dokumentacji geodezyjnej i kartograficznej</t>
  </si>
  <si>
    <t>Zakup sprzętu komputerowego i kserograficznego do obsługi państwowego zasobu geodezyjnego i kartograficznego</t>
  </si>
  <si>
    <t>zakup sprzętu komputerowego i kserograficznego</t>
  </si>
  <si>
    <t>GM</t>
  </si>
  <si>
    <t>Nadzór budowlany</t>
  </si>
  <si>
    <t>Zakup urządzenia biurowego wielofunkcyjnego dla PINB dla miasta Konina</t>
  </si>
  <si>
    <t>zakup urządzenia wielofunkcyjnego (drukarka, fax., skan, kserokopiarka)</t>
  </si>
  <si>
    <t>PINB</t>
  </si>
  <si>
    <t>Zakup zestawu komputerowego wraz z oprogramowaniem dla PINB dla miasta Konina</t>
  </si>
  <si>
    <t>zakup komputera stacjonarnego (komputer, monitor, mysz, klawiatura, oprogramowanie)</t>
  </si>
  <si>
    <t>Komendy powiatowe Państwowej Straży Pożarnej</t>
  </si>
  <si>
    <t>Przebudowa pomieszczeń garażowych budynku strażnicy wraz z modernizacją kanalizacji deszczowej oraz wymianą nawierzchni placu manewrowego JRG Nr 1 i Komendy Miejskiej Państwowej Straży Pożarnej w Koninie</t>
  </si>
  <si>
    <t xml:space="preserve">       PLAN  PRZYCHODÓW  I  WYDATKÓW SAMORZĄDOWEGO ZAKŁADU BUDŻETOWEGO </t>
  </si>
  <si>
    <t xml:space="preserve">                                                                            NA 2013 ROK</t>
  </si>
  <si>
    <t>Plan przychodów na 2013 rok</t>
  </si>
  <si>
    <t xml:space="preserve">w tym: </t>
  </si>
  <si>
    <t>TREŚĆ</t>
  </si>
  <si>
    <t>PRZYCHODY</t>
  </si>
  <si>
    <t>kwota dotacji z budżetu miasta</t>
  </si>
  <si>
    <t>zakres dotacji</t>
  </si>
  <si>
    <t>WYDATKI</t>
  </si>
  <si>
    <t>wpłata do budżetu</t>
  </si>
  <si>
    <t>rozdział</t>
  </si>
  <si>
    <t xml:space="preserve">  w tym:</t>
  </si>
  <si>
    <t>1.</t>
  </si>
  <si>
    <t>Miejski Zakład Komunikacji</t>
  </si>
  <si>
    <t>a) dotacja przedmiotowa</t>
  </si>
  <si>
    <t>dotacja przedmiotowa do kosztów utrzymania zbiorowej komunikacji miejskiej</t>
  </si>
  <si>
    <t xml:space="preserve">       w tym:</t>
  </si>
  <si>
    <t xml:space="preserve">       porozumienia międzygminne</t>
  </si>
  <si>
    <t>a/ kompleksowa modernizacja garaży,                                          b/ kompleksowa modernizacja łazienki w JRG Nr 1,                                                                   c/ modernizacja kanalizacji sanitarnej i deszczowej w garażach i placach manewrowych,                                                    d/ modernizacja nawierzchni placów manewrowych</t>
  </si>
  <si>
    <t>KMPSP</t>
  </si>
  <si>
    <t>Dokształcanie i doskonalenie nauczycieli</t>
  </si>
  <si>
    <t>Wymiana stolarki drzwiowej w głównym wejściu do Miejskiego Ośrodka Doskonalenia Nauczycieli w Koninie</t>
  </si>
  <si>
    <t xml:space="preserve">wymiana stolarki drzwiowej </t>
  </si>
  <si>
    <t>MODN/WO</t>
  </si>
  <si>
    <t>Pomoc społeczna</t>
  </si>
  <si>
    <t>Domy Pomocy Społecznej</t>
  </si>
  <si>
    <t>Zakup samochodu do przewozu osób niepełnosprawnych dla DPS w Koninie</t>
  </si>
  <si>
    <t xml:space="preserve">samochód do przewozu osób niepełnosprawnych </t>
  </si>
  <si>
    <t>DPS</t>
  </si>
  <si>
    <t>Rozbudowa boisk przy ZSGE                   ul. Kard. Wyszyńskiego 3  w Koninie</t>
  </si>
  <si>
    <t>opracowanie dokumentacji projektowej i wykonawstwo</t>
  </si>
  <si>
    <t>2013/2014</t>
  </si>
  <si>
    <t>Budowa instalacji wewnętrznych ciepłej wody i centralnego ogrzewania z węzłem cieplnym w budynku przy ul. Zofii Urbanowskiej 4</t>
  </si>
  <si>
    <t xml:space="preserve">Rewitalizacja Starówki - budowa budynków mieszkalnych wielorodzinnych pomiędzy ulicą  Wodną  i Grunwaldzką w Koninie </t>
  </si>
  <si>
    <t xml:space="preserve">budowa instalacji wewnętrznych ciepłej wody i centralnego ogrzewania z węzłem cieplnym </t>
  </si>
  <si>
    <t xml:space="preserve"> Wiesław  Steinke</t>
  </si>
  <si>
    <t xml:space="preserve">na 2013 rok:  Nr  4/2013 Prezydenta Miasta Konina z dnia 23 stycznia 2013 r.; Nr 513 Rady Miasta Konina </t>
  </si>
  <si>
    <t xml:space="preserve">miasta Konina na 2013 rok zmienionej zarządzeniami  i uchwałami w sprawie zmian w budżecie miasta Konina </t>
  </si>
  <si>
    <t>Budowa oświetlenia ul. Żwirki i Wigury w Koninie</t>
  </si>
  <si>
    <t>Przebudowa ulicy Romana Dmowskiego w Koninie</t>
  </si>
  <si>
    <t>b) kwotę części powiatowej</t>
  </si>
  <si>
    <t>przebudowa ulicy</t>
  </si>
  <si>
    <t>wymiana lamp</t>
  </si>
  <si>
    <t>801</t>
  </si>
  <si>
    <t>zakup i montaż lamp solarnych ul. Beznazwy, Jeziorko os.Zatorze i ul. Spacerowa</t>
  </si>
  <si>
    <t xml:space="preserve">                                     UCHWAŁA  NR   </t>
  </si>
  <si>
    <t>Budowa oświetlenia na ul. Kanałowej w Koninie</t>
  </si>
  <si>
    <t>Wykonanie schodów wewnętrznych w Przedszkolu nr 4 w Koninie</t>
  </si>
  <si>
    <t>Zwiększa się plan dotacji celowej o kwotę</t>
  </si>
  <si>
    <t>6. W Załączniku Nr 2 do uchwały budżetowej dokonuje się następujących zmian:</t>
  </si>
  <si>
    <t>8. W § 1  w ust. 5</t>
  </si>
  <si>
    <r>
      <t xml:space="preserve">ze środków budżetowych miasta Konina na 2013 rok " </t>
    </r>
    <r>
      <rPr>
        <sz val="12"/>
        <rFont val="Times New Roman"/>
        <family val="1"/>
      </rPr>
      <t xml:space="preserve"> dokonuje się następujących zmian"</t>
    </r>
  </si>
  <si>
    <t>Wyszczególnienie</t>
  </si>
  <si>
    <t xml:space="preserve">Określenie zadań </t>
  </si>
  <si>
    <t>Plan na 2013 rok</t>
  </si>
  <si>
    <t>Razem zadania gminy</t>
  </si>
  <si>
    <t>6060</t>
  </si>
  <si>
    <t>4350</t>
  </si>
  <si>
    <t>Opracowanie dokumentacji projektowej i budowa przyłącza do budynku przy ul. Andrzeja Benesza do sieci KoMAN</t>
  </si>
  <si>
    <t>Dotacje celowe</t>
  </si>
  <si>
    <t>60004</t>
  </si>
  <si>
    <t>2310</t>
  </si>
  <si>
    <t>2910</t>
  </si>
  <si>
    <t>4560</t>
  </si>
  <si>
    <t>2650</t>
  </si>
  <si>
    <t xml:space="preserve">dotacja dla KDK na wykonanie klimatyzacji pomieszczenia Strefy K oraz modernizacja central klimatyzacyjnych sali widowiskowej
</t>
  </si>
  <si>
    <t xml:space="preserve">z dnia  31 lipiec 2013 roku     </t>
  </si>
  <si>
    <t>Załącznik nr 3</t>
  </si>
  <si>
    <t xml:space="preserve">z dnia  31 lipca 2013 roku      </t>
  </si>
  <si>
    <r>
      <t xml:space="preserve">3. W Załączniku nr 6 do uchwały budżetowej obejmującym </t>
    </r>
    <r>
      <rPr>
        <i/>
        <sz val="12"/>
        <rFont val="Times New Roman"/>
        <family val="1"/>
      </rPr>
      <t xml:space="preserve">"Plan dotacji i wydatków zadań </t>
    </r>
  </si>
  <si>
    <t>4. W § 1 ust. 3</t>
  </si>
  <si>
    <t>5. W Załączniku Nr 2 do uchwały budżetowej dokonuje się następujących zmian:</t>
  </si>
  <si>
    <t xml:space="preserve">9.  W § 3    do uchwały budżetowej </t>
  </si>
  <si>
    <t>10. W § 4 do uchwały budżetowej dokonuje się następujących zmian:</t>
  </si>
  <si>
    <t xml:space="preserve">usuwanie wyrobów zawierających azbest z nieruchomości położonych na terenie miasta Konina </t>
  </si>
  <si>
    <t>Kultura i ochrona dziedzictwa narodowego</t>
  </si>
  <si>
    <t xml:space="preserve">Razem zadania powiatu </t>
  </si>
  <si>
    <t>852</t>
  </si>
  <si>
    <t>Turystyka</t>
  </si>
  <si>
    <t xml:space="preserve">                                     z dnia  31 lipca  2013 roku</t>
  </si>
  <si>
    <t>90019</t>
  </si>
  <si>
    <t>dz. 600 rozdz.60016 § 6050   zmniejsza się o kwotę</t>
  </si>
  <si>
    <t>80103</t>
  </si>
  <si>
    <t>Wykonanie monitoringu na placu zabaw przy Szkole Podstawowej nr 1 w Koninie</t>
  </si>
  <si>
    <t>rozdz.80101 § 6050 zwiększa się o kwotę</t>
  </si>
  <si>
    <t>rozdz.80148 § 6060 zwiększa się o kwotę</t>
  </si>
  <si>
    <t>Zakup zmywarki dla SP nr 8 w Koninie</t>
  </si>
  <si>
    <t>4140</t>
  </si>
  <si>
    <t>80146</t>
  </si>
  <si>
    <t>4280</t>
  </si>
  <si>
    <t>§ 6060   zmniejsza się o kwotę</t>
  </si>
  <si>
    <t>§ 6050   zmniejsza się o kwotę</t>
  </si>
  <si>
    <t xml:space="preserve">Opracowanie koncepcji i studium wykonalności na budowę sali gimnastycznej </t>
  </si>
  <si>
    <t>przy SP nr 1</t>
  </si>
  <si>
    <t>dz. 801 rozdz.80101  zmniejsza się o kwotę</t>
  </si>
  <si>
    <t>dz. 801  zwiększa się o kwotę</t>
  </si>
  <si>
    <t>dz.600 rozdz.60004 § 2310 zwiększa się o kwotę</t>
  </si>
  <si>
    <t>dz.600 rozdz.60004 § 2650 zwiększa się o kwotę</t>
  </si>
  <si>
    <t>OGÓŁEM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</si>
</sst>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"/>
  </numFmts>
  <fonts count="85">
    <font>
      <sz val="10"/>
      <name val="Arial"/>
      <family val="0"/>
    </font>
    <font>
      <sz val="8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 CE"/>
      <family val="0"/>
    </font>
    <font>
      <sz val="10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i/>
      <sz val="14"/>
      <name val="Times New Roman"/>
      <family val="1"/>
    </font>
    <font>
      <sz val="13"/>
      <name val="Times New Roman"/>
      <family val="1"/>
    </font>
    <font>
      <i/>
      <sz val="11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Times New Roman"/>
      <family val="1"/>
    </font>
    <font>
      <sz val="10"/>
      <color indexed="48"/>
      <name val="Times New Roman"/>
      <family val="1"/>
    </font>
    <font>
      <sz val="12"/>
      <color indexed="48"/>
      <name val="Times New Roman"/>
      <family val="1"/>
    </font>
    <font>
      <b/>
      <sz val="12"/>
      <color indexed="48"/>
      <name val="Times New Roman"/>
      <family val="1"/>
    </font>
    <font>
      <b/>
      <sz val="11"/>
      <color indexed="48"/>
      <name val="Times New Roman"/>
      <family val="1"/>
    </font>
    <font>
      <b/>
      <sz val="12"/>
      <color indexed="10"/>
      <name val="Times New Roman"/>
      <family val="1"/>
    </font>
    <font>
      <i/>
      <sz val="10"/>
      <name val="Times New Roman"/>
      <family val="1"/>
    </font>
    <font>
      <b/>
      <sz val="14"/>
      <color indexed="10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b/>
      <i/>
      <sz val="13"/>
      <name val="Times New Roman"/>
      <family val="1"/>
    </font>
    <font>
      <b/>
      <sz val="14"/>
      <color indexed="12"/>
      <name val="Times New Roman"/>
      <family val="1"/>
    </font>
    <font>
      <b/>
      <i/>
      <sz val="11"/>
      <name val="Times New Roman"/>
      <family val="1"/>
    </font>
    <font>
      <b/>
      <sz val="11"/>
      <color indexed="12"/>
      <name val="Times New Roman"/>
      <family val="1"/>
    </font>
    <font>
      <b/>
      <sz val="10"/>
      <color indexed="10"/>
      <name val="Times New Roman"/>
      <family val="1"/>
    </font>
    <font>
      <b/>
      <sz val="11"/>
      <color indexed="57"/>
      <name val="Times New Roman"/>
      <family val="1"/>
    </font>
    <font>
      <b/>
      <sz val="11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48"/>
      <name val="Times New Roman"/>
      <family val="1"/>
    </font>
    <font>
      <sz val="11"/>
      <color indexed="12"/>
      <name val="Times New Roman"/>
      <family val="1"/>
    </font>
    <font>
      <b/>
      <sz val="11"/>
      <color indexed="17"/>
      <name val="Times New Roman"/>
      <family val="1"/>
    </font>
    <font>
      <b/>
      <sz val="14"/>
      <color indexed="48"/>
      <name val="Times New Roman"/>
      <family val="1"/>
    </font>
    <font>
      <b/>
      <sz val="14"/>
      <color indexed="57"/>
      <name val="Times New Roman"/>
      <family val="1"/>
    </font>
    <font>
      <b/>
      <sz val="12"/>
      <color indexed="57"/>
      <name val="Times New Roman"/>
      <family val="1"/>
    </font>
    <font>
      <sz val="9"/>
      <name val="Arial"/>
      <family val="0"/>
    </font>
    <font>
      <sz val="14"/>
      <name val="Arial"/>
      <family val="0"/>
    </font>
    <font>
      <sz val="8"/>
      <name val="Times New Roman"/>
      <family val="1"/>
    </font>
    <font>
      <i/>
      <sz val="16"/>
      <name val="Times New Roman"/>
      <family val="1"/>
    </font>
    <font>
      <i/>
      <sz val="7"/>
      <name val="Times New Roman"/>
      <family val="1"/>
    </font>
    <font>
      <b/>
      <sz val="9"/>
      <name val="Times New Roman"/>
      <family val="1"/>
    </font>
    <font>
      <sz val="10"/>
      <color indexed="10"/>
      <name val="Arial"/>
      <family val="0"/>
    </font>
    <font>
      <i/>
      <sz val="9"/>
      <name val="Times New Roman"/>
      <family val="1"/>
    </font>
    <font>
      <sz val="9"/>
      <name val="Arial CE"/>
      <family val="0"/>
    </font>
    <font>
      <b/>
      <sz val="8"/>
      <name val="Times New Roman"/>
      <family val="1"/>
    </font>
    <font>
      <b/>
      <i/>
      <sz val="10"/>
      <name val="Times New Roman"/>
      <family val="1"/>
    </font>
    <font>
      <sz val="6"/>
      <name val="Times New Roman"/>
      <family val="1"/>
    </font>
    <font>
      <i/>
      <sz val="8"/>
      <name val="Times New Roman"/>
      <family val="1"/>
    </font>
    <font>
      <b/>
      <sz val="7"/>
      <name val="Times New Roman"/>
      <family val="1"/>
    </font>
    <font>
      <b/>
      <sz val="10"/>
      <name val="Arial"/>
      <family val="0"/>
    </font>
    <font>
      <sz val="16"/>
      <name val="Times New Roman"/>
      <family val="1"/>
    </font>
    <font>
      <i/>
      <sz val="10"/>
      <name val="Arial"/>
      <family val="0"/>
    </font>
    <font>
      <b/>
      <sz val="16"/>
      <name val="Times New Roman"/>
      <family val="1"/>
    </font>
    <font>
      <b/>
      <sz val="9"/>
      <name val="Arial CE"/>
      <family val="0"/>
    </font>
    <font>
      <sz val="11"/>
      <name val="Times New Roman CE"/>
      <family val="1"/>
    </font>
    <font>
      <sz val="11"/>
      <name val="Arial"/>
      <family val="0"/>
    </font>
    <font>
      <b/>
      <sz val="10"/>
      <color indexed="10"/>
      <name val="Arial"/>
      <family val="2"/>
    </font>
    <font>
      <b/>
      <i/>
      <sz val="16"/>
      <name val="Times New Roman"/>
      <family val="1"/>
    </font>
    <font>
      <i/>
      <sz val="13"/>
      <name val="Times New Roman"/>
      <family val="1"/>
    </font>
    <font>
      <b/>
      <i/>
      <sz val="11"/>
      <color indexed="12"/>
      <name val="Times New Roman"/>
      <family val="1"/>
    </font>
    <font>
      <b/>
      <i/>
      <sz val="12"/>
      <color indexed="10"/>
      <name val="Times New Roman"/>
      <family val="1"/>
    </font>
    <font>
      <b/>
      <sz val="9"/>
      <name val="Arial"/>
      <family val="0"/>
    </font>
    <font>
      <i/>
      <sz val="9"/>
      <name val="Arial"/>
      <family val="0"/>
    </font>
    <font>
      <b/>
      <sz val="10"/>
      <color indexed="12"/>
      <name val="Arial"/>
      <family val="2"/>
    </font>
    <font>
      <sz val="14"/>
      <name val="Arial CE"/>
      <family val="0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i/>
      <sz val="10"/>
      <color indexed="10"/>
      <name val="Arial"/>
      <family val="2"/>
    </font>
    <font>
      <b/>
      <i/>
      <sz val="12"/>
      <color indexed="48"/>
      <name val="Times New Roman"/>
      <family val="1"/>
    </font>
    <font>
      <b/>
      <sz val="13"/>
      <color indexed="12"/>
      <name val="Times New Roman"/>
      <family val="1"/>
    </font>
    <font>
      <sz val="13"/>
      <color indexed="48"/>
      <name val="Times New Roman"/>
      <family val="1"/>
    </font>
    <font>
      <b/>
      <sz val="13"/>
      <color indexed="10"/>
      <name val="Times New Roman"/>
      <family val="1"/>
    </font>
    <font>
      <sz val="9"/>
      <color indexed="63"/>
      <name val="Times New Roman"/>
      <family val="1"/>
    </font>
    <font>
      <sz val="9"/>
      <color indexed="10"/>
      <name val="Times New Roman"/>
      <family val="1"/>
    </font>
    <font>
      <sz val="12"/>
      <name val="Arial"/>
      <family val="2"/>
    </font>
    <font>
      <b/>
      <sz val="16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36">
    <xf numFmtId="0" fontId="0" fillId="0" borderId="0" xfId="0" applyAlignment="1">
      <alignment/>
    </xf>
    <xf numFmtId="4" fontId="3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4" fontId="9" fillId="0" borderId="0" xfId="0" applyNumberFormat="1" applyFont="1" applyFill="1" applyAlignment="1">
      <alignment vertical="center"/>
    </xf>
    <xf numFmtId="4" fontId="9" fillId="0" borderId="0" xfId="0" applyNumberFormat="1" applyFont="1" applyFill="1" applyAlignment="1">
      <alignment/>
    </xf>
    <xf numFmtId="0" fontId="9" fillId="0" borderId="0" xfId="19" applyFont="1" applyFill="1">
      <alignment/>
      <protection/>
    </xf>
    <xf numFmtId="0" fontId="9" fillId="0" borderId="0" xfId="19" applyFont="1" applyFill="1" applyAlignment="1">
      <alignment horizontal="center"/>
      <protection/>
    </xf>
    <xf numFmtId="4" fontId="2" fillId="0" borderId="0" xfId="19" applyNumberFormat="1" applyFont="1" applyFill="1">
      <alignment/>
      <protection/>
    </xf>
    <xf numFmtId="0" fontId="3" fillId="0" borderId="0" xfId="19" applyFont="1" applyFill="1">
      <alignment/>
      <protection/>
    </xf>
    <xf numFmtId="4" fontId="3" fillId="0" borderId="0" xfId="19" applyNumberFormat="1" applyFont="1" applyFill="1">
      <alignment/>
      <protection/>
    </xf>
    <xf numFmtId="0" fontId="9" fillId="0" borderId="1" xfId="18" applyFont="1" applyFill="1" applyBorder="1">
      <alignment/>
      <protection/>
    </xf>
    <xf numFmtId="0" fontId="9" fillId="0" borderId="2" xfId="18" applyFont="1" applyFill="1" applyBorder="1">
      <alignment/>
      <protection/>
    </xf>
    <xf numFmtId="0" fontId="9" fillId="0" borderId="0" xfId="18" applyFont="1" applyFill="1" applyBorder="1">
      <alignment/>
      <protection/>
    </xf>
    <xf numFmtId="0" fontId="9" fillId="0" borderId="3" xfId="18" applyFont="1" applyFill="1" applyBorder="1" applyAlignment="1">
      <alignment horizontal="center" vertical="top"/>
      <protection/>
    </xf>
    <xf numFmtId="0" fontId="10" fillId="0" borderId="4" xfId="18" applyFont="1" applyFill="1" applyBorder="1" applyAlignment="1">
      <alignment vertical="center" wrapText="1"/>
      <protection/>
    </xf>
    <xf numFmtId="0" fontId="3" fillId="0" borderId="0" xfId="18" applyFont="1" applyFill="1">
      <alignment/>
      <protection/>
    </xf>
    <xf numFmtId="0" fontId="9" fillId="0" borderId="0" xfId="18" applyFont="1" applyFill="1">
      <alignment/>
      <protection/>
    </xf>
    <xf numFmtId="4" fontId="2" fillId="0" borderId="0" xfId="18" applyNumberFormat="1" applyFont="1" applyFill="1">
      <alignment/>
      <protection/>
    </xf>
    <xf numFmtId="4" fontId="5" fillId="0" borderId="0" xfId="18" applyNumberFormat="1" applyFont="1" applyFill="1" applyBorder="1" applyAlignment="1">
      <alignment horizontal="right"/>
      <protection/>
    </xf>
    <xf numFmtId="0" fontId="15" fillId="0" borderId="0" xfId="18" applyFont="1" applyFill="1">
      <alignment/>
      <protection/>
    </xf>
    <xf numFmtId="4" fontId="11" fillId="0" borderId="0" xfId="18" applyNumberFormat="1" applyFont="1" applyFill="1" applyAlignment="1">
      <alignment vertical="center"/>
      <protection/>
    </xf>
    <xf numFmtId="4" fontId="11" fillId="0" borderId="0" xfId="18" applyNumberFormat="1" applyFont="1" applyFill="1">
      <alignment/>
      <protection/>
    </xf>
    <xf numFmtId="4" fontId="7" fillId="0" borderId="0" xfId="22" applyNumberFormat="1" applyFont="1" applyFill="1" applyAlignment="1">
      <alignment horizontal="right"/>
      <protection/>
    </xf>
    <xf numFmtId="0" fontId="2" fillId="0" borderId="0" xfId="19" applyFont="1" applyFill="1">
      <alignment/>
      <protection/>
    </xf>
    <xf numFmtId="0" fontId="2" fillId="0" borderId="0" xfId="0" applyFont="1" applyFill="1" applyAlignment="1">
      <alignment/>
    </xf>
    <xf numFmtId="4" fontId="5" fillId="0" borderId="0" xfId="18" applyNumberFormat="1" applyFont="1" applyFill="1" applyAlignment="1">
      <alignment vertical="center"/>
      <protection/>
    </xf>
    <xf numFmtId="0" fontId="7" fillId="0" borderId="0" xfId="0" applyFont="1" applyFill="1" applyAlignment="1">
      <alignment/>
    </xf>
    <xf numFmtId="4" fontId="5" fillId="0" borderId="0" xfId="18" applyNumberFormat="1" applyFont="1" applyFill="1" applyBorder="1" applyAlignment="1">
      <alignment vertical="center"/>
      <protection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19" applyFont="1" applyFill="1" applyAlignment="1">
      <alignment horizontal="center"/>
      <protection/>
    </xf>
    <xf numFmtId="4" fontId="21" fillId="0" borderId="0" xfId="0" applyNumberFormat="1" applyFont="1" applyFill="1" applyAlignment="1">
      <alignment/>
    </xf>
    <xf numFmtId="4" fontId="22" fillId="0" borderId="0" xfId="0" applyNumberFormat="1" applyFont="1" applyFill="1" applyAlignment="1">
      <alignment/>
    </xf>
    <xf numFmtId="4" fontId="21" fillId="0" borderId="0" xfId="19" applyNumberFormat="1" applyFont="1" applyFill="1">
      <alignment/>
      <protection/>
    </xf>
    <xf numFmtId="4" fontId="22" fillId="0" borderId="0" xfId="19" applyNumberFormat="1" applyFont="1" applyFill="1">
      <alignment/>
      <protection/>
    </xf>
    <xf numFmtId="4" fontId="23" fillId="0" borderId="0" xfId="19" applyNumberFormat="1" applyFont="1" applyFill="1">
      <alignment/>
      <protection/>
    </xf>
    <xf numFmtId="4" fontId="21" fillId="0" borderId="0" xfId="18" applyNumberFormat="1" applyFont="1" applyFill="1">
      <alignment/>
      <protection/>
    </xf>
    <xf numFmtId="4" fontId="22" fillId="0" borderId="0" xfId="18" applyNumberFormat="1" applyFont="1" applyFill="1">
      <alignment/>
      <protection/>
    </xf>
    <xf numFmtId="4" fontId="23" fillId="0" borderId="0" xfId="18" applyNumberFormat="1" applyFont="1" applyFill="1">
      <alignment/>
      <protection/>
    </xf>
    <xf numFmtId="4" fontId="24" fillId="0" borderId="0" xfId="18" applyNumberFormat="1" applyFont="1" applyFill="1">
      <alignment/>
      <protection/>
    </xf>
    <xf numFmtId="4" fontId="23" fillId="0" borderId="0" xfId="18" applyNumberFormat="1" applyFont="1" applyFill="1" applyAlignment="1">
      <alignment vertical="center"/>
      <protection/>
    </xf>
    <xf numFmtId="4" fontId="20" fillId="0" borderId="0" xfId="19" applyNumberFormat="1" applyFont="1" applyFill="1">
      <alignment/>
      <protection/>
    </xf>
    <xf numFmtId="4" fontId="9" fillId="0" borderId="0" xfId="19" applyNumberFormat="1" applyFont="1" applyFill="1">
      <alignment/>
      <protection/>
    </xf>
    <xf numFmtId="4" fontId="3" fillId="0" borderId="0" xfId="18" applyNumberFormat="1" applyFont="1" applyFill="1" applyAlignment="1">
      <alignment horizontal="center"/>
      <protection/>
    </xf>
    <xf numFmtId="4" fontId="25" fillId="0" borderId="0" xfId="18" applyNumberFormat="1" applyFont="1" applyFill="1" applyAlignment="1">
      <alignment vertical="center"/>
      <protection/>
    </xf>
    <xf numFmtId="4" fontId="5" fillId="0" borderId="2" xfId="18" applyNumberFormat="1" applyFont="1" applyFill="1" applyBorder="1" applyAlignment="1">
      <alignment horizontal="right" vertical="center"/>
      <protection/>
    </xf>
    <xf numFmtId="4" fontId="5" fillId="0" borderId="2" xfId="18" applyNumberFormat="1" applyFont="1" applyFill="1" applyBorder="1" applyAlignment="1">
      <alignment vertical="center"/>
      <protection/>
    </xf>
    <xf numFmtId="0" fontId="5" fillId="0" borderId="0" xfId="0" applyFont="1" applyFill="1" applyAlignment="1">
      <alignment vertical="center"/>
    </xf>
    <xf numFmtId="4" fontId="23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4" fontId="3" fillId="0" borderId="0" xfId="18" applyNumberFormat="1" applyFont="1" applyFill="1" applyBorder="1" applyAlignment="1">
      <alignment vertical="center"/>
      <protection/>
    </xf>
    <xf numFmtId="4" fontId="3" fillId="0" borderId="0" xfId="18" applyNumberFormat="1" applyFont="1" applyFill="1" applyAlignment="1">
      <alignment vertical="center"/>
      <protection/>
    </xf>
    <xf numFmtId="4" fontId="22" fillId="0" borderId="0" xfId="18" applyNumberFormat="1" applyFont="1" applyFill="1" applyAlignment="1">
      <alignment vertical="center"/>
      <protection/>
    </xf>
    <xf numFmtId="4" fontId="13" fillId="0" borderId="0" xfId="18" applyNumberFormat="1" applyFont="1" applyFill="1" applyAlignment="1">
      <alignment vertical="center"/>
      <protection/>
    </xf>
    <xf numFmtId="0" fontId="13" fillId="0" borderId="0" xfId="18" applyFont="1" applyFill="1">
      <alignment/>
      <protection/>
    </xf>
    <xf numFmtId="0" fontId="2" fillId="0" borderId="0" xfId="19" applyFont="1" applyFill="1" applyAlignment="1">
      <alignment vertical="center"/>
      <protection/>
    </xf>
    <xf numFmtId="0" fontId="9" fillId="0" borderId="0" xfId="19" applyFont="1" applyFill="1" applyAlignment="1">
      <alignment vertical="center"/>
      <protection/>
    </xf>
    <xf numFmtId="0" fontId="9" fillId="0" borderId="0" xfId="19" applyFont="1" applyFill="1" applyAlignment="1">
      <alignment horizontal="center" vertical="center"/>
      <protection/>
    </xf>
    <xf numFmtId="4" fontId="9" fillId="0" borderId="0" xfId="19" applyNumberFormat="1" applyFont="1" applyFill="1" applyAlignment="1">
      <alignment vertical="center"/>
      <protection/>
    </xf>
    <xf numFmtId="4" fontId="3" fillId="0" borderId="0" xfId="19" applyNumberFormat="1" applyFont="1" applyFill="1" applyAlignment="1">
      <alignment vertical="center"/>
      <protection/>
    </xf>
    <xf numFmtId="4" fontId="14" fillId="0" borderId="0" xfId="19" applyNumberFormat="1" applyFont="1" applyFill="1" applyAlignment="1">
      <alignment horizontal="right" vertical="center"/>
      <protection/>
    </xf>
    <xf numFmtId="4" fontId="2" fillId="0" borderId="0" xfId="19" applyNumberFormat="1" applyFont="1" applyFill="1" applyAlignment="1">
      <alignment vertical="center"/>
      <protection/>
    </xf>
    <xf numFmtId="0" fontId="0" fillId="0" borderId="0" xfId="0" applyFill="1" applyAlignment="1">
      <alignment/>
    </xf>
    <xf numFmtId="49" fontId="2" fillId="0" borderId="0" xfId="19" applyNumberFormat="1" applyFont="1" applyFill="1">
      <alignment/>
      <protection/>
    </xf>
    <xf numFmtId="49" fontId="9" fillId="0" borderId="0" xfId="19" applyNumberFormat="1" applyFont="1" applyFill="1">
      <alignment/>
      <protection/>
    </xf>
    <xf numFmtId="49" fontId="9" fillId="0" borderId="0" xfId="19" applyNumberFormat="1" applyFont="1" applyFill="1" applyAlignment="1">
      <alignment horizontal="center"/>
      <protection/>
    </xf>
    <xf numFmtId="49" fontId="3" fillId="0" borderId="0" xfId="19" applyNumberFormat="1" applyFont="1" applyFill="1">
      <alignment/>
      <protection/>
    </xf>
    <xf numFmtId="49" fontId="9" fillId="0" borderId="0" xfId="0" applyNumberFormat="1" applyFont="1" applyFill="1" applyAlignment="1">
      <alignment/>
    </xf>
    <xf numFmtId="0" fontId="7" fillId="0" borderId="0" xfId="23" applyFont="1" applyFill="1" applyAlignment="1">
      <alignment horizontal="left"/>
      <protection/>
    </xf>
    <xf numFmtId="49" fontId="3" fillId="0" borderId="0" xfId="19" applyNumberFormat="1" applyFont="1" applyFill="1" applyAlignment="1">
      <alignment horizontal="center"/>
      <protection/>
    </xf>
    <xf numFmtId="49" fontId="3" fillId="0" borderId="0" xfId="18" applyNumberFormat="1" applyFont="1" applyFill="1">
      <alignment/>
      <protection/>
    </xf>
    <xf numFmtId="4" fontId="33" fillId="0" borderId="0" xfId="0" applyNumberFormat="1" applyFont="1" applyFill="1" applyAlignment="1">
      <alignment/>
    </xf>
    <xf numFmtId="4" fontId="20" fillId="0" borderId="0" xfId="0" applyNumberFormat="1" applyFont="1" applyFill="1" applyAlignment="1">
      <alignment/>
    </xf>
    <xf numFmtId="4" fontId="34" fillId="0" borderId="0" xfId="0" applyNumberFormat="1" applyFont="1" applyFill="1" applyAlignment="1">
      <alignment/>
    </xf>
    <xf numFmtId="4" fontId="27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/>
    </xf>
    <xf numFmtId="4" fontId="36" fillId="0" borderId="0" xfId="0" applyNumberFormat="1" applyFont="1" applyFill="1" applyAlignment="1">
      <alignment/>
    </xf>
    <xf numFmtId="49" fontId="7" fillId="0" borderId="0" xfId="0" applyNumberFormat="1" applyFont="1" applyFill="1" applyAlignment="1">
      <alignment/>
    </xf>
    <xf numFmtId="49" fontId="7" fillId="0" borderId="0" xfId="0" applyNumberFormat="1" applyFont="1" applyFill="1" applyAlignment="1">
      <alignment/>
    </xf>
    <xf numFmtId="4" fontId="25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49" fontId="32" fillId="0" borderId="0" xfId="0" applyNumberFormat="1" applyFont="1" applyFill="1" applyAlignment="1">
      <alignment/>
    </xf>
    <xf numFmtId="49" fontId="16" fillId="0" borderId="0" xfId="0" applyNumberFormat="1" applyFont="1" applyFill="1" applyAlignment="1">
      <alignment/>
    </xf>
    <xf numFmtId="4" fontId="37" fillId="0" borderId="0" xfId="0" applyNumberFormat="1" applyFont="1" applyFill="1" applyAlignment="1">
      <alignment/>
    </xf>
    <xf numFmtId="49" fontId="7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 horizontal="left"/>
    </xf>
    <xf numFmtId="49" fontId="4" fillId="0" borderId="0" xfId="21" applyNumberFormat="1" applyFont="1" applyFill="1">
      <alignment/>
      <protection/>
    </xf>
    <xf numFmtId="49" fontId="32" fillId="0" borderId="0" xfId="21" applyNumberFormat="1" applyFont="1" applyFill="1">
      <alignment/>
      <protection/>
    </xf>
    <xf numFmtId="49" fontId="32" fillId="0" borderId="0" xfId="21" applyNumberFormat="1" applyFont="1" applyFill="1" applyAlignment="1">
      <alignment horizontal="center"/>
      <protection/>
    </xf>
    <xf numFmtId="0" fontId="32" fillId="0" borderId="0" xfId="0" applyFont="1" applyFill="1" applyAlignment="1">
      <alignment horizontal="left"/>
    </xf>
    <xf numFmtId="0" fontId="32" fillId="0" borderId="0" xfId="19" applyFont="1" applyFill="1">
      <alignment/>
      <protection/>
    </xf>
    <xf numFmtId="4" fontId="2" fillId="0" borderId="0" xfId="0" applyNumberFormat="1" applyFont="1" applyFill="1" applyAlignment="1">
      <alignment/>
    </xf>
    <xf numFmtId="49" fontId="9" fillId="0" borderId="0" xfId="21" applyNumberFormat="1" applyFont="1" applyFill="1">
      <alignment/>
      <protection/>
    </xf>
    <xf numFmtId="49" fontId="9" fillId="0" borderId="0" xfId="21" applyNumberFormat="1" applyFont="1" applyFill="1" applyAlignment="1">
      <alignment horizontal="center"/>
      <protection/>
    </xf>
    <xf numFmtId="0" fontId="7" fillId="0" borderId="0" xfId="19" applyFont="1" applyFill="1">
      <alignment/>
      <protection/>
    </xf>
    <xf numFmtId="49" fontId="3" fillId="0" borderId="0" xfId="21" applyNumberFormat="1" applyFont="1" applyFill="1">
      <alignment/>
      <protection/>
    </xf>
    <xf numFmtId="49" fontId="7" fillId="0" borderId="0" xfId="21" applyNumberFormat="1" applyFont="1" applyFill="1">
      <alignment/>
      <protection/>
    </xf>
    <xf numFmtId="49" fontId="7" fillId="0" borderId="0" xfId="21" applyNumberFormat="1" applyFont="1" applyFill="1" applyAlignment="1">
      <alignment horizontal="center"/>
      <protection/>
    </xf>
    <xf numFmtId="49" fontId="9" fillId="0" borderId="5" xfId="18" applyNumberFormat="1" applyFont="1" applyFill="1" applyBorder="1">
      <alignment/>
      <protection/>
    </xf>
    <xf numFmtId="49" fontId="9" fillId="0" borderId="5" xfId="18" applyNumberFormat="1" applyFont="1" applyFill="1" applyBorder="1" applyAlignment="1">
      <alignment horizontal="center"/>
      <protection/>
    </xf>
    <xf numFmtId="49" fontId="9" fillId="0" borderId="6" xfId="18" applyNumberFormat="1" applyFont="1" applyFill="1" applyBorder="1">
      <alignment/>
      <protection/>
    </xf>
    <xf numFmtId="49" fontId="9" fillId="0" borderId="6" xfId="18" applyNumberFormat="1" applyFont="1" applyFill="1" applyBorder="1" applyAlignment="1">
      <alignment horizontal="center"/>
      <protection/>
    </xf>
    <xf numFmtId="49" fontId="9" fillId="0" borderId="3" xfId="18" applyNumberFormat="1" applyFont="1" applyFill="1" applyBorder="1" applyAlignment="1">
      <alignment horizontal="center" vertical="center"/>
      <protection/>
    </xf>
    <xf numFmtId="49" fontId="5" fillId="0" borderId="4" xfId="18" applyNumberFormat="1" applyFont="1" applyFill="1" applyBorder="1" applyAlignment="1">
      <alignment horizontal="center" vertical="center"/>
      <protection/>
    </xf>
    <xf numFmtId="4" fontId="5" fillId="0" borderId="3" xfId="18" applyNumberFormat="1" applyFont="1" applyFill="1" applyBorder="1" applyAlignment="1">
      <alignment horizontal="right" vertical="top"/>
      <protection/>
    </xf>
    <xf numFmtId="4" fontId="23" fillId="0" borderId="0" xfId="0" applyNumberFormat="1" applyFont="1" applyFill="1" applyAlignment="1">
      <alignment/>
    </xf>
    <xf numFmtId="49" fontId="5" fillId="0" borderId="5" xfId="18" applyNumberFormat="1" applyFont="1" applyFill="1" applyBorder="1" applyAlignment="1">
      <alignment horizontal="center" vertical="center"/>
      <protection/>
    </xf>
    <xf numFmtId="49" fontId="5" fillId="0" borderId="2" xfId="18" applyNumberFormat="1" applyFont="1" applyFill="1" applyBorder="1" applyAlignment="1">
      <alignment horizontal="center" vertical="center"/>
      <protection/>
    </xf>
    <xf numFmtId="49" fontId="3" fillId="0" borderId="2" xfId="18" applyNumberFormat="1" applyFont="1" applyFill="1" applyBorder="1" applyAlignment="1">
      <alignment horizontal="center" vertical="center"/>
      <protection/>
    </xf>
    <xf numFmtId="4" fontId="3" fillId="0" borderId="3" xfId="18" applyNumberFormat="1" applyFont="1" applyFill="1" applyBorder="1" applyAlignment="1">
      <alignment horizontal="right" vertical="top"/>
      <protection/>
    </xf>
    <xf numFmtId="49" fontId="3" fillId="0" borderId="7" xfId="18" applyNumberFormat="1" applyFont="1" applyFill="1" applyBorder="1" applyAlignment="1">
      <alignment horizontal="center" vertical="center"/>
      <protection/>
    </xf>
    <xf numFmtId="49" fontId="3" fillId="0" borderId="6" xfId="18" applyNumberFormat="1" applyFont="1" applyFill="1" applyBorder="1" applyAlignment="1">
      <alignment horizontal="center" vertical="center"/>
      <protection/>
    </xf>
    <xf numFmtId="49" fontId="3" fillId="0" borderId="8" xfId="18" applyNumberFormat="1" applyFont="1" applyFill="1" applyBorder="1" applyAlignment="1">
      <alignment horizontal="center" vertical="center"/>
      <protection/>
    </xf>
    <xf numFmtId="0" fontId="12" fillId="0" borderId="0" xfId="0" applyFont="1" applyFill="1" applyAlignment="1">
      <alignment/>
    </xf>
    <xf numFmtId="4" fontId="33" fillId="0" borderId="0" xfId="0" applyNumberFormat="1" applyFont="1" applyFill="1" applyAlignment="1">
      <alignment vertical="center"/>
    </xf>
    <xf numFmtId="4" fontId="25" fillId="0" borderId="0" xfId="0" applyNumberFormat="1" applyFont="1" applyFill="1" applyAlignment="1">
      <alignment vertical="center"/>
    </xf>
    <xf numFmtId="49" fontId="5" fillId="0" borderId="0" xfId="18" applyNumberFormat="1" applyFont="1" applyFill="1" applyBorder="1" applyAlignment="1">
      <alignment horizontal="left" vertical="center"/>
      <protection/>
    </xf>
    <xf numFmtId="49" fontId="5" fillId="0" borderId="0" xfId="18" applyNumberFormat="1" applyFont="1" applyFill="1" applyBorder="1" applyAlignment="1">
      <alignment horizontal="center" vertical="center"/>
      <protection/>
    </xf>
    <xf numFmtId="4" fontId="5" fillId="0" borderId="0" xfId="18" applyNumberFormat="1" applyFont="1" applyFill="1" applyBorder="1" applyAlignment="1">
      <alignment horizontal="right" vertical="center"/>
      <protection/>
    </xf>
    <xf numFmtId="4" fontId="5" fillId="0" borderId="8" xfId="18" applyNumberFormat="1" applyFont="1" applyFill="1" applyBorder="1" applyAlignment="1">
      <alignment horizontal="right" vertical="top"/>
      <protection/>
    </xf>
    <xf numFmtId="0" fontId="11" fillId="0" borderId="0" xfId="0" applyFont="1" applyFill="1" applyAlignment="1">
      <alignment/>
    </xf>
    <xf numFmtId="4" fontId="38" fillId="0" borderId="0" xfId="0" applyNumberFormat="1" applyFont="1" applyFill="1" applyAlignment="1">
      <alignment/>
    </xf>
    <xf numFmtId="4" fontId="3" fillId="0" borderId="8" xfId="18" applyNumberFormat="1" applyFont="1" applyFill="1" applyBorder="1" applyAlignment="1">
      <alignment horizontal="right" vertical="top"/>
      <protection/>
    </xf>
    <xf numFmtId="49" fontId="3" fillId="0" borderId="3" xfId="18" applyNumberFormat="1" applyFont="1" applyFill="1" applyBorder="1" applyAlignment="1">
      <alignment horizontal="center" vertical="center"/>
      <protection/>
    </xf>
    <xf numFmtId="4" fontId="5" fillId="0" borderId="8" xfId="18" applyNumberFormat="1" applyFont="1" applyFill="1" applyBorder="1" applyAlignment="1">
      <alignment horizontal="right" vertical="center"/>
      <protection/>
    </xf>
    <xf numFmtId="49" fontId="3" fillId="0" borderId="0" xfId="0" applyNumberFormat="1" applyFont="1" applyFill="1" applyAlignment="1">
      <alignment/>
    </xf>
    <xf numFmtId="49" fontId="9" fillId="0" borderId="0" xfId="18" applyNumberFormat="1" applyFont="1" applyFill="1">
      <alignment/>
      <protection/>
    </xf>
    <xf numFmtId="49" fontId="9" fillId="0" borderId="0" xfId="18" applyNumberFormat="1" applyFont="1" applyFill="1" applyAlignment="1">
      <alignment horizontal="center"/>
      <protection/>
    </xf>
    <xf numFmtId="4" fontId="35" fillId="0" borderId="0" xfId="18" applyNumberFormat="1" applyFont="1" applyFill="1">
      <alignment/>
      <protection/>
    </xf>
    <xf numFmtId="4" fontId="34" fillId="0" borderId="0" xfId="18" applyNumberFormat="1" applyFont="1" applyFill="1">
      <alignment/>
      <protection/>
    </xf>
    <xf numFmtId="164" fontId="9" fillId="0" borderId="0" xfId="18" applyNumberFormat="1" applyFont="1" applyFill="1">
      <alignment/>
      <protection/>
    </xf>
    <xf numFmtId="4" fontId="40" fillId="0" borderId="0" xfId="18" applyNumberFormat="1" applyFont="1" applyFill="1">
      <alignment/>
      <protection/>
    </xf>
    <xf numFmtId="4" fontId="25" fillId="0" borderId="0" xfId="18" applyNumberFormat="1" applyFont="1" applyFill="1">
      <alignment/>
      <protection/>
    </xf>
    <xf numFmtId="49" fontId="5" fillId="0" borderId="0" xfId="18" applyNumberFormat="1" applyFont="1" applyFill="1">
      <alignment/>
      <protection/>
    </xf>
    <xf numFmtId="49" fontId="12" fillId="0" borderId="0" xfId="18" applyNumberFormat="1" applyFont="1" applyFill="1" applyAlignment="1">
      <alignment horizontal="center"/>
      <protection/>
    </xf>
    <xf numFmtId="4" fontId="5" fillId="0" borderId="0" xfId="18" applyNumberFormat="1" applyFont="1" applyFill="1">
      <alignment/>
      <protection/>
    </xf>
    <xf numFmtId="4" fontId="33" fillId="0" borderId="0" xfId="18" applyNumberFormat="1" applyFont="1" applyFill="1">
      <alignment/>
      <protection/>
    </xf>
    <xf numFmtId="49" fontId="7" fillId="0" borderId="0" xfId="18" applyNumberFormat="1" applyFont="1" applyFill="1">
      <alignment/>
      <protection/>
    </xf>
    <xf numFmtId="4" fontId="3" fillId="0" borderId="0" xfId="18" applyNumberFormat="1" applyFont="1" applyFill="1">
      <alignment/>
      <protection/>
    </xf>
    <xf numFmtId="49" fontId="6" fillId="0" borderId="0" xfId="0" applyNumberFormat="1" applyFont="1" applyFill="1" applyAlignment="1">
      <alignment horizontal="left"/>
    </xf>
    <xf numFmtId="49" fontId="6" fillId="0" borderId="0" xfId="19" applyNumberFormat="1" applyFont="1" applyFill="1">
      <alignment/>
      <protection/>
    </xf>
    <xf numFmtId="4" fontId="27" fillId="0" borderId="0" xfId="18" applyNumberFormat="1" applyFont="1" applyFill="1">
      <alignment/>
      <protection/>
    </xf>
    <xf numFmtId="49" fontId="32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left"/>
    </xf>
    <xf numFmtId="49" fontId="32" fillId="0" borderId="0" xfId="19" applyNumberFormat="1" applyFont="1" applyFill="1">
      <alignment/>
      <protection/>
    </xf>
    <xf numFmtId="4" fontId="20" fillId="0" borderId="0" xfId="18" applyNumberFormat="1" applyFont="1" applyFill="1">
      <alignment/>
      <protection/>
    </xf>
    <xf numFmtId="4" fontId="9" fillId="0" borderId="0" xfId="18" applyNumberFormat="1" applyFont="1" applyFill="1">
      <alignment/>
      <protection/>
    </xf>
    <xf numFmtId="4" fontId="37" fillId="0" borderId="0" xfId="18" applyNumberFormat="1" applyFont="1" applyFill="1">
      <alignment/>
      <protection/>
    </xf>
    <xf numFmtId="49" fontId="17" fillId="0" borderId="0" xfId="18" applyNumberFormat="1" applyFont="1" applyFill="1">
      <alignment/>
      <protection/>
    </xf>
    <xf numFmtId="49" fontId="5" fillId="0" borderId="0" xfId="18" applyNumberFormat="1" applyFont="1" applyFill="1" applyBorder="1">
      <alignment/>
      <protection/>
    </xf>
    <xf numFmtId="49" fontId="5" fillId="0" borderId="0" xfId="18" applyNumberFormat="1" applyFont="1" applyFill="1" applyBorder="1" applyAlignment="1">
      <alignment horizontal="center"/>
      <protection/>
    </xf>
    <xf numFmtId="4" fontId="36" fillId="0" borderId="0" xfId="18" applyNumberFormat="1" applyFont="1" applyFill="1">
      <alignment/>
      <protection/>
    </xf>
    <xf numFmtId="4" fontId="41" fillId="0" borderId="0" xfId="18" applyNumberFormat="1" applyFont="1" applyFill="1">
      <alignment/>
      <protection/>
    </xf>
    <xf numFmtId="49" fontId="15" fillId="0" borderId="0" xfId="18" applyNumberFormat="1" applyFont="1" applyFill="1">
      <alignment/>
      <protection/>
    </xf>
    <xf numFmtId="49" fontId="15" fillId="0" borderId="0" xfId="18" applyNumberFormat="1" applyFont="1" applyFill="1" applyAlignment="1">
      <alignment horizontal="center"/>
      <protection/>
    </xf>
    <xf numFmtId="4" fontId="42" fillId="0" borderId="0" xfId="18" applyNumberFormat="1" applyFont="1" applyFill="1">
      <alignment/>
      <protection/>
    </xf>
    <xf numFmtId="4" fontId="43" fillId="0" borderId="0" xfId="18" applyNumberFormat="1" applyFont="1" applyFill="1">
      <alignment/>
      <protection/>
    </xf>
    <xf numFmtId="49" fontId="5" fillId="0" borderId="9" xfId="18" applyNumberFormat="1" applyFont="1" applyFill="1" applyBorder="1" applyAlignment="1">
      <alignment horizontal="center" vertical="center"/>
      <protection/>
    </xf>
    <xf numFmtId="0" fontId="5" fillId="0" borderId="0" xfId="18" applyFont="1" applyFill="1">
      <alignment/>
      <protection/>
    </xf>
    <xf numFmtId="49" fontId="5" fillId="0" borderId="1" xfId="18" applyNumberFormat="1" applyFont="1" applyFill="1" applyBorder="1" applyAlignment="1">
      <alignment vertical="center"/>
      <protection/>
    </xf>
    <xf numFmtId="49" fontId="3" fillId="0" borderId="10" xfId="18" applyNumberFormat="1" applyFont="1" applyFill="1" applyBorder="1" applyAlignment="1">
      <alignment horizontal="center" vertical="center"/>
      <protection/>
    </xf>
    <xf numFmtId="49" fontId="20" fillId="0" borderId="2" xfId="18" applyNumberFormat="1" applyFont="1" applyFill="1" applyBorder="1" applyAlignment="1">
      <alignment horizontal="center" vertical="center"/>
      <protection/>
    </xf>
    <xf numFmtId="4" fontId="33" fillId="0" borderId="0" xfId="18" applyNumberFormat="1" applyFont="1" applyFill="1" applyAlignment="1">
      <alignment vertical="center"/>
      <protection/>
    </xf>
    <xf numFmtId="49" fontId="5" fillId="0" borderId="0" xfId="18" applyNumberFormat="1" applyFont="1" applyFill="1" applyBorder="1" applyAlignment="1">
      <alignment vertical="center"/>
      <protection/>
    </xf>
    <xf numFmtId="49" fontId="3" fillId="0" borderId="0" xfId="18" applyNumberFormat="1" applyFont="1" applyFill="1" applyBorder="1" applyAlignment="1">
      <alignment horizontal="center" vertical="center"/>
      <protection/>
    </xf>
    <xf numFmtId="49" fontId="20" fillId="0" borderId="0" xfId="18" applyNumberFormat="1" applyFont="1" applyFill="1" applyBorder="1" applyAlignment="1">
      <alignment horizontal="center" vertical="center"/>
      <protection/>
    </xf>
    <xf numFmtId="49" fontId="9" fillId="0" borderId="11" xfId="18" applyNumberFormat="1" applyFont="1" applyFill="1" applyBorder="1">
      <alignment/>
      <protection/>
    </xf>
    <xf numFmtId="49" fontId="9" fillId="0" borderId="9" xfId="18" applyNumberFormat="1" applyFont="1" applyFill="1" applyBorder="1" applyAlignment="1">
      <alignment horizontal="center"/>
      <protection/>
    </xf>
    <xf numFmtId="49" fontId="9" fillId="0" borderId="7" xfId="18" applyNumberFormat="1" applyFont="1" applyFill="1" applyBorder="1">
      <alignment/>
      <protection/>
    </xf>
    <xf numFmtId="49" fontId="9" fillId="0" borderId="12" xfId="18" applyNumberFormat="1" applyFont="1" applyFill="1" applyBorder="1" applyAlignment="1">
      <alignment horizontal="center"/>
      <protection/>
    </xf>
    <xf numFmtId="49" fontId="9" fillId="0" borderId="7" xfId="18" applyNumberFormat="1" applyFont="1" applyFill="1" applyBorder="1" applyAlignment="1">
      <alignment horizontal="center" vertical="center"/>
      <protection/>
    </xf>
    <xf numFmtId="49" fontId="9" fillId="0" borderId="6" xfId="18" applyNumberFormat="1" applyFont="1" applyFill="1" applyBorder="1" applyAlignment="1">
      <alignment horizontal="center" vertical="center"/>
      <protection/>
    </xf>
    <xf numFmtId="49" fontId="9" fillId="0" borderId="12" xfId="18" applyNumberFormat="1" applyFont="1" applyFill="1" applyBorder="1" applyAlignment="1">
      <alignment horizontal="center" vertical="center"/>
      <protection/>
    </xf>
    <xf numFmtId="0" fontId="9" fillId="0" borderId="6" xfId="18" applyFont="1" applyFill="1" applyBorder="1" applyAlignment="1">
      <alignment horizontal="center" vertical="top"/>
      <protection/>
    </xf>
    <xf numFmtId="0" fontId="10" fillId="0" borderId="5" xfId="18" applyFont="1" applyFill="1" applyBorder="1" applyAlignment="1">
      <alignment vertical="center" wrapText="1"/>
      <protection/>
    </xf>
    <xf numFmtId="49" fontId="3" fillId="0" borderId="0" xfId="22" applyNumberFormat="1" applyFont="1" applyFill="1">
      <alignment/>
      <protection/>
    </xf>
    <xf numFmtId="49" fontId="28" fillId="0" borderId="0" xfId="22" applyNumberFormat="1" applyFont="1" applyFill="1">
      <alignment/>
      <protection/>
    </xf>
    <xf numFmtId="49" fontId="7" fillId="0" borderId="0" xfId="22" applyNumberFormat="1" applyFont="1" applyFill="1" applyAlignment="1">
      <alignment horizontal="center"/>
      <protection/>
    </xf>
    <xf numFmtId="49" fontId="30" fillId="0" borderId="0" xfId="18" applyNumberFormat="1" applyFont="1" applyFill="1">
      <alignment/>
      <protection/>
    </xf>
    <xf numFmtId="49" fontId="7" fillId="0" borderId="0" xfId="22" applyNumberFormat="1" applyFont="1" applyFill="1">
      <alignment/>
      <protection/>
    </xf>
    <xf numFmtId="49" fontId="4" fillId="0" borderId="0" xfId="18" applyNumberFormat="1" applyFont="1" applyFill="1">
      <alignment/>
      <protection/>
    </xf>
    <xf numFmtId="49" fontId="13" fillId="0" borderId="0" xfId="22" applyNumberFormat="1" applyFont="1" applyFill="1" applyAlignment="1">
      <alignment horizontal="center"/>
      <protection/>
    </xf>
    <xf numFmtId="49" fontId="3" fillId="0" borderId="0" xfId="0" applyNumberFormat="1" applyFont="1" applyFill="1" applyBorder="1" applyAlignment="1">
      <alignment vertical="center"/>
    </xf>
    <xf numFmtId="49" fontId="7" fillId="0" borderId="0" xfId="22" applyNumberFormat="1" applyFont="1" applyFill="1" applyBorder="1" applyAlignment="1">
      <alignment horizontal="center"/>
      <protection/>
    </xf>
    <xf numFmtId="49" fontId="15" fillId="0" borderId="0" xfId="22" applyNumberFormat="1" applyFont="1" applyFill="1">
      <alignment/>
      <protection/>
    </xf>
    <xf numFmtId="49" fontId="9" fillId="0" borderId="0" xfId="0" applyNumberFormat="1" applyFont="1" applyFill="1" applyAlignment="1">
      <alignment/>
    </xf>
    <xf numFmtId="49" fontId="6" fillId="0" borderId="0" xfId="18" applyNumberFormat="1" applyFont="1" applyFill="1" applyBorder="1" applyAlignment="1">
      <alignment horizontal="center"/>
      <protection/>
    </xf>
    <xf numFmtId="4" fontId="6" fillId="0" borderId="0" xfId="18" applyNumberFormat="1" applyFont="1" applyFill="1" applyBorder="1" applyAlignment="1">
      <alignment horizontal="right"/>
      <protection/>
    </xf>
    <xf numFmtId="49" fontId="3" fillId="0" borderId="0" xfId="21" applyNumberFormat="1" applyFont="1" applyFill="1" applyAlignment="1">
      <alignment horizontal="center"/>
      <protection/>
    </xf>
    <xf numFmtId="0" fontId="3" fillId="0" borderId="0" xfId="21" applyFont="1" applyFill="1">
      <alignment/>
      <protection/>
    </xf>
    <xf numFmtId="4" fontId="3" fillId="0" borderId="0" xfId="21" applyNumberFormat="1" applyFont="1" applyFill="1">
      <alignment/>
      <protection/>
    </xf>
    <xf numFmtId="0" fontId="34" fillId="0" borderId="0" xfId="0" applyFont="1" applyFill="1" applyAlignment="1">
      <alignment/>
    </xf>
    <xf numFmtId="49" fontId="15" fillId="0" borderId="0" xfId="21" applyNumberFormat="1" applyFont="1" applyFill="1">
      <alignment/>
      <protection/>
    </xf>
    <xf numFmtId="49" fontId="15" fillId="0" borderId="0" xfId="21" applyNumberFormat="1" applyFont="1" applyFill="1" applyAlignment="1">
      <alignment horizontal="center"/>
      <protection/>
    </xf>
    <xf numFmtId="0" fontId="15" fillId="0" borderId="0" xfId="21" applyFont="1" applyFill="1">
      <alignment/>
      <protection/>
    </xf>
    <xf numFmtId="4" fontId="15" fillId="0" borderId="0" xfId="21" applyNumberFormat="1" applyFont="1" applyFill="1">
      <alignment/>
      <protection/>
    </xf>
    <xf numFmtId="0" fontId="33" fillId="0" borderId="0" xfId="18" applyFont="1" applyFill="1">
      <alignment/>
      <protection/>
    </xf>
    <xf numFmtId="0" fontId="9" fillId="0" borderId="0" xfId="21" applyFont="1" applyFill="1">
      <alignment/>
      <protection/>
    </xf>
    <xf numFmtId="0" fontId="5" fillId="0" borderId="0" xfId="21" applyFont="1" applyFill="1">
      <alignment/>
      <protection/>
    </xf>
    <xf numFmtId="0" fontId="4" fillId="0" borderId="0" xfId="21" applyFont="1" applyFill="1">
      <alignment/>
      <protection/>
    </xf>
    <xf numFmtId="0" fontId="16" fillId="0" borderId="0" xfId="0" applyFont="1" applyFill="1" applyAlignment="1">
      <alignment/>
    </xf>
    <xf numFmtId="0" fontId="16" fillId="0" borderId="0" xfId="19" applyFont="1" applyFill="1">
      <alignment/>
      <protection/>
    </xf>
    <xf numFmtId="4" fontId="33" fillId="0" borderId="0" xfId="0" applyNumberFormat="1" applyFont="1" applyFill="1" applyAlignment="1">
      <alignment/>
    </xf>
    <xf numFmtId="4" fontId="33" fillId="0" borderId="0" xfId="18" applyNumberFormat="1" applyFont="1" applyFill="1">
      <alignment/>
      <protection/>
    </xf>
    <xf numFmtId="0" fontId="13" fillId="0" borderId="0" xfId="19" applyFont="1" applyFill="1" applyAlignment="1">
      <alignment vertical="center"/>
      <protection/>
    </xf>
    <xf numFmtId="49" fontId="5" fillId="0" borderId="1" xfId="18" applyNumberFormat="1" applyFont="1" applyFill="1" applyBorder="1" applyAlignment="1">
      <alignment horizontal="left" vertical="center"/>
      <protection/>
    </xf>
    <xf numFmtId="49" fontId="5" fillId="0" borderId="10" xfId="18" applyNumberFormat="1" applyFont="1" applyFill="1" applyBorder="1" applyAlignment="1">
      <alignment horizontal="center" vertical="center"/>
      <protection/>
    </xf>
    <xf numFmtId="49" fontId="5" fillId="0" borderId="1" xfId="18" applyNumberFormat="1" applyFont="1" applyFill="1" applyBorder="1" applyAlignment="1">
      <alignment horizontal="center" vertical="center"/>
      <protection/>
    </xf>
    <xf numFmtId="49" fontId="3" fillId="0" borderId="4" xfId="18" applyNumberFormat="1" applyFont="1" applyFill="1" applyBorder="1" applyAlignment="1">
      <alignment horizontal="center" vertical="center"/>
      <protection/>
    </xf>
    <xf numFmtId="0" fontId="9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/>
    </xf>
    <xf numFmtId="0" fontId="29" fillId="0" borderId="0" xfId="0" applyFont="1" applyFill="1" applyAlignment="1">
      <alignment vertical="center"/>
    </xf>
    <xf numFmtId="0" fontId="47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7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46" fillId="0" borderId="0" xfId="0" applyFont="1" applyFill="1" applyAlignment="1">
      <alignment vertical="center"/>
    </xf>
    <xf numFmtId="0" fontId="46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26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left" vertical="center" wrapText="1"/>
    </xf>
    <xf numFmtId="0" fontId="46" fillId="0" borderId="0" xfId="0" applyFont="1" applyFill="1" applyAlignment="1">
      <alignment vertical="center" wrapText="1"/>
    </xf>
    <xf numFmtId="0" fontId="9" fillId="0" borderId="0" xfId="0" applyFont="1" applyFill="1" applyAlignment="1">
      <alignment wrapText="1"/>
    </xf>
    <xf numFmtId="4" fontId="10" fillId="0" borderId="0" xfId="0" applyNumberFormat="1" applyFont="1" applyFill="1" applyAlignment="1">
      <alignment horizontal="center" vertical="center"/>
    </xf>
    <xf numFmtId="4" fontId="9" fillId="0" borderId="0" xfId="0" applyNumberFormat="1" applyFont="1" applyFill="1" applyAlignment="1">
      <alignment wrapText="1"/>
    </xf>
    <xf numFmtId="0" fontId="14" fillId="0" borderId="0" xfId="0" applyFont="1" applyFill="1" applyAlignment="1">
      <alignment horizontal="left"/>
    </xf>
    <xf numFmtId="1" fontId="46" fillId="0" borderId="0" xfId="0" applyNumberFormat="1" applyFont="1" applyFill="1" applyAlignment="1">
      <alignment horizontal="center"/>
    </xf>
    <xf numFmtId="1" fontId="9" fillId="0" borderId="0" xfId="0" applyNumberFormat="1" applyFont="1" applyFill="1" applyAlignment="1">
      <alignment horizontal="center" vertical="center"/>
    </xf>
    <xf numFmtId="0" fontId="46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wrapText="1"/>
    </xf>
    <xf numFmtId="4" fontId="48" fillId="0" borderId="0" xfId="0" applyNumberFormat="1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1" fontId="9" fillId="0" borderId="11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left" vertical="center"/>
    </xf>
    <xf numFmtId="4" fontId="9" fillId="0" borderId="5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 wrapText="1"/>
    </xf>
    <xf numFmtId="1" fontId="9" fillId="0" borderId="7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46" fillId="0" borderId="7" xfId="0" applyFont="1" applyFill="1" applyBorder="1" applyAlignment="1">
      <alignment horizontal="center" vertical="center" wrapText="1"/>
    </xf>
    <xf numFmtId="0" fontId="46" fillId="0" borderId="6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vertical="center" wrapText="1"/>
    </xf>
    <xf numFmtId="4" fontId="46" fillId="0" borderId="6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1" fontId="9" fillId="0" borderId="14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vertical="center" wrapText="1"/>
    </xf>
    <xf numFmtId="4" fontId="9" fillId="0" borderId="3" xfId="0" applyNumberFormat="1" applyFont="1" applyFill="1" applyBorder="1" applyAlignment="1">
      <alignment horizontal="center" vertical="center" wrapText="1"/>
    </xf>
    <xf numFmtId="0" fontId="46" fillId="0" borderId="5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vertical="center"/>
    </xf>
    <xf numFmtId="0" fontId="12" fillId="0" borderId="15" xfId="0" applyFont="1" applyFill="1" applyBorder="1" applyAlignment="1">
      <alignment vertical="center"/>
    </xf>
    <xf numFmtId="0" fontId="12" fillId="0" borderId="15" xfId="0" applyFont="1" applyFill="1" applyBorder="1" applyAlignment="1">
      <alignment horizontal="center" vertical="center"/>
    </xf>
    <xf numFmtId="0" fontId="49" fillId="0" borderId="15" xfId="0" applyFont="1" applyFill="1" applyBorder="1" applyAlignment="1">
      <alignment vertical="center"/>
    </xf>
    <xf numFmtId="4" fontId="12" fillId="0" borderId="3" xfId="0" applyNumberFormat="1" applyFont="1" applyFill="1" applyBorder="1" applyAlignment="1">
      <alignment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4" fontId="0" fillId="0" borderId="0" xfId="0" applyNumberFormat="1" applyFill="1" applyAlignment="1">
      <alignment/>
    </xf>
    <xf numFmtId="0" fontId="12" fillId="0" borderId="9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49" fillId="0" borderId="1" xfId="0" applyFont="1" applyFill="1" applyBorder="1" applyAlignment="1">
      <alignment vertical="center"/>
    </xf>
    <xf numFmtId="4" fontId="49" fillId="0" borderId="1" xfId="0" applyNumberFormat="1" applyFont="1" applyFill="1" applyBorder="1" applyAlignment="1">
      <alignment vertical="center"/>
    </xf>
    <xf numFmtId="4" fontId="50" fillId="0" borderId="0" xfId="0" applyNumberFormat="1" applyFont="1" applyFill="1" applyAlignment="1">
      <alignment/>
    </xf>
    <xf numFmtId="0" fontId="26" fillId="0" borderId="12" xfId="0" applyFont="1" applyFill="1" applyBorder="1" applyAlignment="1">
      <alignment horizontal="center" vertical="center"/>
    </xf>
    <xf numFmtId="0" fontId="26" fillId="0" borderId="3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51" fillId="0" borderId="1" xfId="0" applyFont="1" applyFill="1" applyBorder="1" applyAlignment="1">
      <alignment vertical="center" wrapText="1"/>
    </xf>
    <xf numFmtId="4" fontId="51" fillId="0" borderId="1" xfId="0" applyNumberFormat="1" applyFont="1" applyFill="1" applyBorder="1" applyAlignment="1">
      <alignment vertical="center" wrapText="1"/>
    </xf>
    <xf numFmtId="0" fontId="48" fillId="0" borderId="4" xfId="0" applyFont="1" applyFill="1" applyBorder="1" applyAlignment="1">
      <alignment horizontal="center" vertical="center"/>
    </xf>
    <xf numFmtId="0" fontId="29" fillId="0" borderId="4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1" fillId="0" borderId="6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9" fillId="0" borderId="4" xfId="0" applyFont="1" applyFill="1" applyBorder="1" applyAlignment="1">
      <alignment vertical="center" wrapText="1"/>
    </xf>
    <xf numFmtId="4" fontId="29" fillId="0" borderId="4" xfId="0" applyNumberFormat="1" applyFont="1" applyFill="1" applyBorder="1" applyAlignment="1">
      <alignment vertical="center"/>
    </xf>
    <xf numFmtId="0" fontId="46" fillId="0" borderId="4" xfId="0" applyFont="1" applyFill="1" applyBorder="1" applyAlignment="1">
      <alignment vertical="center" wrapText="1"/>
    </xf>
    <xf numFmtId="4" fontId="52" fillId="0" borderId="0" xfId="0" applyNumberFormat="1" applyFont="1" applyFill="1" applyAlignment="1">
      <alignment/>
    </xf>
    <xf numFmtId="0" fontId="52" fillId="0" borderId="0" xfId="0" applyFont="1" applyFill="1" applyAlignment="1">
      <alignment/>
    </xf>
    <xf numFmtId="0" fontId="29" fillId="0" borderId="5" xfId="0" applyFont="1" applyFill="1" applyBorder="1" applyAlignment="1">
      <alignment vertical="center" wrapText="1"/>
    </xf>
    <xf numFmtId="0" fontId="29" fillId="0" borderId="11" xfId="0" applyFont="1" applyFill="1" applyBorder="1" applyAlignment="1">
      <alignment vertical="center" wrapText="1"/>
    </xf>
    <xf numFmtId="4" fontId="29" fillId="0" borderId="1" xfId="0" applyNumberFormat="1" applyFont="1" applyFill="1" applyBorder="1" applyAlignment="1">
      <alignment vertical="center"/>
    </xf>
    <xf numFmtId="0" fontId="46" fillId="0" borderId="1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horizontal="center" vertical="center"/>
    </xf>
    <xf numFmtId="0" fontId="29" fillId="0" borderId="6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vertical="center" wrapText="1"/>
    </xf>
    <xf numFmtId="4" fontId="29" fillId="0" borderId="1" xfId="0" applyNumberFormat="1" applyFont="1" applyFill="1" applyBorder="1" applyAlignment="1">
      <alignment vertical="center" wrapText="1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vertical="center"/>
    </xf>
    <xf numFmtId="0" fontId="12" fillId="0" borderId="3" xfId="0" applyFont="1" applyFill="1" applyBorder="1" applyAlignment="1">
      <alignment horizontal="center" vertical="center"/>
    </xf>
    <xf numFmtId="0" fontId="49" fillId="0" borderId="1" xfId="0" applyFont="1" applyFill="1" applyBorder="1" applyAlignment="1">
      <alignment vertical="center" wrapText="1"/>
    </xf>
    <xf numFmtId="4" fontId="49" fillId="0" borderId="1" xfId="0" applyNumberFormat="1" applyFont="1" applyFill="1" applyBorder="1" applyAlignment="1">
      <alignment vertical="center" wrapText="1"/>
    </xf>
    <xf numFmtId="0" fontId="26" fillId="0" borderId="5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4" fontId="9" fillId="0" borderId="4" xfId="0" applyNumberFormat="1" applyFont="1" applyFill="1" applyBorder="1" applyAlignment="1">
      <alignment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/>
    </xf>
    <xf numFmtId="0" fontId="26" fillId="0" borderId="4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29" fillId="0" borderId="4" xfId="0" applyFont="1" applyFill="1" applyBorder="1" applyAlignment="1">
      <alignment vertical="top" wrapText="1"/>
    </xf>
    <xf numFmtId="0" fontId="49" fillId="0" borderId="14" xfId="0" applyFont="1" applyFill="1" applyBorder="1" applyAlignment="1">
      <alignment vertical="center" wrapText="1"/>
    </xf>
    <xf numFmtId="4" fontId="49" fillId="0" borderId="14" xfId="0" applyNumberFormat="1" applyFont="1" applyFill="1" applyBorder="1" applyAlignment="1">
      <alignment vertical="center" wrapText="1"/>
    </xf>
    <xf numFmtId="0" fontId="46" fillId="0" borderId="4" xfId="0" applyFont="1" applyFill="1" applyBorder="1" applyAlignment="1">
      <alignment horizontal="center" vertical="center"/>
    </xf>
    <xf numFmtId="0" fontId="26" fillId="0" borderId="8" xfId="0" applyFont="1" applyFill="1" applyBorder="1" applyAlignment="1">
      <alignment horizontal="center" vertical="center"/>
    </xf>
    <xf numFmtId="0" fontId="51" fillId="0" borderId="14" xfId="0" applyFont="1" applyFill="1" applyBorder="1" applyAlignment="1">
      <alignment vertical="center" wrapText="1"/>
    </xf>
    <xf numFmtId="4" fontId="51" fillId="0" borderId="14" xfId="0" applyNumberFormat="1" applyFont="1" applyFill="1" applyBorder="1" applyAlignment="1">
      <alignment vertical="center" wrapText="1"/>
    </xf>
    <xf numFmtId="0" fontId="12" fillId="0" borderId="6" xfId="0" applyFont="1" applyFill="1" applyBorder="1" applyAlignment="1">
      <alignment vertical="center"/>
    </xf>
    <xf numFmtId="0" fontId="9" fillId="0" borderId="6" xfId="0" applyFont="1" applyFill="1" applyBorder="1" applyAlignment="1">
      <alignment vertical="center"/>
    </xf>
    <xf numFmtId="0" fontId="29" fillId="0" borderId="2" xfId="18" applyFont="1" applyFill="1" applyBorder="1" applyAlignment="1">
      <alignment vertical="center" wrapText="1"/>
      <protection/>
    </xf>
    <xf numFmtId="4" fontId="29" fillId="0" borderId="2" xfId="0" applyNumberFormat="1" applyFont="1" applyFill="1" applyBorder="1" applyAlignment="1">
      <alignment vertical="center" wrapText="1"/>
    </xf>
    <xf numFmtId="0" fontId="46" fillId="0" borderId="2" xfId="18" applyFont="1" applyFill="1" applyBorder="1" applyAlignment="1">
      <alignment vertical="center" wrapText="1"/>
      <protection/>
    </xf>
    <xf numFmtId="4" fontId="9" fillId="0" borderId="2" xfId="0" applyNumberFormat="1" applyFont="1" applyFill="1" applyBorder="1" applyAlignment="1">
      <alignment vertical="center" wrapText="1"/>
    </xf>
    <xf numFmtId="0" fontId="10" fillId="0" borderId="4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53" fillId="0" borderId="4" xfId="0" applyFont="1" applyFill="1" applyBorder="1" applyAlignment="1">
      <alignment horizontal="center" vertical="center"/>
    </xf>
    <xf numFmtId="0" fontId="49" fillId="0" borderId="15" xfId="0" applyFont="1" applyFill="1" applyBorder="1" applyAlignment="1">
      <alignment vertical="center" wrapText="1"/>
    </xf>
    <xf numFmtId="4" fontId="49" fillId="0" borderId="4" xfId="0" applyNumberFormat="1" applyFont="1" applyFill="1" applyBorder="1" applyAlignment="1">
      <alignment vertical="center" wrapText="1"/>
    </xf>
    <xf numFmtId="0" fontId="54" fillId="0" borderId="6" xfId="0" applyFont="1" applyFill="1" applyBorder="1" applyAlignment="1">
      <alignment horizontal="center" vertical="center"/>
    </xf>
    <xf numFmtId="0" fontId="51" fillId="0" borderId="15" xfId="0" applyFont="1" applyFill="1" applyBorder="1" applyAlignment="1">
      <alignment vertical="center" wrapText="1"/>
    </xf>
    <xf numFmtId="4" fontId="51" fillId="0" borderId="4" xfId="0" applyNumberFormat="1" applyFont="1" applyFill="1" applyBorder="1" applyAlignment="1">
      <alignment vertical="center" wrapText="1"/>
    </xf>
    <xf numFmtId="0" fontId="12" fillId="0" borderId="6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4" fontId="9" fillId="0" borderId="4" xfId="0" applyNumberFormat="1" applyFont="1" applyFill="1" applyBorder="1" applyAlignment="1">
      <alignment vertical="center"/>
    </xf>
    <xf numFmtId="0" fontId="54" fillId="0" borderId="5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vertical="center" wrapText="1"/>
    </xf>
    <xf numFmtId="4" fontId="29" fillId="0" borderId="14" xfId="0" applyNumberFormat="1" applyFont="1" applyFill="1" applyBorder="1" applyAlignment="1">
      <alignment vertical="center" wrapText="1"/>
    </xf>
    <xf numFmtId="0" fontId="46" fillId="0" borderId="3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55" fillId="0" borderId="4" xfId="0" applyFont="1" applyFill="1" applyBorder="1" applyAlignment="1">
      <alignment horizontal="center" vertical="center" wrapText="1"/>
    </xf>
    <xf numFmtId="0" fontId="54" fillId="0" borderId="7" xfId="0" applyFont="1" applyFill="1" applyBorder="1" applyAlignment="1">
      <alignment horizontal="center" vertical="center"/>
    </xf>
    <xf numFmtId="4" fontId="46" fillId="0" borderId="1" xfId="0" applyNumberFormat="1" applyFont="1" applyFill="1" applyBorder="1" applyAlignment="1">
      <alignment vertical="center" wrapText="1"/>
    </xf>
    <xf numFmtId="0" fontId="9" fillId="0" borderId="13" xfId="0" applyFont="1" applyFill="1" applyBorder="1" applyAlignment="1">
      <alignment horizontal="center" vertical="center"/>
    </xf>
    <xf numFmtId="4" fontId="56" fillId="0" borderId="1" xfId="0" applyNumberFormat="1" applyFont="1" applyFill="1" applyBorder="1" applyAlignment="1">
      <alignment vertical="center" wrapText="1"/>
    </xf>
    <xf numFmtId="0" fontId="53" fillId="0" borderId="7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49" fillId="0" borderId="4" xfId="0" applyFont="1" applyFill="1" applyBorder="1" applyAlignment="1">
      <alignment vertical="center" wrapText="1"/>
    </xf>
    <xf numFmtId="0" fontId="53" fillId="0" borderId="1" xfId="0" applyFont="1" applyFill="1" applyBorder="1" applyAlignment="1">
      <alignment vertical="center" wrapText="1"/>
    </xf>
    <xf numFmtId="0" fontId="57" fillId="0" borderId="4" xfId="0" applyFont="1" applyFill="1" applyBorder="1" applyAlignment="1">
      <alignment horizontal="center" vertical="center"/>
    </xf>
    <xf numFmtId="0" fontId="58" fillId="0" borderId="0" xfId="0" applyFont="1" applyFill="1" applyAlignment="1">
      <alignment/>
    </xf>
    <xf numFmtId="0" fontId="46" fillId="0" borderId="7" xfId="0" applyFont="1" applyFill="1" applyBorder="1" applyAlignment="1">
      <alignment horizontal="center" vertical="center"/>
    </xf>
    <xf numFmtId="0" fontId="51" fillId="0" borderId="4" xfId="0" applyFont="1" applyFill="1" applyBorder="1" applyAlignment="1">
      <alignment vertical="center" wrapText="1"/>
    </xf>
    <xf numFmtId="0" fontId="26" fillId="0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29" fillId="0" borderId="1" xfId="18" applyFont="1" applyFill="1" applyBorder="1" applyAlignment="1">
      <alignment vertical="center" wrapText="1"/>
      <protection/>
    </xf>
    <xf numFmtId="0" fontId="46" fillId="0" borderId="1" xfId="18" applyFont="1" applyFill="1" applyBorder="1" applyAlignment="1">
      <alignment vertical="center" wrapText="1"/>
      <protection/>
    </xf>
    <xf numFmtId="4" fontId="29" fillId="0" borderId="1" xfId="18" applyNumberFormat="1" applyFont="1" applyFill="1" applyBorder="1" applyAlignment="1">
      <alignment vertical="center"/>
      <protection/>
    </xf>
    <xf numFmtId="0" fontId="12" fillId="0" borderId="8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0" fontId="12" fillId="0" borderId="5" xfId="0" applyFont="1" applyFill="1" applyBorder="1" applyAlignment="1">
      <alignment horizontal="center" vertical="center"/>
    </xf>
    <xf numFmtId="0" fontId="29" fillId="0" borderId="4" xfId="18" applyFont="1" applyFill="1" applyBorder="1" applyAlignment="1">
      <alignment vertical="center" wrapText="1"/>
      <protection/>
    </xf>
    <xf numFmtId="4" fontId="9" fillId="0" borderId="1" xfId="18" applyNumberFormat="1" applyFont="1" applyFill="1" applyBorder="1" applyAlignment="1">
      <alignment vertical="center"/>
      <protection/>
    </xf>
    <xf numFmtId="4" fontId="29" fillId="0" borderId="1" xfId="18" applyNumberFormat="1" applyFont="1" applyFill="1" applyBorder="1" applyAlignment="1">
      <alignment vertical="center" wrapText="1"/>
      <protection/>
    </xf>
    <xf numFmtId="0" fontId="46" fillId="0" borderId="1" xfId="18" applyFont="1" applyFill="1" applyBorder="1" applyAlignment="1">
      <alignment horizontal="left" vertical="center" wrapText="1"/>
      <protection/>
    </xf>
    <xf numFmtId="0" fontId="29" fillId="0" borderId="1" xfId="18" applyFont="1" applyFill="1" applyBorder="1" applyAlignment="1">
      <alignment vertical="center" wrapText="1"/>
      <protection/>
    </xf>
    <xf numFmtId="0" fontId="9" fillId="0" borderId="7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4" fontId="29" fillId="0" borderId="4" xfId="18" applyNumberFormat="1" applyFont="1" applyFill="1" applyBorder="1" applyAlignment="1">
      <alignment vertical="center" wrapText="1"/>
      <protection/>
    </xf>
    <xf numFmtId="4" fontId="29" fillId="0" borderId="3" xfId="18" applyNumberFormat="1" applyFont="1" applyFill="1" applyBorder="1" applyAlignment="1">
      <alignment vertical="center" wrapText="1"/>
      <protection/>
    </xf>
    <xf numFmtId="0" fontId="46" fillId="0" borderId="4" xfId="22" applyFont="1" applyFill="1" applyBorder="1" applyAlignment="1">
      <alignment horizontal="left" vertical="center" wrapText="1"/>
      <protection/>
    </xf>
    <xf numFmtId="4" fontId="9" fillId="0" borderId="4" xfId="18" applyNumberFormat="1" applyFont="1" applyFill="1" applyBorder="1" applyAlignment="1">
      <alignment vertical="center"/>
      <protection/>
    </xf>
    <xf numFmtId="4" fontId="29" fillId="0" borderId="14" xfId="18" applyNumberFormat="1" applyFont="1" applyFill="1" applyBorder="1" applyAlignment="1">
      <alignment vertical="center" wrapText="1"/>
      <protection/>
    </xf>
    <xf numFmtId="0" fontId="46" fillId="0" borderId="1" xfId="22" applyFont="1" applyFill="1" applyBorder="1" applyAlignment="1">
      <alignment horizontal="left" vertical="center" wrapText="1"/>
      <protection/>
    </xf>
    <xf numFmtId="0" fontId="29" fillId="0" borderId="1" xfId="18" applyFont="1" applyFill="1" applyBorder="1" applyAlignment="1">
      <alignment wrapText="1"/>
      <protection/>
    </xf>
    <xf numFmtId="0" fontId="26" fillId="0" borderId="0" xfId="0" applyFont="1" applyFill="1" applyBorder="1" applyAlignment="1">
      <alignment horizontal="center" vertical="center"/>
    </xf>
    <xf numFmtId="0" fontId="46" fillId="0" borderId="5" xfId="0" applyFont="1" applyFill="1" applyBorder="1" applyAlignment="1">
      <alignment vertical="center" wrapText="1"/>
    </xf>
    <xf numFmtId="0" fontId="10" fillId="0" borderId="5" xfId="0" applyFont="1" applyFill="1" applyBorder="1" applyAlignment="1">
      <alignment horizontal="center" vertical="center"/>
    </xf>
    <xf numFmtId="0" fontId="46" fillId="0" borderId="5" xfId="18" applyFont="1" applyFill="1" applyBorder="1" applyAlignment="1">
      <alignment horizontal="left" vertical="center" wrapText="1"/>
      <protection/>
    </xf>
    <xf numFmtId="0" fontId="9" fillId="0" borderId="0" xfId="0" applyFont="1" applyFill="1" applyBorder="1" applyAlignment="1">
      <alignment vertical="center"/>
    </xf>
    <xf numFmtId="0" fontId="44" fillId="0" borderId="6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51" fillId="0" borderId="4" xfId="0" applyFont="1" applyFill="1" applyBorder="1" applyAlignment="1">
      <alignment horizontal="center" vertical="center"/>
    </xf>
    <xf numFmtId="0" fontId="51" fillId="0" borderId="5" xfId="0" applyFont="1" applyFill="1" applyBorder="1" applyAlignment="1">
      <alignment vertical="center" wrapText="1"/>
    </xf>
    <xf numFmtId="0" fontId="11" fillId="0" borderId="4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4" fontId="12" fillId="0" borderId="4" xfId="0" applyNumberFormat="1" applyFont="1" applyFill="1" applyBorder="1" applyAlignment="1">
      <alignment vertical="center"/>
    </xf>
    <xf numFmtId="4" fontId="53" fillId="0" borderId="1" xfId="0" applyNumberFormat="1" applyFont="1" applyFill="1" applyBorder="1" applyAlignment="1">
      <alignment vertical="center" wrapText="1"/>
    </xf>
    <xf numFmtId="0" fontId="46" fillId="0" borderId="4" xfId="18" applyFont="1" applyFill="1" applyBorder="1" applyAlignment="1">
      <alignment vertical="center" wrapText="1"/>
      <protection/>
    </xf>
    <xf numFmtId="4" fontId="59" fillId="0" borderId="0" xfId="0" applyNumberFormat="1" applyFont="1" applyFill="1" applyAlignment="1">
      <alignment vertical="center"/>
    </xf>
    <xf numFmtId="0" fontId="48" fillId="0" borderId="4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vertical="center" wrapText="1"/>
    </xf>
    <xf numFmtId="4" fontId="9" fillId="0" borderId="14" xfId="0" applyNumberFormat="1" applyFont="1" applyFill="1" applyBorder="1" applyAlignment="1">
      <alignment vertical="center" wrapText="1"/>
    </xf>
    <xf numFmtId="4" fontId="12" fillId="0" borderId="4" xfId="0" applyNumberFormat="1" applyFont="1" applyFill="1" applyBorder="1" applyAlignment="1">
      <alignment vertical="center" wrapText="1"/>
    </xf>
    <xf numFmtId="0" fontId="26" fillId="0" borderId="14" xfId="0" applyFont="1" applyFill="1" applyBorder="1" applyAlignment="1">
      <alignment horizontal="center" vertical="center"/>
    </xf>
    <xf numFmtId="4" fontId="9" fillId="0" borderId="4" xfId="0" applyNumberFormat="1" applyFont="1" applyFill="1" applyBorder="1" applyAlignment="1">
      <alignment vertical="center"/>
    </xf>
    <xf numFmtId="0" fontId="51" fillId="0" borderId="10" xfId="0" applyFont="1" applyFill="1" applyBorder="1" applyAlignment="1">
      <alignment vertical="center" wrapText="1"/>
    </xf>
    <xf numFmtId="0" fontId="29" fillId="0" borderId="13" xfId="0" applyFont="1" applyFill="1" applyBorder="1" applyAlignment="1">
      <alignment vertical="center" wrapText="1"/>
    </xf>
    <xf numFmtId="4" fontId="29" fillId="0" borderId="11" xfId="0" applyNumberFormat="1" applyFont="1" applyFill="1" applyBorder="1" applyAlignment="1">
      <alignment vertical="center" wrapText="1"/>
    </xf>
    <xf numFmtId="4" fontId="29" fillId="0" borderId="4" xfId="0" applyNumberFormat="1" applyFont="1" applyFill="1" applyBorder="1" applyAlignment="1">
      <alignment vertical="center" wrapText="1"/>
    </xf>
    <xf numFmtId="0" fontId="46" fillId="0" borderId="10" xfId="0" applyFont="1" applyFill="1" applyBorder="1" applyAlignment="1">
      <alignment vertical="center" wrapText="1"/>
    </xf>
    <xf numFmtId="0" fontId="26" fillId="0" borderId="15" xfId="0" applyFont="1" applyFill="1" applyBorder="1" applyAlignment="1">
      <alignment horizontal="center" vertical="center"/>
    </xf>
    <xf numFmtId="0" fontId="60" fillId="0" borderId="0" xfId="0" applyFont="1" applyFill="1" applyAlignment="1">
      <alignment/>
    </xf>
    <xf numFmtId="0" fontId="61" fillId="0" borderId="1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center" vertical="center"/>
    </xf>
    <xf numFmtId="0" fontId="49" fillId="0" borderId="2" xfId="0" applyFont="1" applyFill="1" applyBorder="1" applyAlignment="1">
      <alignment vertical="center"/>
    </xf>
    <xf numFmtId="3" fontId="10" fillId="0" borderId="4" xfId="0" applyNumberFormat="1" applyFont="1" applyFill="1" applyBorder="1" applyAlignment="1">
      <alignment horizontal="center" vertical="center"/>
    </xf>
    <xf numFmtId="4" fontId="29" fillId="0" borderId="0" xfId="0" applyNumberFormat="1" applyFont="1" applyFill="1" applyAlignment="1">
      <alignment vertical="center"/>
    </xf>
    <xf numFmtId="4" fontId="52" fillId="0" borderId="0" xfId="0" applyNumberFormat="1" applyFont="1" applyFill="1" applyAlignment="1">
      <alignment horizontal="right"/>
    </xf>
    <xf numFmtId="4" fontId="62" fillId="0" borderId="0" xfId="0" applyNumberFormat="1" applyFont="1" applyFill="1" applyAlignment="1">
      <alignment/>
    </xf>
    <xf numFmtId="49" fontId="3" fillId="0" borderId="5" xfId="18" applyNumberFormat="1" applyFont="1" applyFill="1" applyBorder="1" applyAlignment="1">
      <alignment horizontal="center" vertical="center"/>
      <protection/>
    </xf>
    <xf numFmtId="49" fontId="3" fillId="0" borderId="12" xfId="18" applyNumberFormat="1" applyFont="1" applyFill="1" applyBorder="1" applyAlignment="1">
      <alignment horizontal="center" vertical="center"/>
      <protection/>
    </xf>
    <xf numFmtId="0" fontId="3" fillId="0" borderId="0" xfId="0" applyFont="1" applyFill="1" applyAlignment="1">
      <alignment vertical="center"/>
    </xf>
    <xf numFmtId="4" fontId="0" fillId="0" borderId="0" xfId="0" applyNumberFormat="1" applyFill="1" applyAlignment="1">
      <alignment vertical="center"/>
    </xf>
    <xf numFmtId="0" fontId="63" fillId="0" borderId="0" xfId="18" applyFont="1" applyFill="1" applyAlignment="1">
      <alignment horizontal="left"/>
      <protection/>
    </xf>
    <xf numFmtId="0" fontId="63" fillId="0" borderId="0" xfId="23" applyFont="1" applyFill="1" applyAlignment="1">
      <alignment horizontal="left"/>
      <protection/>
    </xf>
    <xf numFmtId="0" fontId="64" fillId="0" borderId="0" xfId="0" applyFont="1" applyFill="1" applyAlignment="1">
      <alignment horizontal="left"/>
    </xf>
    <xf numFmtId="4" fontId="3" fillId="0" borderId="2" xfId="18" applyNumberFormat="1" applyFont="1" applyFill="1" applyBorder="1" applyAlignment="1">
      <alignment horizontal="right" vertical="center"/>
      <protection/>
    </xf>
    <xf numFmtId="4" fontId="22" fillId="0" borderId="0" xfId="0" applyNumberFormat="1" applyFont="1" applyFill="1" applyAlignment="1">
      <alignment vertical="center"/>
    </xf>
    <xf numFmtId="49" fontId="29" fillId="0" borderId="0" xfId="18" applyNumberFormat="1" applyFont="1" applyFill="1" applyBorder="1" applyAlignment="1">
      <alignment horizontal="left" vertical="center" wrapText="1"/>
      <protection/>
    </xf>
    <xf numFmtId="0" fontId="5" fillId="0" borderId="0" xfId="18" applyFont="1" applyFill="1" applyBorder="1" applyAlignment="1">
      <alignment horizontal="center"/>
      <protection/>
    </xf>
    <xf numFmtId="49" fontId="28" fillId="0" borderId="0" xfId="19" applyNumberFormat="1" applyFont="1" applyFill="1">
      <alignment/>
      <protection/>
    </xf>
    <xf numFmtId="0" fontId="28" fillId="0" borderId="0" xfId="0" applyFont="1" applyFill="1" applyAlignment="1">
      <alignment vertical="center"/>
    </xf>
    <xf numFmtId="0" fontId="54" fillId="0" borderId="0" xfId="0" applyFont="1" applyFill="1" applyAlignment="1">
      <alignment/>
    </xf>
    <xf numFmtId="0" fontId="26" fillId="0" borderId="0" xfId="0" applyFont="1" applyFill="1" applyAlignment="1">
      <alignment horizontal="right"/>
    </xf>
    <xf numFmtId="0" fontId="9" fillId="0" borderId="4" xfId="0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left" vertical="center"/>
    </xf>
    <xf numFmtId="4" fontId="12" fillId="0" borderId="0" xfId="0" applyNumberFormat="1" applyFont="1" applyFill="1" applyAlignment="1">
      <alignment vertical="center"/>
    </xf>
    <xf numFmtId="4" fontId="3" fillId="0" borderId="4" xfId="0" applyNumberFormat="1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/>
    </xf>
    <xf numFmtId="4" fontId="5" fillId="0" borderId="3" xfId="0" applyNumberFormat="1" applyFont="1" applyFill="1" applyBorder="1" applyAlignment="1">
      <alignment horizontal="right" vertical="center"/>
    </xf>
    <xf numFmtId="0" fontId="49" fillId="0" borderId="4" xfId="0" applyFont="1" applyFill="1" applyBorder="1" applyAlignment="1">
      <alignment horizontal="left" vertical="center" wrapText="1"/>
    </xf>
    <xf numFmtId="0" fontId="49" fillId="0" borderId="5" xfId="0" applyFont="1" applyFill="1" applyBorder="1" applyAlignment="1">
      <alignment horizontal="left" vertical="center" wrapText="1"/>
    </xf>
    <xf numFmtId="0" fontId="29" fillId="0" borderId="4" xfId="0" applyFont="1" applyFill="1" applyBorder="1" applyAlignment="1">
      <alignment horizontal="left" vertical="center"/>
    </xf>
    <xf numFmtId="0" fontId="29" fillId="0" borderId="2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vertical="center"/>
    </xf>
    <xf numFmtId="0" fontId="9" fillId="0" borderId="14" xfId="0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right" vertical="center"/>
    </xf>
    <xf numFmtId="0" fontId="9" fillId="0" borderId="7" xfId="0" applyFont="1" applyFill="1" applyBorder="1" applyAlignment="1">
      <alignment vertical="center"/>
    </xf>
    <xf numFmtId="0" fontId="29" fillId="0" borderId="4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/>
    </xf>
    <xf numFmtId="0" fontId="51" fillId="0" borderId="2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/>
    </xf>
    <xf numFmtId="0" fontId="29" fillId="0" borderId="9" xfId="0" applyFont="1" applyFill="1" applyBorder="1" applyAlignment="1">
      <alignment horizontal="left" vertical="center" wrapText="1"/>
    </xf>
    <xf numFmtId="4" fontId="13" fillId="0" borderId="4" xfId="0" applyNumberFormat="1" applyFont="1" applyFill="1" applyBorder="1" applyAlignment="1">
      <alignment horizontal="right" vertical="center"/>
    </xf>
    <xf numFmtId="0" fontId="49" fillId="0" borderId="5" xfId="0" applyFont="1" applyFill="1" applyBorder="1" applyAlignment="1">
      <alignment vertical="center"/>
    </xf>
    <xf numFmtId="0" fontId="49" fillId="0" borderId="4" xfId="0" applyFont="1" applyFill="1" applyBorder="1" applyAlignment="1">
      <alignment vertical="center"/>
    </xf>
    <xf numFmtId="4" fontId="11" fillId="0" borderId="4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Alignment="1">
      <alignment vertical="center"/>
    </xf>
    <xf numFmtId="0" fontId="9" fillId="0" borderId="5" xfId="0" applyFont="1" applyFill="1" applyBorder="1" applyAlignment="1">
      <alignment/>
    </xf>
    <xf numFmtId="0" fontId="9" fillId="0" borderId="3" xfId="0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4" fontId="29" fillId="0" borderId="0" xfId="0" applyNumberFormat="1" applyFont="1" applyFill="1" applyAlignment="1">
      <alignment/>
    </xf>
    <xf numFmtId="4" fontId="11" fillId="0" borderId="0" xfId="0" applyNumberFormat="1" applyFont="1" applyFill="1" applyAlignment="1">
      <alignment/>
    </xf>
    <xf numFmtId="0" fontId="9" fillId="0" borderId="6" xfId="0" applyFont="1" applyFill="1" applyBorder="1" applyAlignment="1">
      <alignment/>
    </xf>
    <xf numFmtId="4" fontId="5" fillId="0" borderId="3" xfId="0" applyNumberFormat="1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49" fontId="3" fillId="0" borderId="9" xfId="18" applyNumberFormat="1" applyFont="1" applyFill="1" applyBorder="1" applyAlignment="1">
      <alignment horizontal="center" vertical="center"/>
      <protection/>
    </xf>
    <xf numFmtId="49" fontId="5" fillId="0" borderId="14" xfId="18" applyNumberFormat="1" applyFont="1" applyFill="1" applyBorder="1" applyAlignment="1">
      <alignment vertical="center"/>
      <protection/>
    </xf>
    <xf numFmtId="49" fontId="3" fillId="0" borderId="15" xfId="18" applyNumberFormat="1" applyFont="1" applyFill="1" applyBorder="1" applyAlignment="1">
      <alignment horizontal="center" vertical="center"/>
      <protection/>
    </xf>
    <xf numFmtId="0" fontId="15" fillId="0" borderId="0" xfId="0" applyFont="1" applyFill="1" applyAlignment="1">
      <alignment/>
    </xf>
    <xf numFmtId="0" fontId="26" fillId="0" borderId="0" xfId="0" applyFont="1" applyFill="1" applyAlignment="1">
      <alignment/>
    </xf>
    <xf numFmtId="49" fontId="26" fillId="0" borderId="0" xfId="0" applyNumberFormat="1" applyFont="1" applyFill="1" applyAlignment="1">
      <alignment/>
    </xf>
    <xf numFmtId="0" fontId="26" fillId="0" borderId="0" xfId="18" applyFont="1" applyFill="1">
      <alignment/>
      <protection/>
    </xf>
    <xf numFmtId="4" fontId="14" fillId="0" borderId="0" xfId="18" applyNumberFormat="1" applyFont="1" applyFill="1">
      <alignment/>
      <protection/>
    </xf>
    <xf numFmtId="49" fontId="15" fillId="0" borderId="0" xfId="0" applyNumberFormat="1" applyFont="1" applyFill="1" applyAlignment="1">
      <alignment/>
    </xf>
    <xf numFmtId="0" fontId="49" fillId="0" borderId="14" xfId="0" applyFont="1" applyFill="1" applyBorder="1" applyAlignment="1">
      <alignment horizontal="left" vertical="center"/>
    </xf>
    <xf numFmtId="0" fontId="29" fillId="0" borderId="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4" fillId="0" borderId="0" xfId="0" applyNumberFormat="1" applyFont="1" applyFill="1" applyAlignment="1">
      <alignment vertical="center"/>
    </xf>
    <xf numFmtId="0" fontId="66" fillId="0" borderId="0" xfId="0" applyFont="1" applyFill="1" applyAlignment="1">
      <alignment/>
    </xf>
    <xf numFmtId="0" fontId="16" fillId="0" borderId="0" xfId="0" applyFont="1" applyFill="1" applyAlignment="1">
      <alignment vertical="center"/>
    </xf>
    <xf numFmtId="4" fontId="7" fillId="0" borderId="0" xfId="0" applyNumberFormat="1" applyFont="1" applyFill="1" applyAlignment="1">
      <alignment/>
    </xf>
    <xf numFmtId="0" fontId="37" fillId="0" borderId="0" xfId="0" applyFont="1" applyFill="1" applyAlignment="1">
      <alignment/>
    </xf>
    <xf numFmtId="0" fontId="26" fillId="0" borderId="0" xfId="0" applyFont="1" applyFill="1" applyAlignment="1">
      <alignment horizontal="left"/>
    </xf>
    <xf numFmtId="0" fontId="2" fillId="0" borderId="13" xfId="0" applyFont="1" applyFill="1" applyBorder="1" applyAlignment="1">
      <alignment/>
    </xf>
    <xf numFmtId="0" fontId="5" fillId="0" borderId="2" xfId="0" applyFont="1" applyFill="1" applyBorder="1" applyAlignment="1">
      <alignment horizontal="center" vertical="center"/>
    </xf>
    <xf numFmtId="4" fontId="5" fillId="0" borderId="3" xfId="0" applyNumberFormat="1" applyFont="1" applyFill="1" applyBorder="1" applyAlignment="1">
      <alignment horizontal="right" vertical="center" wrapText="1"/>
    </xf>
    <xf numFmtId="0" fontId="14" fillId="0" borderId="13" xfId="0" applyFont="1" applyFill="1" applyBorder="1" applyAlignment="1">
      <alignment/>
    </xf>
    <xf numFmtId="0" fontId="13" fillId="0" borderId="2" xfId="0" applyFont="1" applyFill="1" applyBorder="1" applyAlignment="1">
      <alignment horizontal="center" vertical="center"/>
    </xf>
    <xf numFmtId="4" fontId="13" fillId="0" borderId="3" xfId="0" applyNumberFormat="1" applyFont="1" applyFill="1" applyBorder="1" applyAlignment="1">
      <alignment horizontal="right" vertical="center" wrapText="1"/>
    </xf>
    <xf numFmtId="0" fontId="49" fillId="0" borderId="11" xfId="0" applyFont="1" applyFill="1" applyBorder="1" applyAlignment="1">
      <alignment horizontal="center" vertical="center"/>
    </xf>
    <xf numFmtId="0" fontId="49" fillId="0" borderId="2" xfId="0" applyFont="1" applyFill="1" applyBorder="1" applyAlignment="1">
      <alignment horizontal="center" vertical="center"/>
    </xf>
    <xf numFmtId="4" fontId="26" fillId="0" borderId="0" xfId="0" applyNumberFormat="1" applyFont="1" applyFill="1" applyAlignment="1">
      <alignment/>
    </xf>
    <xf numFmtId="0" fontId="49" fillId="0" borderId="11" xfId="0" applyFont="1" applyFill="1" applyBorder="1" applyAlignment="1">
      <alignment horizontal="left" vertical="center"/>
    </xf>
    <xf numFmtId="0" fontId="29" fillId="0" borderId="5" xfId="0" applyFont="1" applyFill="1" applyBorder="1" applyAlignment="1">
      <alignment/>
    </xf>
    <xf numFmtId="0" fontId="29" fillId="0" borderId="2" xfId="0" applyFont="1" applyFill="1" applyBorder="1" applyAlignment="1">
      <alignment horizontal="left" vertical="center"/>
    </xf>
    <xf numFmtId="0" fontId="49" fillId="0" borderId="1" xfId="0" applyFont="1" applyFill="1" applyBorder="1" applyAlignment="1">
      <alignment horizontal="center" vertical="center"/>
    </xf>
    <xf numFmtId="0" fontId="49" fillId="0" borderId="1" xfId="0" applyFont="1" applyFill="1" applyBorder="1" applyAlignment="1">
      <alignment horizontal="left" vertical="center"/>
    </xf>
    <xf numFmtId="0" fontId="29" fillId="0" borderId="4" xfId="0" applyFont="1" applyFill="1" applyBorder="1" applyAlignment="1">
      <alignment/>
    </xf>
    <xf numFmtId="0" fontId="49" fillId="0" borderId="10" xfId="0" applyFont="1" applyFill="1" applyBorder="1" applyAlignment="1">
      <alignment horizontal="center" vertical="center"/>
    </xf>
    <xf numFmtId="0" fontId="49" fillId="0" borderId="6" xfId="0" applyFont="1" applyFill="1" applyBorder="1" applyAlignment="1">
      <alignment horizontal="left" vertical="center" wrapText="1"/>
    </xf>
    <xf numFmtId="0" fontId="49" fillId="0" borderId="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28" fillId="0" borderId="2" xfId="0" applyFont="1" applyFill="1" applyBorder="1" applyAlignment="1">
      <alignment horizontal="left" vertical="center" wrapText="1"/>
    </xf>
    <xf numFmtId="4" fontId="0" fillId="0" borderId="0" xfId="0" applyNumberFormat="1" applyFont="1" applyFill="1" applyAlignment="1">
      <alignment/>
    </xf>
    <xf numFmtId="0" fontId="4" fillId="0" borderId="14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28" fillId="0" borderId="8" xfId="0" applyFont="1" applyFill="1" applyBorder="1" applyAlignment="1">
      <alignment horizontal="left" vertical="center" wrapText="1"/>
    </xf>
    <xf numFmtId="4" fontId="13" fillId="0" borderId="8" xfId="0" applyNumberFormat="1" applyFont="1" applyFill="1" applyBorder="1" applyAlignment="1">
      <alignment horizontal="right" vertical="center"/>
    </xf>
    <xf numFmtId="4" fontId="5" fillId="0" borderId="8" xfId="0" applyNumberFormat="1" applyFont="1" applyFill="1" applyBorder="1" applyAlignment="1">
      <alignment horizontal="right" vertical="center"/>
    </xf>
    <xf numFmtId="0" fontId="29" fillId="0" borderId="1" xfId="0" applyFont="1" applyFill="1" applyBorder="1" applyAlignment="1">
      <alignment horizontal="left" vertical="center"/>
    </xf>
    <xf numFmtId="0" fontId="54" fillId="0" borderId="10" xfId="0" applyFont="1" applyFill="1" applyBorder="1" applyAlignment="1">
      <alignment horizontal="center" vertical="center"/>
    </xf>
    <xf numFmtId="0" fontId="29" fillId="0" borderId="9" xfId="0" applyFont="1" applyFill="1" applyBorder="1" applyAlignment="1">
      <alignment/>
    </xf>
    <xf numFmtId="0" fontId="29" fillId="0" borderId="8" xfId="0" applyFont="1" applyFill="1" applyBorder="1" applyAlignment="1">
      <alignment/>
    </xf>
    <xf numFmtId="0" fontId="49" fillId="0" borderId="7" xfId="0" applyFont="1" applyFill="1" applyBorder="1" applyAlignment="1">
      <alignment horizontal="center" vertical="center"/>
    </xf>
    <xf numFmtId="0" fontId="49" fillId="0" borderId="6" xfId="0" applyFont="1" applyFill="1" applyBorder="1" applyAlignment="1">
      <alignment vertical="center" wrapText="1"/>
    </xf>
    <xf numFmtId="0" fontId="49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/>
    </xf>
    <xf numFmtId="4" fontId="3" fillId="0" borderId="3" xfId="0" applyNumberFormat="1" applyFont="1" applyFill="1" applyBorder="1" applyAlignment="1">
      <alignment horizontal="right" vertical="center" wrapText="1"/>
    </xf>
    <xf numFmtId="0" fontId="49" fillId="0" borderId="4" xfId="0" applyFont="1" applyFill="1" applyBorder="1" applyAlignment="1">
      <alignment horizontal="left" vertical="center"/>
    </xf>
    <xf numFmtId="4" fontId="68" fillId="0" borderId="0" xfId="18" applyNumberFormat="1" applyFont="1" applyFill="1" applyAlignment="1">
      <alignment vertical="center"/>
      <protection/>
    </xf>
    <xf numFmtId="4" fontId="69" fillId="0" borderId="0" xfId="18" applyNumberFormat="1" applyFont="1" applyFill="1" applyAlignment="1">
      <alignment vertical="center"/>
      <protection/>
    </xf>
    <xf numFmtId="4" fontId="39" fillId="0" borderId="0" xfId="18" applyNumberFormat="1" applyFont="1" applyFill="1" applyAlignment="1">
      <alignment vertical="center"/>
      <protection/>
    </xf>
    <xf numFmtId="4" fontId="20" fillId="0" borderId="0" xfId="18" applyNumberFormat="1" applyFont="1" applyFill="1" applyAlignment="1">
      <alignment vertical="center"/>
      <protection/>
    </xf>
    <xf numFmtId="4" fontId="29" fillId="2" borderId="1" xfId="0" applyNumberFormat="1" applyFont="1" applyFill="1" applyBorder="1" applyAlignment="1">
      <alignment vertical="center" wrapText="1"/>
    </xf>
    <xf numFmtId="0" fontId="12" fillId="0" borderId="7" xfId="0" applyFont="1" applyFill="1" applyBorder="1" applyAlignment="1">
      <alignment vertical="center"/>
    </xf>
    <xf numFmtId="0" fontId="53" fillId="0" borderId="5" xfId="0" applyFont="1" applyFill="1" applyBorder="1" applyAlignment="1">
      <alignment horizontal="center" vertical="center"/>
    </xf>
    <xf numFmtId="0" fontId="46" fillId="0" borderId="6" xfId="0" applyFont="1" applyFill="1" applyBorder="1" applyAlignment="1">
      <alignment horizontal="center" vertical="center"/>
    </xf>
    <xf numFmtId="0" fontId="70" fillId="0" borderId="4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vertical="center"/>
    </xf>
    <xf numFmtId="0" fontId="49" fillId="0" borderId="1" xfId="18" applyFont="1" applyFill="1" applyBorder="1" applyAlignment="1">
      <alignment vertical="center" wrapText="1"/>
      <protection/>
    </xf>
    <xf numFmtId="0" fontId="57" fillId="0" borderId="4" xfId="0" applyFont="1" applyFill="1" applyBorder="1" applyAlignment="1">
      <alignment horizontal="center" vertical="center" wrapText="1"/>
    </xf>
    <xf numFmtId="0" fontId="71" fillId="0" borderId="6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51" fillId="0" borderId="1" xfId="18" applyFont="1" applyFill="1" applyBorder="1" applyAlignment="1">
      <alignment vertical="center" wrapText="1"/>
      <protection/>
    </xf>
    <xf numFmtId="0" fontId="26" fillId="0" borderId="4" xfId="0" applyFont="1" applyFill="1" applyBorder="1" applyAlignment="1">
      <alignment vertical="center"/>
    </xf>
    <xf numFmtId="4" fontId="49" fillId="0" borderId="1" xfId="18" applyNumberFormat="1" applyFont="1" applyFill="1" applyBorder="1" applyAlignment="1">
      <alignment vertical="center" wrapText="1"/>
      <protection/>
    </xf>
    <xf numFmtId="4" fontId="51" fillId="0" borderId="1" xfId="18" applyNumberFormat="1" applyFont="1" applyFill="1" applyBorder="1" applyAlignment="1">
      <alignment vertical="center" wrapText="1"/>
      <protection/>
    </xf>
    <xf numFmtId="0" fontId="29" fillId="0" borderId="15" xfId="0" applyFont="1" applyFill="1" applyBorder="1" applyAlignment="1">
      <alignment vertical="center" wrapText="1"/>
    </xf>
    <xf numFmtId="0" fontId="26" fillId="0" borderId="7" xfId="0" applyFont="1" applyFill="1" applyBorder="1" applyAlignment="1">
      <alignment horizontal="center" vertical="center"/>
    </xf>
    <xf numFmtId="0" fontId="5" fillId="0" borderId="0" xfId="18" applyFont="1" applyFill="1" applyBorder="1">
      <alignment/>
      <protection/>
    </xf>
    <xf numFmtId="4" fontId="5" fillId="0" borderId="4" xfId="18" applyNumberFormat="1" applyFont="1" applyFill="1" applyBorder="1" applyAlignment="1">
      <alignment horizontal="right" vertical="top"/>
      <protection/>
    </xf>
    <xf numFmtId="49" fontId="15" fillId="0" borderId="0" xfId="0" applyNumberFormat="1" applyFont="1" applyFill="1" applyAlignment="1">
      <alignment/>
    </xf>
    <xf numFmtId="49" fontId="67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29" fillId="0" borderId="1" xfId="18" applyFont="1" applyFill="1" applyBorder="1" applyAlignment="1">
      <alignment vertical="top" wrapText="1"/>
      <protection/>
    </xf>
    <xf numFmtId="0" fontId="10" fillId="0" borderId="1" xfId="22" applyFont="1" applyFill="1" applyBorder="1" applyAlignment="1">
      <alignment horizontal="left" vertical="top" wrapText="1"/>
      <protection/>
    </xf>
    <xf numFmtId="0" fontId="10" fillId="0" borderId="1" xfId="22" applyFont="1" applyFill="1" applyBorder="1" applyAlignment="1">
      <alignment horizontal="left" vertical="center" wrapText="1"/>
      <protection/>
    </xf>
    <xf numFmtId="0" fontId="29" fillId="0" borderId="2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horizontal="center" vertical="center"/>
    </xf>
    <xf numFmtId="0" fontId="72" fillId="0" borderId="0" xfId="0" applyFont="1" applyFill="1" applyAlignment="1">
      <alignment/>
    </xf>
    <xf numFmtId="4" fontId="72" fillId="0" borderId="0" xfId="0" applyNumberFormat="1" applyFont="1" applyFill="1" applyAlignment="1">
      <alignment/>
    </xf>
    <xf numFmtId="4" fontId="65" fillId="0" borderId="0" xfId="0" applyNumberFormat="1" applyFont="1" applyFill="1" applyAlignment="1">
      <alignment/>
    </xf>
    <xf numFmtId="4" fontId="66" fillId="0" borderId="0" xfId="0" applyNumberFormat="1" applyFont="1" applyFill="1" applyAlignment="1">
      <alignment/>
    </xf>
    <xf numFmtId="49" fontId="15" fillId="0" borderId="0" xfId="18" applyNumberFormat="1" applyFont="1" applyFill="1" applyAlignment="1">
      <alignment horizontal="left"/>
      <protection/>
    </xf>
    <xf numFmtId="49" fontId="17" fillId="0" borderId="0" xfId="18" applyNumberFormat="1" applyFont="1" applyFill="1" applyBorder="1" applyAlignment="1">
      <alignment horizontal="center"/>
      <protection/>
    </xf>
    <xf numFmtId="4" fontId="17" fillId="0" borderId="0" xfId="18" applyNumberFormat="1" applyFont="1" applyFill="1" applyBorder="1" applyAlignment="1">
      <alignment horizontal="right"/>
      <protection/>
    </xf>
    <xf numFmtId="0" fontId="12" fillId="0" borderId="6" xfId="0" applyFont="1" applyFill="1" applyBorder="1" applyAlignment="1">
      <alignment/>
    </xf>
    <xf numFmtId="0" fontId="12" fillId="0" borderId="6" xfId="0" applyFont="1" applyFill="1" applyBorder="1" applyAlignment="1">
      <alignment horizontal="center"/>
    </xf>
    <xf numFmtId="0" fontId="53" fillId="0" borderId="6" xfId="0" applyFont="1" applyFill="1" applyBorder="1" applyAlignment="1">
      <alignment horizontal="center"/>
    </xf>
    <xf numFmtId="0" fontId="73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0" fontId="4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right"/>
    </xf>
    <xf numFmtId="0" fontId="45" fillId="0" borderId="0" xfId="0" applyFont="1" applyFill="1" applyAlignment="1">
      <alignment/>
    </xf>
    <xf numFmtId="0" fontId="6" fillId="0" borderId="1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2" xfId="0" applyFont="1" applyFill="1" applyBorder="1" applyAlignment="1">
      <alignment/>
    </xf>
    <xf numFmtId="0" fontId="5" fillId="0" borderId="10" xfId="0" applyFont="1" applyFill="1" applyBorder="1" applyAlignment="1">
      <alignment vertical="center"/>
    </xf>
    <xf numFmtId="0" fontId="59" fillId="0" borderId="1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/>
    </xf>
    <xf numFmtId="0" fontId="9" fillId="0" borderId="7" xfId="0" applyFont="1" applyFill="1" applyBorder="1" applyAlignment="1">
      <alignment/>
    </xf>
    <xf numFmtId="0" fontId="56" fillId="0" borderId="15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vertical="center"/>
    </xf>
    <xf numFmtId="0" fontId="56" fillId="0" borderId="8" xfId="0" applyFont="1" applyFill="1" applyBorder="1" applyAlignment="1">
      <alignment vertical="center"/>
    </xf>
    <xf numFmtId="0" fontId="12" fillId="0" borderId="7" xfId="0" applyFont="1" applyFill="1" applyBorder="1" applyAlignment="1">
      <alignment horizontal="center"/>
    </xf>
    <xf numFmtId="0" fontId="46" fillId="0" borderId="3" xfId="0" applyFont="1" applyFill="1" applyBorder="1" applyAlignment="1">
      <alignment horizontal="center"/>
    </xf>
    <xf numFmtId="0" fontId="9" fillId="0" borderId="14" xfId="0" applyFont="1" applyFill="1" applyBorder="1" applyAlignment="1">
      <alignment/>
    </xf>
    <xf numFmtId="0" fontId="10" fillId="0" borderId="4" xfId="0" applyFont="1" applyFill="1" applyBorder="1" applyAlignment="1">
      <alignment horizontal="center"/>
    </xf>
    <xf numFmtId="0" fontId="74" fillId="0" borderId="4" xfId="0" applyFont="1" applyFill="1" applyBorder="1" applyAlignment="1">
      <alignment/>
    </xf>
    <xf numFmtId="4" fontId="13" fillId="0" borderId="3" xfId="0" applyNumberFormat="1" applyFont="1" applyFill="1" applyBorder="1" applyAlignment="1">
      <alignment/>
    </xf>
    <xf numFmtId="4" fontId="13" fillId="0" borderId="14" xfId="0" applyNumberFormat="1" applyFont="1" applyFill="1" applyBorder="1" applyAlignment="1">
      <alignment/>
    </xf>
    <xf numFmtId="4" fontId="13" fillId="0" borderId="6" xfId="0" applyNumberFormat="1" applyFont="1" applyFill="1" applyBorder="1" applyAlignment="1">
      <alignment/>
    </xf>
    <xf numFmtId="4" fontId="46" fillId="0" borderId="0" xfId="0" applyNumberFormat="1" applyFont="1" applyFill="1" applyAlignment="1">
      <alignment/>
    </xf>
    <xf numFmtId="0" fontId="75" fillId="0" borderId="7" xfId="0" applyFont="1" applyFill="1" applyBorder="1" applyAlignment="1">
      <alignment/>
    </xf>
    <xf numFmtId="4" fontId="9" fillId="0" borderId="6" xfId="0" applyNumberFormat="1" applyFont="1" applyFill="1" applyBorder="1" applyAlignment="1">
      <alignment/>
    </xf>
    <xf numFmtId="4" fontId="9" fillId="0" borderId="7" xfId="0" applyNumberFormat="1" applyFont="1" applyFill="1" applyBorder="1" applyAlignment="1">
      <alignment/>
    </xf>
    <xf numFmtId="4" fontId="9" fillId="0" borderId="5" xfId="0" applyNumberFormat="1" applyFont="1" applyFill="1" applyBorder="1" applyAlignment="1">
      <alignment/>
    </xf>
    <xf numFmtId="4" fontId="9" fillId="0" borderId="12" xfId="0" applyNumberFormat="1" applyFont="1" applyFill="1" applyBorder="1" applyAlignment="1">
      <alignment/>
    </xf>
    <xf numFmtId="0" fontId="5" fillId="0" borderId="7" xfId="0" applyFont="1" applyFill="1" applyBorder="1" applyAlignment="1">
      <alignment vertical="center"/>
    </xf>
    <xf numFmtId="0" fontId="53" fillId="0" borderId="6" xfId="0" applyFont="1" applyFill="1" applyBorder="1" applyAlignment="1">
      <alignment horizontal="center" vertical="center"/>
    </xf>
    <xf numFmtId="4" fontId="54" fillId="0" borderId="7" xfId="0" applyNumberFormat="1" applyFont="1" applyFill="1" applyBorder="1" applyAlignment="1">
      <alignment vertical="center" wrapText="1"/>
    </xf>
    <xf numFmtId="4" fontId="12" fillId="0" borderId="12" xfId="0" applyNumberFormat="1" applyFont="1" applyFill="1" applyBorder="1" applyAlignment="1">
      <alignment vertical="center"/>
    </xf>
    <xf numFmtId="4" fontId="53" fillId="0" borderId="0" xfId="0" applyNumberFormat="1" applyFont="1" applyFill="1" applyAlignment="1">
      <alignment vertical="center"/>
    </xf>
    <xf numFmtId="0" fontId="53" fillId="0" borderId="0" xfId="0" applyFont="1" applyFill="1" applyAlignment="1">
      <alignment vertical="center"/>
    </xf>
    <xf numFmtId="0" fontId="10" fillId="0" borderId="6" xfId="0" applyFont="1" applyFill="1" applyBorder="1" applyAlignment="1">
      <alignment horizontal="center" vertical="center"/>
    </xf>
    <xf numFmtId="4" fontId="29" fillId="0" borderId="6" xfId="0" applyNumberFormat="1" applyFont="1" applyFill="1" applyBorder="1" applyAlignment="1">
      <alignment vertical="center"/>
    </xf>
    <xf numFmtId="4" fontId="29" fillId="0" borderId="7" xfId="0" applyNumberFormat="1" applyFont="1" applyFill="1" applyBorder="1" applyAlignment="1">
      <alignment vertical="center"/>
    </xf>
    <xf numFmtId="4" fontId="48" fillId="0" borderId="7" xfId="0" applyNumberFormat="1" applyFont="1" applyFill="1" applyBorder="1" applyAlignment="1">
      <alignment vertical="center" wrapText="1"/>
    </xf>
    <xf numFmtId="4" fontId="29" fillId="0" borderId="12" xfId="0" applyNumberFormat="1" applyFont="1" applyFill="1" applyBorder="1" applyAlignment="1">
      <alignment vertical="center"/>
    </xf>
    <xf numFmtId="4" fontId="46" fillId="0" borderId="0" xfId="0" applyNumberFormat="1" applyFont="1" applyFill="1" applyAlignment="1">
      <alignment vertical="center"/>
    </xf>
    <xf numFmtId="4" fontId="56" fillId="0" borderId="7" xfId="0" applyNumberFormat="1" applyFont="1" applyFill="1" applyBorder="1" applyAlignment="1">
      <alignment vertical="center" wrapText="1"/>
    </xf>
    <xf numFmtId="0" fontId="46" fillId="0" borderId="14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vertical="center"/>
    </xf>
    <xf numFmtId="4" fontId="29" fillId="0" borderId="3" xfId="0" applyNumberFormat="1" applyFont="1" applyFill="1" applyBorder="1" applyAlignment="1">
      <alignment vertical="center"/>
    </xf>
    <xf numFmtId="4" fontId="48" fillId="0" borderId="14" xfId="0" applyNumberFormat="1" applyFont="1" applyFill="1" applyBorder="1" applyAlignment="1">
      <alignment vertical="center" wrapText="1"/>
    </xf>
    <xf numFmtId="4" fontId="29" fillId="0" borderId="8" xfId="0" applyNumberFormat="1" applyFont="1" applyFill="1" applyBorder="1" applyAlignment="1">
      <alignment vertical="center"/>
    </xf>
    <xf numFmtId="0" fontId="29" fillId="2" borderId="1" xfId="0" applyFont="1" applyFill="1" applyBorder="1" applyAlignment="1">
      <alignment vertical="center" wrapText="1"/>
    </xf>
    <xf numFmtId="49" fontId="3" fillId="0" borderId="11" xfId="18" applyNumberFormat="1" applyFont="1" applyFill="1" applyBorder="1" applyAlignment="1">
      <alignment horizontal="center" vertical="center"/>
      <protection/>
    </xf>
    <xf numFmtId="4" fontId="50" fillId="0" borderId="0" xfId="0" applyNumberFormat="1" applyFont="1" applyFill="1" applyAlignment="1">
      <alignment/>
    </xf>
    <xf numFmtId="0" fontId="51" fillId="0" borderId="1" xfId="0" applyFont="1" applyFill="1" applyBorder="1" applyAlignment="1">
      <alignment vertical="center"/>
    </xf>
    <xf numFmtId="4" fontId="51" fillId="0" borderId="1" xfId="0" applyNumberFormat="1" applyFont="1" applyFill="1" applyBorder="1" applyAlignment="1">
      <alignment vertical="center"/>
    </xf>
    <xf numFmtId="4" fontId="76" fillId="0" borderId="0" xfId="0" applyNumberFormat="1" applyFont="1" applyFill="1" applyAlignment="1">
      <alignment/>
    </xf>
    <xf numFmtId="0" fontId="9" fillId="2" borderId="10" xfId="0" applyFont="1" applyFill="1" applyBorder="1" applyAlignment="1">
      <alignment horizontal="center" vertical="center"/>
    </xf>
    <xf numFmtId="0" fontId="46" fillId="2" borderId="1" xfId="0" applyFont="1" applyFill="1" applyBorder="1" applyAlignment="1">
      <alignment vertical="center" wrapText="1"/>
    </xf>
    <xf numFmtId="0" fontId="28" fillId="0" borderId="0" xfId="0" applyFont="1" applyFill="1" applyAlignment="1">
      <alignment/>
    </xf>
    <xf numFmtId="0" fontId="59" fillId="0" borderId="10" xfId="0" applyFont="1" applyFill="1" applyBorder="1" applyAlignment="1">
      <alignment horizontal="center" vertical="center"/>
    </xf>
    <xf numFmtId="0" fontId="57" fillId="0" borderId="7" xfId="0" applyFont="1" applyFill="1" applyBorder="1" applyAlignment="1">
      <alignment horizontal="center" wrapText="1"/>
    </xf>
    <xf numFmtId="0" fontId="57" fillId="0" borderId="6" xfId="0" applyFont="1" applyFill="1" applyBorder="1" applyAlignment="1">
      <alignment horizontal="center" wrapText="1"/>
    </xf>
    <xf numFmtId="0" fontId="57" fillId="0" borderId="7" xfId="0" applyFont="1" applyFill="1" applyBorder="1" applyAlignment="1">
      <alignment horizontal="center" vertical="center" wrapText="1"/>
    </xf>
    <xf numFmtId="0" fontId="57" fillId="0" borderId="6" xfId="0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center" vertical="center" wrapText="1"/>
    </xf>
    <xf numFmtId="0" fontId="57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3" fillId="0" borderId="10" xfId="0" applyFont="1" applyFill="1" applyBorder="1" applyAlignment="1">
      <alignment/>
    </xf>
    <xf numFmtId="0" fontId="9" fillId="0" borderId="2" xfId="0" applyFont="1" applyFill="1" applyBorder="1" applyAlignment="1">
      <alignment horizontal="right"/>
    </xf>
    <xf numFmtId="4" fontId="53" fillId="0" borderId="5" xfId="0" applyNumberFormat="1" applyFont="1" applyFill="1" applyBorder="1" applyAlignment="1">
      <alignment horizontal="right" vertical="center"/>
    </xf>
    <xf numFmtId="4" fontId="53" fillId="0" borderId="6" xfId="0" applyNumberFormat="1" applyFont="1" applyFill="1" applyBorder="1" applyAlignment="1">
      <alignment horizontal="right" vertical="center"/>
    </xf>
    <xf numFmtId="4" fontId="53" fillId="0" borderId="3" xfId="0" applyNumberFormat="1" applyFont="1" applyFill="1" applyBorder="1" applyAlignment="1">
      <alignment horizontal="right" vertical="center"/>
    </xf>
    <xf numFmtId="49" fontId="5" fillId="0" borderId="3" xfId="18" applyNumberFormat="1" applyFont="1" applyFill="1" applyBorder="1" applyAlignment="1">
      <alignment horizontal="center" vertical="center"/>
      <protection/>
    </xf>
    <xf numFmtId="0" fontId="56" fillId="0" borderId="5" xfId="0" applyFont="1" applyFill="1" applyBorder="1" applyAlignment="1">
      <alignment horizontal="center" vertical="center"/>
    </xf>
    <xf numFmtId="4" fontId="3" fillId="0" borderId="8" xfId="18" applyNumberFormat="1" applyFont="1" applyFill="1" applyBorder="1" applyAlignment="1">
      <alignment horizontal="right" vertical="center"/>
      <protection/>
    </xf>
    <xf numFmtId="2" fontId="29" fillId="0" borderId="1" xfId="0" applyNumberFormat="1" applyFont="1" applyFill="1" applyBorder="1" applyAlignment="1">
      <alignment vertical="center" wrapText="1"/>
    </xf>
    <xf numFmtId="4" fontId="29" fillId="0" borderId="0" xfId="0" applyNumberFormat="1" applyFont="1" applyFill="1" applyBorder="1" applyAlignment="1">
      <alignment vertical="center" wrapText="1"/>
    </xf>
    <xf numFmtId="4" fontId="9" fillId="2" borderId="1" xfId="0" applyNumberFormat="1" applyFont="1" applyFill="1" applyBorder="1" applyAlignment="1">
      <alignment vertical="center"/>
    </xf>
    <xf numFmtId="4" fontId="0" fillId="0" borderId="0" xfId="0" applyNumberFormat="1" applyFont="1" applyFill="1" applyAlignment="1">
      <alignment/>
    </xf>
    <xf numFmtId="0" fontId="10" fillId="2" borderId="4" xfId="0" applyFont="1" applyFill="1" applyBorder="1" applyAlignment="1">
      <alignment horizontal="center" vertical="center" wrapText="1"/>
    </xf>
    <xf numFmtId="49" fontId="29" fillId="0" borderId="4" xfId="18" applyNumberFormat="1" applyFont="1" applyFill="1" applyBorder="1" applyAlignment="1">
      <alignment vertical="center" wrapText="1"/>
      <protection/>
    </xf>
    <xf numFmtId="0" fontId="10" fillId="0" borderId="5" xfId="0" applyFont="1" applyFill="1" applyBorder="1" applyAlignment="1">
      <alignment horizontal="center" vertical="center" wrapText="1"/>
    </xf>
    <xf numFmtId="0" fontId="32" fillId="0" borderId="0" xfId="23" applyFont="1" applyFill="1" applyAlignment="1">
      <alignment horizontal="left"/>
      <protection/>
    </xf>
    <xf numFmtId="49" fontId="5" fillId="0" borderId="14" xfId="18" applyNumberFormat="1" applyFont="1" applyFill="1" applyBorder="1" applyAlignment="1">
      <alignment horizontal="center" vertical="center"/>
      <protection/>
    </xf>
    <xf numFmtId="4" fontId="29" fillId="2" borderId="4" xfId="0" applyNumberFormat="1" applyFont="1" applyFill="1" applyBorder="1" applyAlignment="1">
      <alignment vertical="center"/>
    </xf>
    <xf numFmtId="4" fontId="5" fillId="0" borderId="4" xfId="18" applyNumberFormat="1" applyFont="1" applyFill="1" applyBorder="1" applyAlignment="1">
      <alignment horizontal="right" vertical="center"/>
      <protection/>
    </xf>
    <xf numFmtId="4" fontId="3" fillId="0" borderId="0" xfId="18" applyNumberFormat="1" applyFont="1" applyFill="1" applyBorder="1" applyAlignment="1">
      <alignment horizontal="right" vertical="center"/>
      <protection/>
    </xf>
    <xf numFmtId="4" fontId="12" fillId="0" borderId="0" xfId="0" applyNumberFormat="1" applyFont="1" applyFill="1" applyBorder="1" applyAlignment="1">
      <alignment/>
    </xf>
    <xf numFmtId="4" fontId="49" fillId="0" borderId="0" xfId="0" applyNumberFormat="1" applyFont="1" applyFill="1" applyAlignment="1">
      <alignment/>
    </xf>
    <xf numFmtId="4" fontId="3" fillId="0" borderId="6" xfId="0" applyNumberFormat="1" applyFont="1" applyFill="1" applyBorder="1" applyAlignment="1">
      <alignment horizontal="right" vertical="center"/>
    </xf>
    <xf numFmtId="49" fontId="32" fillId="0" borderId="0" xfId="22" applyNumberFormat="1" applyFont="1" applyFill="1" applyBorder="1" applyAlignment="1">
      <alignment horizontal="center"/>
      <protection/>
    </xf>
    <xf numFmtId="4" fontId="32" fillId="0" borderId="0" xfId="22" applyNumberFormat="1" applyFont="1" applyFill="1" applyAlignment="1">
      <alignment horizontal="right"/>
      <protection/>
    </xf>
    <xf numFmtId="0" fontId="54" fillId="0" borderId="0" xfId="18" applyFont="1" applyFill="1">
      <alignment/>
      <protection/>
    </xf>
    <xf numFmtId="4" fontId="54" fillId="0" borderId="0" xfId="0" applyNumberFormat="1" applyFont="1" applyFill="1" applyAlignment="1">
      <alignment vertical="center"/>
    </xf>
    <xf numFmtId="49" fontId="3" fillId="0" borderId="0" xfId="22" applyNumberFormat="1" applyFont="1" applyFill="1" applyBorder="1" applyAlignment="1">
      <alignment horizontal="center"/>
      <protection/>
    </xf>
    <xf numFmtId="4" fontId="3" fillId="0" borderId="0" xfId="22" applyNumberFormat="1" applyFont="1" applyFill="1" applyAlignment="1">
      <alignment horizontal="right"/>
      <protection/>
    </xf>
    <xf numFmtId="49" fontId="13" fillId="0" borderId="0" xfId="18" applyNumberFormat="1" applyFont="1" applyFill="1">
      <alignment/>
      <protection/>
    </xf>
    <xf numFmtId="4" fontId="13" fillId="0" borderId="0" xfId="18" applyNumberFormat="1" applyFont="1" applyFill="1" applyBorder="1" applyAlignment="1">
      <alignment vertical="center"/>
      <protection/>
    </xf>
    <xf numFmtId="4" fontId="77" fillId="0" borderId="0" xfId="18" applyNumberFormat="1" applyFont="1" applyFill="1" applyAlignment="1">
      <alignment vertical="center"/>
      <protection/>
    </xf>
    <xf numFmtId="49" fontId="3" fillId="0" borderId="0" xfId="18" applyNumberFormat="1" applyFont="1" applyFill="1" applyBorder="1" applyAlignment="1">
      <alignment horizontal="left" vertical="center"/>
      <protection/>
    </xf>
    <xf numFmtId="49" fontId="25" fillId="0" borderId="0" xfId="18" applyNumberFormat="1" applyFont="1" applyFill="1" applyBorder="1" applyAlignment="1">
      <alignment horizontal="center" vertical="center"/>
      <protection/>
    </xf>
    <xf numFmtId="4" fontId="15" fillId="0" borderId="0" xfId="18" applyNumberFormat="1" applyFont="1" applyFill="1">
      <alignment/>
      <protection/>
    </xf>
    <xf numFmtId="4" fontId="78" fillId="0" borderId="0" xfId="18" applyNumberFormat="1" applyFont="1" applyFill="1">
      <alignment/>
      <protection/>
    </xf>
    <xf numFmtId="4" fontId="79" fillId="0" borderId="0" xfId="18" applyNumberFormat="1" applyFont="1" applyFill="1">
      <alignment/>
      <protection/>
    </xf>
    <xf numFmtId="4" fontId="80" fillId="0" borderId="0" xfId="18" applyNumberFormat="1" applyFont="1" applyFill="1">
      <alignment/>
      <protection/>
    </xf>
    <xf numFmtId="164" fontId="15" fillId="0" borderId="0" xfId="18" applyNumberFormat="1" applyFont="1" applyFill="1">
      <alignment/>
      <protection/>
    </xf>
    <xf numFmtId="0" fontId="15" fillId="0" borderId="0" xfId="0" applyFont="1" applyFill="1" applyAlignment="1">
      <alignment/>
    </xf>
    <xf numFmtId="4" fontId="29" fillId="0" borderId="7" xfId="0" applyNumberFormat="1" applyFont="1" applyFill="1" applyBorder="1" applyAlignment="1">
      <alignment vertical="center" wrapText="1"/>
    </xf>
    <xf numFmtId="4" fontId="10" fillId="0" borderId="4" xfId="0" applyNumberFormat="1" applyFont="1" applyFill="1" applyBorder="1" applyAlignment="1">
      <alignment horizontal="left" vertical="center" wrapText="1"/>
    </xf>
    <xf numFmtId="4" fontId="0" fillId="0" borderId="0" xfId="0" applyNumberFormat="1" applyFill="1" applyAlignment="1">
      <alignment horizontal="left" vertical="center"/>
    </xf>
    <xf numFmtId="4" fontId="9" fillId="0" borderId="6" xfId="0" applyNumberFormat="1" applyFont="1" applyFill="1" applyBorder="1" applyAlignment="1">
      <alignment horizontal="left" vertical="center"/>
    </xf>
    <xf numFmtId="1" fontId="9" fillId="0" borderId="12" xfId="0" applyNumberFormat="1" applyFont="1" applyFill="1" applyBorder="1" applyAlignment="1">
      <alignment horizontal="left" vertical="center"/>
    </xf>
    <xf numFmtId="1" fontId="9" fillId="0" borderId="4" xfId="0" applyNumberFormat="1" applyFont="1" applyFill="1" applyBorder="1" applyAlignment="1">
      <alignment horizontal="left" vertical="center"/>
    </xf>
    <xf numFmtId="4" fontId="12" fillId="0" borderId="4" xfId="0" applyNumberFormat="1" applyFont="1" applyFill="1" applyBorder="1" applyAlignment="1">
      <alignment horizontal="left" vertical="center"/>
    </xf>
    <xf numFmtId="1" fontId="12" fillId="0" borderId="4" xfId="0" applyNumberFormat="1" applyFont="1" applyFill="1" applyBorder="1" applyAlignment="1">
      <alignment horizontal="left" vertical="center"/>
    </xf>
    <xf numFmtId="4" fontId="49" fillId="0" borderId="4" xfId="18" applyNumberFormat="1" applyFont="1" applyFill="1" applyBorder="1" applyAlignment="1">
      <alignment horizontal="left" vertical="center" wrapText="1"/>
      <protection/>
    </xf>
    <xf numFmtId="4" fontId="57" fillId="0" borderId="4" xfId="0" applyNumberFormat="1" applyFont="1" applyFill="1" applyBorder="1" applyAlignment="1">
      <alignment horizontal="left" vertical="center" wrapText="1"/>
    </xf>
    <xf numFmtId="4" fontId="58" fillId="0" borderId="0" xfId="0" applyNumberFormat="1" applyFont="1" applyFill="1" applyAlignment="1">
      <alignment horizontal="left" vertical="center"/>
    </xf>
    <xf numFmtId="4" fontId="26" fillId="0" borderId="6" xfId="0" applyNumberFormat="1" applyFont="1" applyFill="1" applyBorder="1" applyAlignment="1">
      <alignment horizontal="left" vertical="center"/>
    </xf>
    <xf numFmtId="1" fontId="26" fillId="0" borderId="4" xfId="0" applyNumberFormat="1" applyFont="1" applyFill="1" applyBorder="1" applyAlignment="1">
      <alignment horizontal="left" vertical="center"/>
    </xf>
    <xf numFmtId="4" fontId="51" fillId="0" borderId="4" xfId="18" applyNumberFormat="1" applyFont="1" applyFill="1" applyBorder="1" applyAlignment="1">
      <alignment horizontal="left" vertical="center" wrapText="1"/>
      <protection/>
    </xf>
    <xf numFmtId="4" fontId="48" fillId="0" borderId="4" xfId="0" applyNumberFormat="1" applyFont="1" applyFill="1" applyBorder="1" applyAlignment="1">
      <alignment horizontal="left" vertical="center" wrapText="1"/>
    </xf>
    <xf numFmtId="4" fontId="60" fillId="0" borderId="0" xfId="0" applyNumberFormat="1" applyFont="1" applyFill="1" applyAlignment="1">
      <alignment horizontal="left" vertical="center"/>
    </xf>
    <xf numFmtId="4" fontId="49" fillId="0" borderId="4" xfId="0" applyNumberFormat="1" applyFont="1" applyFill="1" applyBorder="1" applyAlignment="1">
      <alignment horizontal="right" vertical="center" wrapText="1"/>
    </xf>
    <xf numFmtId="4" fontId="51" fillId="0" borderId="14" xfId="0" applyNumberFormat="1" applyFont="1" applyFill="1" applyBorder="1" applyAlignment="1">
      <alignment horizontal="right" vertical="center" wrapText="1"/>
    </xf>
    <xf numFmtId="4" fontId="29" fillId="0" borderId="4" xfId="22" applyNumberFormat="1" applyFont="1" applyFill="1" applyBorder="1" applyAlignment="1">
      <alignment horizontal="right" vertical="center"/>
      <protection/>
    </xf>
    <xf numFmtId="4" fontId="29" fillId="0" borderId="4" xfId="18" applyNumberFormat="1" applyFont="1" applyFill="1" applyBorder="1" applyAlignment="1">
      <alignment horizontal="right" vertical="center"/>
      <protection/>
    </xf>
    <xf numFmtId="4" fontId="29" fillId="0" borderId="4" xfId="18" applyNumberFormat="1" applyFont="1" applyFill="1" applyBorder="1" applyAlignment="1">
      <alignment horizontal="left" vertical="center"/>
      <protection/>
    </xf>
    <xf numFmtId="0" fontId="29" fillId="0" borderId="1" xfId="0" applyFont="1" applyFill="1" applyBorder="1" applyAlignment="1">
      <alignment horizontal="center" vertical="center"/>
    </xf>
    <xf numFmtId="4" fontId="46" fillId="0" borderId="4" xfId="18" applyNumberFormat="1" applyFont="1" applyFill="1" applyBorder="1" applyAlignment="1">
      <alignment vertical="center" wrapText="1"/>
      <protection/>
    </xf>
    <xf numFmtId="2" fontId="29" fillId="0" borderId="4" xfId="18" applyNumberFormat="1" applyFont="1" applyFill="1" applyBorder="1" applyAlignment="1">
      <alignment vertical="center" wrapText="1"/>
      <protection/>
    </xf>
    <xf numFmtId="0" fontId="29" fillId="0" borderId="4" xfId="18" applyFont="1" applyFill="1" applyBorder="1" applyAlignment="1">
      <alignment vertical="center" wrapText="1"/>
      <protection/>
    </xf>
    <xf numFmtId="0" fontId="10" fillId="0" borderId="3" xfId="0" applyFont="1" applyFill="1" applyBorder="1" applyAlignment="1">
      <alignment horizontal="center" vertical="center" wrapText="1"/>
    </xf>
    <xf numFmtId="0" fontId="51" fillId="0" borderId="4" xfId="18" applyFont="1" applyFill="1" applyBorder="1" applyAlignment="1">
      <alignment vertical="center" wrapText="1"/>
      <protection/>
    </xf>
    <xf numFmtId="4" fontId="51" fillId="0" borderId="4" xfId="18" applyNumberFormat="1" applyFont="1" applyFill="1" applyBorder="1" applyAlignment="1">
      <alignment vertical="center" wrapText="1"/>
      <protection/>
    </xf>
    <xf numFmtId="0" fontId="48" fillId="0" borderId="3" xfId="0" applyFont="1" applyFill="1" applyBorder="1" applyAlignment="1">
      <alignment horizontal="center" vertical="center" wrapText="1"/>
    </xf>
    <xf numFmtId="0" fontId="60" fillId="0" borderId="0" xfId="0" applyFont="1" applyFill="1" applyAlignment="1">
      <alignment vertical="center"/>
    </xf>
    <xf numFmtId="4" fontId="60" fillId="0" borderId="0" xfId="0" applyNumberFormat="1" applyFont="1" applyFill="1" applyAlignment="1">
      <alignment vertical="center"/>
    </xf>
    <xf numFmtId="0" fontId="49" fillId="0" borderId="4" xfId="18" applyFont="1" applyFill="1" applyBorder="1" applyAlignment="1">
      <alignment vertical="center" wrapText="1"/>
      <protection/>
    </xf>
    <xf numFmtId="4" fontId="49" fillId="0" borderId="4" xfId="18" applyNumberFormat="1" applyFont="1" applyFill="1" applyBorder="1" applyAlignment="1">
      <alignment vertical="center" wrapText="1"/>
      <protection/>
    </xf>
    <xf numFmtId="0" fontId="58" fillId="0" borderId="0" xfId="0" applyFont="1" applyFill="1" applyAlignment="1">
      <alignment vertical="center"/>
    </xf>
    <xf numFmtId="4" fontId="58" fillId="0" borderId="0" xfId="0" applyNumberFormat="1" applyFont="1" applyFill="1" applyAlignment="1">
      <alignment vertical="center"/>
    </xf>
    <xf numFmtId="4" fontId="9" fillId="0" borderId="1" xfId="0" applyNumberFormat="1" applyFont="1" applyFill="1" applyBorder="1" applyAlignment="1">
      <alignment vertical="center" wrapText="1"/>
    </xf>
    <xf numFmtId="49" fontId="32" fillId="0" borderId="0" xfId="22" applyNumberFormat="1" applyFont="1" applyFill="1">
      <alignment/>
      <protection/>
    </xf>
    <xf numFmtId="1" fontId="10" fillId="0" borderId="4" xfId="0" applyNumberFormat="1" applyFont="1" applyFill="1" applyBorder="1" applyAlignment="1">
      <alignment horizontal="center" vertical="center" wrapText="1"/>
    </xf>
    <xf numFmtId="4" fontId="9" fillId="2" borderId="4" xfId="0" applyNumberFormat="1" applyFont="1" applyFill="1" applyBorder="1" applyAlignment="1">
      <alignment vertical="center"/>
    </xf>
    <xf numFmtId="4" fontId="38" fillId="0" borderId="0" xfId="18" applyNumberFormat="1" applyFont="1" applyFill="1">
      <alignment/>
      <protection/>
    </xf>
    <xf numFmtId="49" fontId="13" fillId="0" borderId="0" xfId="22" applyNumberFormat="1" applyFont="1" applyFill="1" applyBorder="1" applyAlignment="1">
      <alignment horizontal="center"/>
      <protection/>
    </xf>
    <xf numFmtId="4" fontId="13" fillId="0" borderId="0" xfId="22" applyNumberFormat="1" applyFont="1" applyFill="1" applyAlignment="1">
      <alignment horizontal="right"/>
      <protection/>
    </xf>
    <xf numFmtId="0" fontId="10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4" fontId="2" fillId="0" borderId="0" xfId="18" applyNumberFormat="1" applyFont="1" applyFill="1" applyAlignment="1">
      <alignment vertical="center"/>
      <protection/>
    </xf>
    <xf numFmtId="4" fontId="29" fillId="2" borderId="14" xfId="0" applyNumberFormat="1" applyFont="1" applyFill="1" applyBorder="1" applyAlignment="1">
      <alignment vertical="center" wrapText="1"/>
    </xf>
    <xf numFmtId="1" fontId="29" fillId="0" borderId="6" xfId="0" applyNumberFormat="1" applyFont="1" applyFill="1" applyBorder="1" applyAlignment="1">
      <alignment horizontal="left" vertical="center"/>
    </xf>
    <xf numFmtId="4" fontId="81" fillId="0" borderId="0" xfId="0" applyNumberFormat="1" applyFont="1" applyFill="1" applyAlignment="1">
      <alignment horizontal="left" vertical="center" wrapText="1"/>
    </xf>
    <xf numFmtId="49" fontId="9" fillId="0" borderId="0" xfId="0" applyNumberFormat="1" applyFont="1" applyFill="1" applyBorder="1" applyAlignment="1">
      <alignment vertical="center" wrapText="1"/>
    </xf>
    <xf numFmtId="4" fontId="7" fillId="0" borderId="4" xfId="22" applyNumberFormat="1" applyFont="1" applyFill="1" applyBorder="1" applyAlignment="1">
      <alignment horizontal="right" wrapText="1"/>
      <protection/>
    </xf>
    <xf numFmtId="0" fontId="29" fillId="0" borderId="4" xfId="18" applyFont="1" applyFill="1" applyBorder="1" applyAlignment="1">
      <alignment vertical="center"/>
      <protection/>
    </xf>
    <xf numFmtId="0" fontId="29" fillId="2" borderId="10" xfId="0" applyFont="1" applyFill="1" applyBorder="1" applyAlignment="1">
      <alignment horizontal="center" vertical="center"/>
    </xf>
    <xf numFmtId="4" fontId="29" fillId="2" borderId="1" xfId="0" applyNumberFormat="1" applyFont="1" applyFill="1" applyBorder="1" applyAlignment="1">
      <alignment vertical="center"/>
    </xf>
    <xf numFmtId="0" fontId="55" fillId="2" borderId="4" xfId="0" applyFont="1" applyFill="1" applyBorder="1" applyAlignment="1">
      <alignment horizontal="center" vertical="center" wrapText="1"/>
    </xf>
    <xf numFmtId="4" fontId="33" fillId="0" borderId="0" xfId="18" applyNumberFormat="1" applyFont="1" applyFill="1" applyAlignment="1">
      <alignment horizontal="right" vertical="center"/>
      <protection/>
    </xf>
    <xf numFmtId="49" fontId="29" fillId="0" borderId="10" xfId="18" applyNumberFormat="1" applyFont="1" applyFill="1" applyBorder="1" applyAlignment="1">
      <alignment horizontal="left" vertical="center" wrapText="1"/>
      <protection/>
    </xf>
    <xf numFmtId="49" fontId="29" fillId="0" borderId="4" xfId="18" applyNumberFormat="1" applyFont="1" applyFill="1" applyBorder="1" applyAlignment="1">
      <alignment horizontal="left" vertical="top" wrapText="1"/>
      <protection/>
    </xf>
    <xf numFmtId="4" fontId="3" fillId="2" borderId="4" xfId="0" applyNumberFormat="1" applyFont="1" applyFill="1" applyBorder="1" applyAlignment="1">
      <alignment vertical="center"/>
    </xf>
    <xf numFmtId="4" fontId="12" fillId="0" borderId="6" xfId="0" applyNumberFormat="1" applyFont="1" applyFill="1" applyBorder="1" applyAlignment="1">
      <alignment horizontal="right" vertical="center"/>
    </xf>
    <xf numFmtId="4" fontId="12" fillId="0" borderId="3" xfId="0" applyNumberFormat="1" applyFont="1" applyFill="1" applyBorder="1" applyAlignment="1">
      <alignment horizontal="right" vertical="center"/>
    </xf>
    <xf numFmtId="4" fontId="12" fillId="2" borderId="6" xfId="0" applyNumberFormat="1" applyFont="1" applyFill="1" applyBorder="1" applyAlignment="1">
      <alignment vertical="center"/>
    </xf>
    <xf numFmtId="4" fontId="12" fillId="2" borderId="7" xfId="0" applyNumberFormat="1" applyFont="1" applyFill="1" applyBorder="1" applyAlignment="1">
      <alignment vertical="center"/>
    </xf>
    <xf numFmtId="4" fontId="29" fillId="2" borderId="7" xfId="0" applyNumberFormat="1" applyFont="1" applyFill="1" applyBorder="1" applyAlignment="1">
      <alignment vertical="center"/>
    </xf>
    <xf numFmtId="4" fontId="29" fillId="2" borderId="14" xfId="0" applyNumberFormat="1" applyFont="1" applyFill="1" applyBorder="1" applyAlignment="1">
      <alignment vertical="center"/>
    </xf>
    <xf numFmtId="49" fontId="5" fillId="0" borderId="6" xfId="18" applyNumberFormat="1" applyFont="1" applyFill="1" applyBorder="1" applyAlignment="1">
      <alignment horizontal="center" vertical="center"/>
      <protection/>
    </xf>
    <xf numFmtId="49" fontId="5" fillId="0" borderId="11" xfId="18" applyNumberFormat="1" applyFont="1" applyFill="1" applyBorder="1" applyAlignment="1">
      <alignment horizontal="center" vertical="center"/>
      <protection/>
    </xf>
    <xf numFmtId="49" fontId="5" fillId="0" borderId="8" xfId="18" applyNumberFormat="1" applyFont="1" applyFill="1" applyBorder="1" applyAlignment="1">
      <alignment horizontal="center" vertical="center"/>
      <protection/>
    </xf>
    <xf numFmtId="49" fontId="5" fillId="0" borderId="12" xfId="18" applyNumberFormat="1" applyFont="1" applyFill="1" applyBorder="1" applyAlignment="1">
      <alignment horizontal="center" vertical="center"/>
      <protection/>
    </xf>
    <xf numFmtId="4" fontId="9" fillId="2" borderId="4" xfId="18" applyNumberFormat="1" applyFont="1" applyFill="1" applyBorder="1" applyAlignment="1">
      <alignment vertical="center"/>
      <protection/>
    </xf>
    <xf numFmtId="0" fontId="29" fillId="2" borderId="4" xfId="18" applyFont="1" applyFill="1" applyBorder="1" applyAlignment="1">
      <alignment vertical="center" wrapText="1"/>
      <protection/>
    </xf>
    <xf numFmtId="4" fontId="29" fillId="2" borderId="3" xfId="18" applyNumberFormat="1" applyFont="1" applyFill="1" applyBorder="1" applyAlignment="1">
      <alignment vertical="center" wrapText="1"/>
      <protection/>
    </xf>
    <xf numFmtId="0" fontId="46" fillId="2" borderId="4" xfId="18" applyFont="1" applyFill="1" applyBorder="1" applyAlignment="1">
      <alignment vertical="center" wrapText="1"/>
      <protection/>
    </xf>
    <xf numFmtId="0" fontId="10" fillId="2" borderId="3" xfId="0" applyFont="1" applyFill="1" applyBorder="1" applyAlignment="1">
      <alignment horizontal="center" vertical="center" wrapText="1"/>
    </xf>
    <xf numFmtId="0" fontId="49" fillId="0" borderId="3" xfId="0" applyFont="1" applyFill="1" applyBorder="1" applyAlignment="1">
      <alignment horizontal="left" vertical="center" wrapText="1"/>
    </xf>
    <xf numFmtId="0" fontId="29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82" fillId="0" borderId="0" xfId="0" applyFont="1" applyFill="1" applyAlignment="1">
      <alignment/>
    </xf>
    <xf numFmtId="0" fontId="34" fillId="0" borderId="0" xfId="0" applyFont="1" applyFill="1" applyAlignment="1">
      <alignment vertical="center"/>
    </xf>
    <xf numFmtId="0" fontId="11" fillId="0" borderId="7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vertical="center"/>
    </xf>
    <xf numFmtId="0" fontId="51" fillId="0" borderId="9" xfId="0" applyFont="1" applyFill="1" applyBorder="1" applyAlignment="1">
      <alignment vertical="center"/>
    </xf>
    <xf numFmtId="4" fontId="34" fillId="0" borderId="0" xfId="0" applyNumberFormat="1" applyFont="1" applyFill="1" applyAlignment="1">
      <alignment vertical="center"/>
    </xf>
    <xf numFmtId="0" fontId="9" fillId="0" borderId="10" xfId="0" applyFont="1" applyFill="1" applyBorder="1" applyAlignment="1">
      <alignment vertical="center"/>
    </xf>
    <xf numFmtId="0" fontId="51" fillId="0" borderId="2" xfId="0" applyFont="1" applyFill="1" applyBorder="1" applyAlignment="1">
      <alignment vertical="center"/>
    </xf>
    <xf numFmtId="4" fontId="37" fillId="0" borderId="0" xfId="0" applyNumberFormat="1" applyFont="1" applyFill="1" applyAlignment="1">
      <alignment vertical="center"/>
    </xf>
    <xf numFmtId="0" fontId="5" fillId="0" borderId="5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vertical="center" wrapText="1"/>
    </xf>
    <xf numFmtId="0" fontId="29" fillId="0" borderId="9" xfId="0" applyFont="1" applyFill="1" applyBorder="1" applyAlignment="1">
      <alignment vertical="center" wrapText="1"/>
    </xf>
    <xf numFmtId="4" fontId="5" fillId="0" borderId="4" xfId="0" applyNumberFormat="1" applyFont="1" applyFill="1" applyBorder="1" applyAlignment="1">
      <alignment vertical="center"/>
    </xf>
    <xf numFmtId="0" fontId="12" fillId="0" borderId="12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 wrapText="1"/>
    </xf>
    <xf numFmtId="4" fontId="3" fillId="0" borderId="4" xfId="0" applyNumberFormat="1" applyFont="1" applyFill="1" applyBorder="1" applyAlignment="1">
      <alignment vertical="center"/>
    </xf>
    <xf numFmtId="4" fontId="3" fillId="0" borderId="5" xfId="0" applyNumberFormat="1" applyFont="1" applyFill="1" applyBorder="1" applyAlignment="1">
      <alignment vertical="center"/>
    </xf>
    <xf numFmtId="4" fontId="5" fillId="0" borderId="9" xfId="0" applyNumberFormat="1" applyFont="1" applyFill="1" applyBorder="1" applyAlignment="1">
      <alignment horizontal="right" vertical="center"/>
    </xf>
    <xf numFmtId="0" fontId="49" fillId="0" borderId="3" xfId="0" applyFont="1" applyFill="1" applyBorder="1" applyAlignment="1">
      <alignment horizontal="left" vertical="center"/>
    </xf>
    <xf numFmtId="0" fontId="29" fillId="0" borderId="3" xfId="0" applyFont="1" applyFill="1" applyBorder="1" applyAlignment="1">
      <alignment vertical="center"/>
    </xf>
    <xf numFmtId="4" fontId="5" fillId="0" borderId="5" xfId="0" applyNumberFormat="1" applyFont="1" applyFill="1" applyBorder="1" applyAlignment="1">
      <alignment horizontal="right" vertical="center"/>
    </xf>
    <xf numFmtId="0" fontId="12" fillId="0" borderId="9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left" vertical="center"/>
    </xf>
    <xf numFmtId="0" fontId="29" fillId="0" borderId="3" xfId="0" applyFont="1" applyFill="1" applyBorder="1" applyAlignment="1">
      <alignment vertical="center" wrapText="1"/>
    </xf>
    <xf numFmtId="0" fontId="49" fillId="0" borderId="5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vertical="center" wrapText="1"/>
    </xf>
    <xf numFmtId="0" fontId="49" fillId="0" borderId="6" xfId="0" applyFont="1" applyFill="1" applyBorder="1" applyAlignment="1">
      <alignment horizontal="left" vertical="center"/>
    </xf>
    <xf numFmtId="0" fontId="29" fillId="0" borderId="9" xfId="20" applyFont="1" applyFill="1" applyBorder="1" applyAlignment="1">
      <alignment horizontal="left" vertical="center" wrapText="1"/>
      <protection/>
    </xf>
    <xf numFmtId="0" fontId="29" fillId="0" borderId="4" xfId="20" applyFont="1" applyFill="1" applyBorder="1" applyAlignment="1">
      <alignment horizontal="left" vertical="center" wrapText="1"/>
      <protection/>
    </xf>
    <xf numFmtId="0" fontId="29" fillId="0" borderId="0" xfId="20" applyFont="1" applyFill="1" applyBorder="1" applyAlignment="1">
      <alignment horizontal="left" vertical="center" wrapText="1"/>
      <protection/>
    </xf>
    <xf numFmtId="0" fontId="9" fillId="0" borderId="5" xfId="0" applyFont="1" applyFill="1" applyBorder="1" applyAlignment="1">
      <alignment horizontal="left" vertical="center"/>
    </xf>
    <xf numFmtId="0" fontId="9" fillId="0" borderId="6" xfId="0" applyFont="1" applyFill="1" applyBorder="1" applyAlignment="1">
      <alignment horizontal="left" vertical="center"/>
    </xf>
    <xf numFmtId="49" fontId="29" fillId="0" borderId="4" xfId="18" applyNumberFormat="1" applyFont="1" applyFill="1" applyBorder="1" applyAlignment="1">
      <alignment horizontal="left" vertical="center" wrapText="1"/>
      <protection/>
    </xf>
    <xf numFmtId="4" fontId="3" fillId="0" borderId="4" xfId="0" applyNumberFormat="1" applyFont="1" applyFill="1" applyBorder="1" applyAlignment="1">
      <alignment horizontal="right" vertical="center"/>
    </xf>
    <xf numFmtId="0" fontId="9" fillId="0" borderId="3" xfId="0" applyFont="1" applyFill="1" applyBorder="1" applyAlignment="1">
      <alignment horizontal="left" vertical="center"/>
    </xf>
    <xf numFmtId="0" fontId="12" fillId="0" borderId="4" xfId="0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83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left" vertical="center"/>
    </xf>
    <xf numFmtId="4" fontId="65" fillId="0" borderId="0" xfId="0" applyNumberFormat="1" applyFont="1" applyFill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51" fillId="0" borderId="8" xfId="0" applyFont="1" applyFill="1" applyBorder="1" applyAlignment="1">
      <alignment horizontal="left" vertical="center" wrapText="1"/>
    </xf>
    <xf numFmtId="4" fontId="13" fillId="0" borderId="3" xfId="0" applyNumberFormat="1" applyFont="1" applyFill="1" applyBorder="1" applyAlignment="1">
      <alignment horizontal="right" vertical="center"/>
    </xf>
    <xf numFmtId="0" fontId="12" fillId="0" borderId="5" xfId="0" applyFont="1" applyFill="1" applyBorder="1" applyAlignment="1">
      <alignment vertical="center" wrapText="1"/>
    </xf>
    <xf numFmtId="0" fontId="54" fillId="0" borderId="11" xfId="0" applyFont="1" applyFill="1" applyBorder="1" applyAlignment="1">
      <alignment horizontal="left" vertical="center"/>
    </xf>
    <xf numFmtId="0" fontId="29" fillId="0" borderId="4" xfId="0" applyFont="1" applyFill="1" applyBorder="1" applyAlignment="1">
      <alignment vertical="center"/>
    </xf>
    <xf numFmtId="0" fontId="54" fillId="0" borderId="7" xfId="0" applyFont="1" applyFill="1" applyBorder="1" applyAlignment="1">
      <alignment horizontal="left" vertical="center"/>
    </xf>
    <xf numFmtId="0" fontId="29" fillId="0" borderId="4" xfId="0" applyFont="1" applyFill="1" applyBorder="1" applyAlignment="1">
      <alignment vertical="center" wrapText="1"/>
    </xf>
    <xf numFmtId="0" fontId="29" fillId="0" borderId="4" xfId="0" applyFont="1" applyFill="1" applyBorder="1" applyAlignment="1">
      <alignment vertical="center"/>
    </xf>
    <xf numFmtId="0" fontId="29" fillId="0" borderId="0" xfId="0" applyFont="1" applyFill="1" applyAlignment="1">
      <alignment horizontal="left" vertical="center" wrapText="1"/>
    </xf>
    <xf numFmtId="0" fontId="54" fillId="0" borderId="14" xfId="0" applyFont="1" applyFill="1" applyBorder="1" applyAlignment="1">
      <alignment horizontal="left" vertical="center"/>
    </xf>
    <xf numFmtId="0" fontId="54" fillId="0" borderId="3" xfId="0" applyFont="1" applyFill="1" applyBorder="1" applyAlignment="1">
      <alignment horizontal="center" vertical="center"/>
    </xf>
    <xf numFmtId="4" fontId="3" fillId="0" borderId="6" xfId="0" applyNumberFormat="1" applyFont="1" applyFill="1" applyBorder="1" applyAlignment="1">
      <alignment vertical="center"/>
    </xf>
    <xf numFmtId="0" fontId="45" fillId="0" borderId="0" xfId="0" applyFont="1" applyFill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4" fontId="5" fillId="0" borderId="6" xfId="0" applyNumberFormat="1" applyFont="1" applyFill="1" applyBorder="1" applyAlignment="1">
      <alignment vertical="center"/>
    </xf>
    <xf numFmtId="0" fontId="54" fillId="0" borderId="4" xfId="0" applyFont="1" applyFill="1" applyBorder="1" applyAlignment="1">
      <alignment horizontal="left" vertical="center"/>
    </xf>
    <xf numFmtId="0" fontId="54" fillId="0" borderId="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1" fillId="0" borderId="0" xfId="0" applyFont="1" applyFill="1" applyAlignment="1">
      <alignment vertical="center"/>
    </xf>
    <xf numFmtId="0" fontId="49" fillId="0" borderId="6" xfId="0" applyFont="1" applyFill="1" applyBorder="1" applyAlignment="1">
      <alignment vertical="center"/>
    </xf>
    <xf numFmtId="0" fontId="29" fillId="0" borderId="8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4" fontId="84" fillId="0" borderId="0" xfId="0" applyNumberFormat="1" applyFont="1" applyFill="1" applyAlignment="1">
      <alignment/>
    </xf>
    <xf numFmtId="0" fontId="29" fillId="2" borderId="4" xfId="0" applyFont="1" applyFill="1" applyBorder="1" applyAlignment="1">
      <alignment vertical="center" wrapText="1"/>
    </xf>
    <xf numFmtId="0" fontId="46" fillId="2" borderId="14" xfId="0" applyFont="1" applyFill="1" applyBorder="1" applyAlignment="1">
      <alignment vertical="center" wrapText="1"/>
    </xf>
    <xf numFmtId="4" fontId="9" fillId="2" borderId="14" xfId="0" applyNumberFormat="1" applyFont="1" applyFill="1" applyBorder="1" applyAlignment="1">
      <alignment vertical="center" wrapText="1"/>
    </xf>
    <xf numFmtId="4" fontId="29" fillId="2" borderId="4" xfId="0" applyNumberFormat="1" applyFont="1" applyFill="1" applyBorder="1" applyAlignment="1">
      <alignment vertical="center" wrapText="1"/>
    </xf>
    <xf numFmtId="0" fontId="29" fillId="2" borderId="14" xfId="0" applyFont="1" applyFill="1" applyBorder="1" applyAlignment="1">
      <alignment vertical="center" wrapText="1"/>
    </xf>
    <xf numFmtId="4" fontId="9" fillId="0" borderId="2" xfId="0" applyNumberFormat="1" applyFont="1" applyFill="1" applyBorder="1" applyAlignment="1">
      <alignment vertical="center" wrapText="1"/>
    </xf>
    <xf numFmtId="4" fontId="29" fillId="2" borderId="1" xfId="18" applyNumberFormat="1" applyFont="1" applyFill="1" applyBorder="1" applyAlignment="1">
      <alignment vertical="center"/>
      <protection/>
    </xf>
    <xf numFmtId="0" fontId="29" fillId="2" borderId="1" xfId="0" applyFont="1" applyFill="1" applyBorder="1" applyAlignment="1">
      <alignment horizontal="center" vertical="center"/>
    </xf>
    <xf numFmtId="0" fontId="46" fillId="2" borderId="4" xfId="0" applyFont="1" applyFill="1" applyBorder="1" applyAlignment="1">
      <alignment vertical="center" wrapText="1"/>
    </xf>
    <xf numFmtId="4" fontId="29" fillId="2" borderId="4" xfId="18" applyNumberFormat="1" applyFont="1" applyFill="1" applyBorder="1" applyAlignment="1">
      <alignment vertical="center" wrapText="1"/>
      <protection/>
    </xf>
    <xf numFmtId="0" fontId="29" fillId="2" borderId="5" xfId="0" applyFont="1" applyFill="1" applyBorder="1" applyAlignment="1">
      <alignment horizontal="left" vertical="center" wrapText="1"/>
    </xf>
    <xf numFmtId="4" fontId="3" fillId="2" borderId="3" xfId="0" applyNumberFormat="1" applyFont="1" applyFill="1" applyBorder="1" applyAlignment="1">
      <alignment horizontal="right" vertical="center"/>
    </xf>
    <xf numFmtId="4" fontId="3" fillId="2" borderId="4" xfId="0" applyNumberFormat="1" applyFont="1" applyFill="1" applyBorder="1" applyAlignment="1">
      <alignment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46" fillId="0" borderId="5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44" fillId="0" borderId="5" xfId="0" applyFont="1" applyFill="1" applyBorder="1" applyAlignment="1">
      <alignment horizontal="center" vertical="center"/>
    </xf>
    <xf numFmtId="0" fontId="44" fillId="0" borderId="6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left" vertical="center"/>
    </xf>
    <xf numFmtId="0" fontId="11" fillId="0" borderId="15" xfId="0" applyFont="1" applyFill="1" applyBorder="1" applyAlignment="1">
      <alignment horizontal="left" vertical="center"/>
    </xf>
    <xf numFmtId="0" fontId="49" fillId="0" borderId="5" xfId="0" applyFont="1" applyFill="1" applyBorder="1" applyAlignment="1">
      <alignment horizontal="left" vertical="center" wrapText="1"/>
    </xf>
    <xf numFmtId="0" fontId="49" fillId="0" borderId="3" xfId="0" applyFont="1" applyFill="1" applyBorder="1" applyAlignment="1">
      <alignment horizontal="left" vertical="center" wrapText="1"/>
    </xf>
    <xf numFmtId="0" fontId="53" fillId="0" borderId="5" xfId="0" applyFont="1" applyFill="1" applyBorder="1" applyAlignment="1">
      <alignment horizontal="center" vertical="center"/>
    </xf>
    <xf numFmtId="0" fontId="53" fillId="0" borderId="3" xfId="0" applyFont="1" applyFill="1" applyBorder="1" applyAlignment="1">
      <alignment horizontal="center" vertical="center"/>
    </xf>
    <xf numFmtId="0" fontId="53" fillId="0" borderId="5" xfId="0" applyFont="1" applyFill="1" applyBorder="1" applyAlignment="1">
      <alignment horizontal="left" vertical="center" wrapText="1"/>
    </xf>
    <xf numFmtId="0" fontId="53" fillId="0" borderId="3" xfId="0" applyFont="1" applyFill="1" applyBorder="1" applyAlignment="1">
      <alignment horizontal="left" vertical="center" wrapText="1"/>
    </xf>
  </cellXfs>
  <cellStyles count="14">
    <cellStyle name="Normal" xfId="0"/>
    <cellStyle name="Comma" xfId="15"/>
    <cellStyle name="Comma [0]" xfId="16"/>
    <cellStyle name="Hyperlink" xfId="17"/>
    <cellStyle name="Normalny_Arkusz5" xfId="18"/>
    <cellStyle name="Normalny_Arkusz8" xfId="19"/>
    <cellStyle name="Normalny_tabela nr 8" xfId="20"/>
    <cellStyle name="Normalny_Uch.RMK luty" xfId="21"/>
    <cellStyle name="Normalny_Uch.RMK marzec" xfId="22"/>
    <cellStyle name="Normalny_ZPMK luty" xfId="23"/>
    <cellStyle name="Followed Hyperlink" xfId="24"/>
    <cellStyle name="Percent" xfId="25"/>
    <cellStyle name="Currency" xfId="26"/>
    <cellStyle name="Currency [0]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8"/>
  <sheetViews>
    <sheetView tabSelected="1" zoomScale="120" zoomScaleNormal="120" workbookViewId="0" topLeftCell="A37">
      <pane xSplit="17550" topLeftCell="U1" activePane="topLeft" state="split"/>
      <selection pane="topLeft" activeCell="F309" sqref="F309"/>
      <selection pane="topRight" activeCell="R302" sqref="R302"/>
    </sheetView>
  </sheetViews>
  <sheetFormatPr defaultColWidth="9.140625" defaultRowHeight="12.75"/>
  <cols>
    <col min="1" max="1" width="6.28125" style="2" customWidth="1"/>
    <col min="2" max="2" width="7.140625" style="2" customWidth="1"/>
    <col min="3" max="3" width="7.00390625" style="2" customWidth="1"/>
    <col min="4" max="4" width="15.28125" style="2" customWidth="1"/>
    <col min="5" max="5" width="14.140625" style="2" customWidth="1"/>
    <col min="6" max="6" width="15.57421875" style="2" customWidth="1"/>
    <col min="7" max="7" width="16.140625" style="2" customWidth="1"/>
    <col min="8" max="8" width="19.8515625" style="24" customWidth="1"/>
    <col min="9" max="9" width="28.00390625" style="31" customWidth="1"/>
    <col min="10" max="10" width="22.28125" style="32" customWidth="1"/>
    <col min="11" max="11" width="20.8515625" style="31" customWidth="1"/>
    <col min="12" max="12" width="19.28125" style="31" customWidth="1"/>
    <col min="13" max="13" width="15.140625" style="31" customWidth="1"/>
    <col min="14" max="14" width="15.00390625" style="2" customWidth="1"/>
    <col min="15" max="16384" width="9.140625" style="2" customWidth="1"/>
  </cols>
  <sheetData>
    <row r="1" spans="1:7" ht="18.75">
      <c r="A1" s="115"/>
      <c r="B1" s="115"/>
      <c r="C1" s="115"/>
      <c r="G1" s="122" t="s">
        <v>200</v>
      </c>
    </row>
    <row r="2" spans="1:14" s="49" customFormat="1" ht="23.25" customHeight="1">
      <c r="A2" s="63" t="s">
        <v>616</v>
      </c>
      <c r="B2" s="64"/>
      <c r="C2" s="65"/>
      <c r="D2" s="5"/>
      <c r="E2" s="5"/>
      <c r="F2" s="5"/>
      <c r="G2" s="56"/>
      <c r="H2" s="206" t="s">
        <v>189</v>
      </c>
      <c r="I2" s="58"/>
      <c r="J2" s="59"/>
      <c r="K2" s="56"/>
      <c r="L2" s="58"/>
      <c r="M2" s="58"/>
      <c r="N2" s="56"/>
    </row>
    <row r="3" spans="1:14" s="49" customFormat="1" ht="24" customHeight="1">
      <c r="A3" s="63" t="s">
        <v>140</v>
      </c>
      <c r="B3" s="64"/>
      <c r="C3" s="65"/>
      <c r="D3" s="5"/>
      <c r="E3" s="5"/>
      <c r="F3" s="5"/>
      <c r="G3" s="56"/>
      <c r="H3" s="60"/>
      <c r="I3" s="58"/>
      <c r="J3" s="59"/>
      <c r="K3" s="56"/>
      <c r="L3" s="58"/>
      <c r="M3" s="58"/>
      <c r="N3" s="56"/>
    </row>
    <row r="4" spans="1:14" s="49" customFormat="1" ht="24" customHeight="1">
      <c r="A4" s="63" t="s">
        <v>650</v>
      </c>
      <c r="B4" s="64"/>
      <c r="C4" s="65"/>
      <c r="D4" s="5"/>
      <c r="E4" s="5"/>
      <c r="F4" s="5"/>
      <c r="G4" s="56"/>
      <c r="H4" s="61"/>
      <c r="I4" s="58"/>
      <c r="J4" s="59"/>
      <c r="K4" s="56"/>
      <c r="L4" s="58"/>
      <c r="M4" s="58"/>
      <c r="N4" s="56"/>
    </row>
    <row r="5" spans="1:14" s="49" customFormat="1" ht="17.25" customHeight="1">
      <c r="A5" s="55"/>
      <c r="B5" s="56"/>
      <c r="C5" s="57"/>
      <c r="D5" s="56"/>
      <c r="E5" s="56"/>
      <c r="F5" s="56"/>
      <c r="G5" s="56"/>
      <c r="H5" s="61"/>
      <c r="I5" s="58"/>
      <c r="J5" s="59"/>
      <c r="K5" s="56"/>
      <c r="L5" s="58"/>
      <c r="M5" s="58"/>
      <c r="N5" s="56"/>
    </row>
    <row r="6" spans="1:14" ht="18.75">
      <c r="A6" s="23"/>
      <c r="B6" s="5"/>
      <c r="C6" s="6"/>
      <c r="D6" s="5"/>
      <c r="E6" s="5"/>
      <c r="F6" s="5"/>
      <c r="G6" s="5"/>
      <c r="H6" s="7"/>
      <c r="I6" s="42"/>
      <c r="J6" s="9"/>
      <c r="K6" s="5"/>
      <c r="L6" s="42"/>
      <c r="M6" s="42"/>
      <c r="N6" s="5"/>
    </row>
    <row r="7" spans="1:14" ht="19.5">
      <c r="A7" s="23" t="s">
        <v>185</v>
      </c>
      <c r="B7" s="5"/>
      <c r="C7" s="6"/>
      <c r="D7" s="5"/>
      <c r="E7" s="5"/>
      <c r="F7" s="5"/>
      <c r="G7" s="5"/>
      <c r="H7" s="7"/>
      <c r="I7" s="42"/>
      <c r="J7" s="9"/>
      <c r="K7" s="5"/>
      <c r="L7" s="42"/>
      <c r="M7" s="42"/>
      <c r="N7" s="5"/>
    </row>
    <row r="8" spans="1:14" ht="18.75">
      <c r="A8" s="23"/>
      <c r="B8" s="5"/>
      <c r="C8" s="6"/>
      <c r="D8" s="5"/>
      <c r="E8" s="5"/>
      <c r="F8" s="5"/>
      <c r="G8" s="5"/>
      <c r="H8" s="7"/>
      <c r="I8" s="42"/>
      <c r="J8" s="9"/>
      <c r="K8" s="5"/>
      <c r="L8" s="42"/>
      <c r="M8" s="42"/>
      <c r="N8" s="5"/>
    </row>
    <row r="9" spans="1:14" ht="18.75">
      <c r="A9" s="5"/>
      <c r="B9" s="5"/>
      <c r="C9" s="6"/>
      <c r="D9" s="5"/>
      <c r="E9" s="5"/>
      <c r="F9" s="5"/>
      <c r="G9" s="5"/>
      <c r="H9" s="7"/>
      <c r="I9" s="42"/>
      <c r="J9" s="9"/>
      <c r="K9" s="5"/>
      <c r="L9" s="42"/>
      <c r="M9" s="42"/>
      <c r="N9" s="5"/>
    </row>
    <row r="10" spans="1:14" ht="18.75">
      <c r="A10" s="66" t="s">
        <v>141</v>
      </c>
      <c r="B10" s="64"/>
      <c r="C10" s="65"/>
      <c r="D10" s="5"/>
      <c r="E10" s="5"/>
      <c r="F10" s="5"/>
      <c r="G10" s="5"/>
      <c r="H10" s="7"/>
      <c r="I10" s="42"/>
      <c r="J10" s="9"/>
      <c r="K10" s="5"/>
      <c r="L10" s="42"/>
      <c r="M10" s="42"/>
      <c r="N10" s="5"/>
    </row>
    <row r="11" spans="1:14" ht="18.75">
      <c r="A11" s="66" t="s">
        <v>98</v>
      </c>
      <c r="B11" s="64"/>
      <c r="C11" s="65"/>
      <c r="D11" s="5"/>
      <c r="E11" s="5"/>
      <c r="F11" s="5"/>
      <c r="G11" s="5"/>
      <c r="H11" s="7"/>
      <c r="I11" s="42"/>
      <c r="J11" s="9"/>
      <c r="K11" s="5"/>
      <c r="L11" s="42"/>
      <c r="M11" s="42"/>
      <c r="N11" s="5"/>
    </row>
    <row r="12" spans="1:14" ht="18.75">
      <c r="A12" s="66" t="s">
        <v>142</v>
      </c>
      <c r="B12" s="64"/>
      <c r="C12" s="65"/>
      <c r="D12" s="5"/>
      <c r="E12" s="5"/>
      <c r="F12" s="5"/>
      <c r="G12" s="5"/>
      <c r="H12" s="7"/>
      <c r="I12" s="42"/>
      <c r="J12" s="9"/>
      <c r="K12" s="5"/>
      <c r="L12" s="42"/>
      <c r="M12" s="42"/>
      <c r="N12" s="5"/>
    </row>
    <row r="13" spans="1:14" ht="18.75">
      <c r="A13" s="66" t="s">
        <v>143</v>
      </c>
      <c r="B13" s="64"/>
      <c r="C13" s="65"/>
      <c r="D13" s="5"/>
      <c r="E13" s="5"/>
      <c r="F13" s="5"/>
      <c r="G13" s="5"/>
      <c r="H13" s="7"/>
      <c r="I13" s="42"/>
      <c r="J13" s="9"/>
      <c r="K13" s="5"/>
      <c r="L13" s="42"/>
      <c r="M13" s="42"/>
      <c r="N13" s="5"/>
    </row>
    <row r="14" spans="1:14" ht="18.75">
      <c r="A14" s="54"/>
      <c r="B14" s="43"/>
      <c r="C14" s="16"/>
      <c r="D14" s="16"/>
      <c r="E14" s="5"/>
      <c r="F14" s="5"/>
      <c r="G14" s="5"/>
      <c r="H14" s="7"/>
      <c r="I14" s="42"/>
      <c r="J14" s="9"/>
      <c r="K14" s="5"/>
      <c r="L14" s="42"/>
      <c r="M14" s="42"/>
      <c r="N14" s="5"/>
    </row>
    <row r="15" spans="1:14" s="28" customFormat="1" ht="15.75">
      <c r="A15" s="8"/>
      <c r="B15" s="8"/>
      <c r="C15" s="30"/>
      <c r="D15" s="8"/>
      <c r="E15" s="30" t="s">
        <v>129</v>
      </c>
      <c r="F15" s="8"/>
      <c r="G15" s="8"/>
      <c r="H15" s="9"/>
      <c r="I15" s="34"/>
      <c r="J15" s="34"/>
      <c r="K15" s="41"/>
      <c r="L15" s="34"/>
      <c r="M15" s="34"/>
      <c r="N15" s="8"/>
    </row>
    <row r="16" spans="1:14" s="28" customFormat="1" ht="15.75">
      <c r="A16" s="8"/>
      <c r="B16" s="8"/>
      <c r="C16" s="30"/>
      <c r="D16" s="8"/>
      <c r="E16" s="30"/>
      <c r="F16" s="8"/>
      <c r="G16" s="8"/>
      <c r="H16" s="9"/>
      <c r="I16" s="34"/>
      <c r="J16" s="34"/>
      <c r="K16" s="41"/>
      <c r="L16" s="34"/>
      <c r="M16" s="34"/>
      <c r="N16" s="8"/>
    </row>
    <row r="17" spans="1:14" ht="18.75">
      <c r="A17" s="420" t="s">
        <v>188</v>
      </c>
      <c r="B17" s="62"/>
      <c r="C17" s="62"/>
      <c r="D17" s="62"/>
      <c r="E17" s="30"/>
      <c r="F17" s="8"/>
      <c r="G17" s="5"/>
      <c r="H17" s="7"/>
      <c r="I17" s="35"/>
      <c r="J17" s="34"/>
      <c r="K17" s="33"/>
      <c r="L17" s="33"/>
      <c r="M17" s="33"/>
      <c r="N17" s="5"/>
    </row>
    <row r="18" spans="1:14" ht="18.75">
      <c r="A18" s="421" t="s">
        <v>608</v>
      </c>
      <c r="B18" s="62"/>
      <c r="C18" s="62"/>
      <c r="D18" s="62"/>
      <c r="E18" s="30"/>
      <c r="F18" s="8"/>
      <c r="G18" s="5"/>
      <c r="H18" s="7"/>
      <c r="I18" s="33"/>
      <c r="J18" s="34"/>
      <c r="K18" s="33"/>
      <c r="L18" s="33"/>
      <c r="M18" s="33"/>
      <c r="N18" s="5"/>
    </row>
    <row r="19" spans="1:8" ht="15.75">
      <c r="A19" s="68" t="s">
        <v>607</v>
      </c>
      <c r="B19" s="8"/>
      <c r="C19" s="69"/>
      <c r="D19" s="8"/>
      <c r="E19" s="30"/>
      <c r="F19" s="8"/>
      <c r="H19" s="1"/>
    </row>
    <row r="20" spans="1:10" ht="15.75">
      <c r="A20" s="421" t="s">
        <v>507</v>
      </c>
      <c r="B20" s="203"/>
      <c r="C20" s="422"/>
      <c r="D20" s="422"/>
      <c r="E20" s="30"/>
      <c r="F20" s="8"/>
      <c r="H20" s="1"/>
      <c r="J20" s="72"/>
    </row>
    <row r="21" spans="1:10" ht="15.75">
      <c r="A21" s="68" t="s">
        <v>508</v>
      </c>
      <c r="B21" s="8"/>
      <c r="C21" s="69"/>
      <c r="D21" s="8"/>
      <c r="E21" s="30"/>
      <c r="F21" s="8"/>
      <c r="H21" s="1"/>
      <c r="J21" s="72"/>
    </row>
    <row r="22" spans="1:10" ht="15.75">
      <c r="A22" s="68" t="s">
        <v>103</v>
      </c>
      <c r="B22" s="203"/>
      <c r="C22" s="422"/>
      <c r="D22" s="422"/>
      <c r="E22" s="26"/>
      <c r="F22" s="8"/>
      <c r="H22" s="1"/>
      <c r="J22" s="72"/>
    </row>
    <row r="23" spans="1:10" ht="15.75">
      <c r="A23" s="87" t="s">
        <v>509</v>
      </c>
      <c r="B23" s="203"/>
      <c r="C23" s="422"/>
      <c r="D23" s="422"/>
      <c r="E23" s="26"/>
      <c r="F23" s="8"/>
      <c r="H23" s="1"/>
      <c r="J23" s="72"/>
    </row>
    <row r="24" spans="1:10" ht="15.75">
      <c r="A24" s="68" t="s">
        <v>349</v>
      </c>
      <c r="B24" s="538"/>
      <c r="C24" s="426"/>
      <c r="D24" s="18"/>
      <c r="E24" s="18"/>
      <c r="F24" s="8"/>
      <c r="H24" s="1"/>
      <c r="J24" s="72"/>
    </row>
    <row r="25" spans="1:10" ht="15.75">
      <c r="A25" s="68" t="s">
        <v>512</v>
      </c>
      <c r="B25" s="538"/>
      <c r="C25" s="426"/>
      <c r="D25" s="18"/>
      <c r="E25" s="18"/>
      <c r="F25" s="18"/>
      <c r="H25" s="1"/>
      <c r="J25" s="72"/>
    </row>
    <row r="26" spans="1:10" ht="15.75">
      <c r="A26" s="68" t="s">
        <v>0</v>
      </c>
      <c r="B26" s="8"/>
      <c r="C26" s="69"/>
      <c r="D26" s="8"/>
      <c r="E26" s="30"/>
      <c r="F26" s="8"/>
      <c r="H26" s="1"/>
      <c r="J26" s="72"/>
    </row>
    <row r="27" spans="1:10" ht="15.75">
      <c r="A27" s="68" t="s">
        <v>350</v>
      </c>
      <c r="B27" s="8"/>
      <c r="C27" s="69"/>
      <c r="D27" s="8"/>
      <c r="E27" s="30"/>
      <c r="F27" s="8"/>
      <c r="H27" s="1"/>
      <c r="J27" s="72"/>
    </row>
    <row r="28" spans="1:10" ht="15.75">
      <c r="A28" s="68" t="s">
        <v>351</v>
      </c>
      <c r="B28" s="8"/>
      <c r="C28" s="69"/>
      <c r="D28" s="8"/>
      <c r="E28" s="30"/>
      <c r="F28" s="8"/>
      <c r="H28" s="1"/>
      <c r="J28" s="72"/>
    </row>
    <row r="29" spans="1:10" ht="15.75">
      <c r="A29" s="68" t="s">
        <v>375</v>
      </c>
      <c r="B29" s="8"/>
      <c r="C29" s="69"/>
      <c r="D29" s="8"/>
      <c r="E29" s="30"/>
      <c r="F29" s="8"/>
      <c r="H29" s="1"/>
      <c r="J29" s="72"/>
    </row>
    <row r="30" spans="1:10" ht="15.75">
      <c r="A30" s="637" t="s">
        <v>77</v>
      </c>
      <c r="B30" s="8"/>
      <c r="C30" s="69"/>
      <c r="D30" s="8"/>
      <c r="E30" s="30"/>
      <c r="F30" s="8"/>
      <c r="H30" s="1"/>
      <c r="I30" s="73"/>
      <c r="J30" s="72"/>
    </row>
    <row r="31" spans="1:10" ht="15.75">
      <c r="A31" s="637"/>
      <c r="B31" s="8"/>
      <c r="C31" s="69"/>
      <c r="D31" s="8"/>
      <c r="E31" s="30"/>
      <c r="F31" s="8"/>
      <c r="H31" s="1"/>
      <c r="J31" s="72"/>
    </row>
    <row r="32" spans="1:10" ht="15.75">
      <c r="A32" s="637"/>
      <c r="B32" s="8"/>
      <c r="C32" s="69"/>
      <c r="D32" s="8"/>
      <c r="E32" s="30"/>
      <c r="F32" s="8"/>
      <c r="H32" s="1"/>
      <c r="J32" s="72"/>
    </row>
    <row r="33" spans="1:12" ht="18.75">
      <c r="A33" s="70" t="s">
        <v>144</v>
      </c>
      <c r="B33" s="67"/>
      <c r="C33" s="67"/>
      <c r="I33" s="71"/>
      <c r="J33" s="72"/>
      <c r="K33" s="73"/>
      <c r="L33" s="74"/>
    </row>
    <row r="34" spans="1:11" ht="15.75">
      <c r="A34" s="75"/>
      <c r="B34" s="76"/>
      <c r="C34" s="76"/>
      <c r="D34" s="26"/>
      <c r="E34" s="26"/>
      <c r="F34" s="77"/>
      <c r="H34" s="77"/>
      <c r="I34" s="78"/>
      <c r="K34" s="73"/>
    </row>
    <row r="35" spans="1:11" ht="15.75">
      <c r="A35" s="75" t="s">
        <v>145</v>
      </c>
      <c r="B35" s="76"/>
      <c r="C35" s="76"/>
      <c r="D35" s="26"/>
      <c r="E35" s="26"/>
      <c r="F35" s="77"/>
      <c r="H35" s="77">
        <v>411470480.06</v>
      </c>
      <c r="I35" s="78"/>
      <c r="K35" s="73"/>
    </row>
    <row r="36" spans="1:11" ht="15.75">
      <c r="A36" s="75" t="s">
        <v>146</v>
      </c>
      <c r="B36" s="76"/>
      <c r="C36" s="76"/>
      <c r="D36" s="26"/>
      <c r="E36" s="26"/>
      <c r="F36" s="77"/>
      <c r="H36" s="77">
        <f>H35-D63+F63</f>
        <v>411425534.67</v>
      </c>
      <c r="I36" s="204"/>
      <c r="K36" s="73"/>
    </row>
    <row r="37" spans="1:11" ht="15.75">
      <c r="A37" s="79" t="s">
        <v>147</v>
      </c>
      <c r="B37" s="80"/>
      <c r="C37" s="80"/>
      <c r="D37" s="26"/>
      <c r="E37" s="26"/>
      <c r="F37" s="77"/>
      <c r="H37" s="77"/>
      <c r="I37" s="204"/>
      <c r="J37" s="72"/>
      <c r="K37" s="73"/>
    </row>
    <row r="38" spans="1:11" ht="15.75">
      <c r="A38" s="79"/>
      <c r="B38" s="80"/>
      <c r="C38" s="80"/>
      <c r="D38" s="26"/>
      <c r="E38" s="26"/>
      <c r="F38" s="77"/>
      <c r="H38" s="77"/>
      <c r="I38" s="204"/>
      <c r="K38" s="73"/>
    </row>
    <row r="39" spans="1:11" ht="15.75">
      <c r="A39" s="75" t="s">
        <v>187</v>
      </c>
      <c r="B39" s="76"/>
      <c r="C39" s="76"/>
      <c r="D39" s="82"/>
      <c r="E39" s="26"/>
      <c r="F39" s="1"/>
      <c r="H39" s="77">
        <v>284392882.35</v>
      </c>
      <c r="I39" s="204"/>
      <c r="K39" s="73"/>
    </row>
    <row r="40" spans="1:12" ht="15.75">
      <c r="A40" s="75" t="s">
        <v>146</v>
      </c>
      <c r="B40" s="76"/>
      <c r="C40" s="76"/>
      <c r="D40" s="82"/>
      <c r="E40" s="26"/>
      <c r="F40" s="1"/>
      <c r="H40" s="77">
        <f>H39-D63+F63</f>
        <v>284347936.96000004</v>
      </c>
      <c r="I40" s="204"/>
      <c r="K40" s="81"/>
      <c r="L40" s="123"/>
    </row>
    <row r="41" spans="1:11" ht="15.75">
      <c r="A41" s="79"/>
      <c r="B41" s="67" t="s">
        <v>148</v>
      </c>
      <c r="C41" s="80"/>
      <c r="D41" s="26"/>
      <c r="E41" s="26"/>
      <c r="F41" s="1"/>
      <c r="H41" s="77"/>
      <c r="I41" s="204"/>
      <c r="J41" s="72"/>
      <c r="K41" s="73"/>
    </row>
    <row r="42" spans="1:11" ht="15.75">
      <c r="A42" s="83" t="s">
        <v>152</v>
      </c>
      <c r="B42" s="76"/>
      <c r="C42" s="76"/>
      <c r="D42" s="26"/>
      <c r="E42" s="26"/>
      <c r="F42" s="1"/>
      <c r="H42" s="77">
        <v>262477194.83</v>
      </c>
      <c r="I42" s="204"/>
      <c r="K42" s="73"/>
    </row>
    <row r="43" spans="1:11" ht="15.75">
      <c r="A43" s="83" t="s">
        <v>146</v>
      </c>
      <c r="B43" s="76"/>
      <c r="C43" s="76"/>
      <c r="D43" s="26"/>
      <c r="E43" s="26"/>
      <c r="F43" s="1"/>
      <c r="H43" s="77">
        <f>H42-D63+F63</f>
        <v>262432249.44000003</v>
      </c>
      <c r="I43" s="204"/>
      <c r="K43" s="73"/>
    </row>
    <row r="44" spans="1:12" ht="15.75">
      <c r="A44" s="83"/>
      <c r="B44" s="84" t="s">
        <v>112</v>
      </c>
      <c r="C44" s="76"/>
      <c r="D44" s="26"/>
      <c r="E44" s="26"/>
      <c r="F44" s="1"/>
      <c r="H44" s="77"/>
      <c r="I44" s="204"/>
      <c r="K44" s="81"/>
      <c r="L44" s="123"/>
    </row>
    <row r="45" spans="1:12" ht="18.75">
      <c r="A45" s="83"/>
      <c r="B45" s="202" t="s">
        <v>478</v>
      </c>
      <c r="C45" s="84"/>
      <c r="D45" s="202"/>
      <c r="E45" s="26"/>
      <c r="F45" s="1"/>
      <c r="H45" s="1"/>
      <c r="I45" s="204"/>
      <c r="K45" s="74"/>
      <c r="L45" s="123"/>
    </row>
    <row r="46" spans="1:12" ht="20.25">
      <c r="A46" s="83"/>
      <c r="B46" s="202" t="s">
        <v>479</v>
      </c>
      <c r="C46" s="84"/>
      <c r="D46" s="202"/>
      <c r="E46" s="26"/>
      <c r="F46" s="1"/>
      <c r="H46" s="1">
        <v>7500000</v>
      </c>
      <c r="I46" s="204"/>
      <c r="K46" s="73"/>
      <c r="L46" s="805"/>
    </row>
    <row r="47" spans="1:11" ht="15.75">
      <c r="A47" s="83"/>
      <c r="B47" s="202" t="s">
        <v>153</v>
      </c>
      <c r="C47" s="84"/>
      <c r="D47" s="202"/>
      <c r="E47" s="26"/>
      <c r="F47" s="1"/>
      <c r="H47" s="1">
        <f>H46-D62</f>
        <v>7378423</v>
      </c>
      <c r="I47" s="204"/>
      <c r="K47" s="73"/>
    </row>
    <row r="48" spans="1:11" ht="15.75">
      <c r="A48" s="83"/>
      <c r="B48" s="202"/>
      <c r="C48" s="84"/>
      <c r="D48" s="202"/>
      <c r="E48" s="26"/>
      <c r="F48" s="1"/>
      <c r="H48" s="1"/>
      <c r="I48" s="204"/>
      <c r="K48" s="73"/>
    </row>
    <row r="49" spans="1:11" ht="15.75">
      <c r="A49" s="83"/>
      <c r="B49" s="202"/>
      <c r="C49" s="76"/>
      <c r="D49" s="26"/>
      <c r="E49" s="26"/>
      <c r="F49" s="1"/>
      <c r="H49" s="1"/>
      <c r="I49" s="78"/>
      <c r="K49" s="73"/>
    </row>
    <row r="50" spans="1:11" ht="15.75">
      <c r="A50" s="83"/>
      <c r="B50" s="84"/>
      <c r="C50" s="76"/>
      <c r="D50" s="26"/>
      <c r="E50" s="26"/>
      <c r="F50" s="1"/>
      <c r="H50" s="1"/>
      <c r="I50" s="71"/>
      <c r="K50" s="73"/>
    </row>
    <row r="51" spans="1:11" ht="19.5">
      <c r="A51" s="88" t="s">
        <v>186</v>
      </c>
      <c r="B51" s="89"/>
      <c r="C51" s="90"/>
      <c r="D51" s="91"/>
      <c r="E51" s="91"/>
      <c r="F51" s="92"/>
      <c r="G51" s="92"/>
      <c r="H51" s="93"/>
      <c r="I51" s="71"/>
      <c r="K51" s="73"/>
    </row>
    <row r="52" spans="1:11" ht="19.5">
      <c r="A52" s="88"/>
      <c r="B52" s="89"/>
      <c r="C52" s="90"/>
      <c r="D52" s="91"/>
      <c r="E52" s="91"/>
      <c r="F52" s="92"/>
      <c r="G52" s="92"/>
      <c r="H52" s="93"/>
      <c r="I52" s="71"/>
      <c r="K52" s="73"/>
    </row>
    <row r="53" spans="1:11" ht="18.75">
      <c r="A53" s="97" t="s">
        <v>184</v>
      </c>
      <c r="B53" s="98"/>
      <c r="C53" s="99"/>
      <c r="D53" s="87"/>
      <c r="E53" s="87"/>
      <c r="F53" s="96"/>
      <c r="G53" s="96"/>
      <c r="I53" s="71"/>
      <c r="K53" s="73"/>
    </row>
    <row r="54" spans="1:11" ht="18.75">
      <c r="A54" s="97"/>
      <c r="B54" s="98"/>
      <c r="C54" s="99"/>
      <c r="D54" s="87"/>
      <c r="E54" s="87"/>
      <c r="F54" s="96"/>
      <c r="G54" s="96"/>
      <c r="I54" s="71"/>
      <c r="K54" s="73"/>
    </row>
    <row r="55" spans="1:11" ht="18.75">
      <c r="A55" s="94"/>
      <c r="B55" s="94"/>
      <c r="C55" s="94"/>
      <c r="D55" s="87"/>
      <c r="E55" s="87"/>
      <c r="F55" s="96"/>
      <c r="G55" s="96"/>
      <c r="I55" s="71"/>
      <c r="K55" s="73"/>
    </row>
    <row r="56" spans="1:11" ht="18.75">
      <c r="A56" s="100"/>
      <c r="B56" s="100"/>
      <c r="C56" s="101"/>
      <c r="D56" s="10" t="s">
        <v>154</v>
      </c>
      <c r="E56" s="11"/>
      <c r="F56" s="10" t="s">
        <v>155</v>
      </c>
      <c r="G56" s="11"/>
      <c r="I56" s="71"/>
      <c r="K56" s="73"/>
    </row>
    <row r="57" spans="1:11" ht="15" customHeight="1">
      <c r="A57" s="102"/>
      <c r="B57" s="102"/>
      <c r="C57" s="103"/>
      <c r="D57" s="12" t="s">
        <v>128</v>
      </c>
      <c r="E57" s="11" t="s">
        <v>127</v>
      </c>
      <c r="F57" s="12" t="s">
        <v>128</v>
      </c>
      <c r="G57" s="11" t="s">
        <v>127</v>
      </c>
      <c r="I57" s="71"/>
      <c r="K57" s="73"/>
    </row>
    <row r="58" spans="1:11" ht="21">
      <c r="A58" s="104" t="s">
        <v>130</v>
      </c>
      <c r="B58" s="104" t="s">
        <v>136</v>
      </c>
      <c r="C58" s="104" t="s">
        <v>131</v>
      </c>
      <c r="D58" s="13" t="s">
        <v>132</v>
      </c>
      <c r="E58" s="14" t="s">
        <v>133</v>
      </c>
      <c r="F58" s="13" t="s">
        <v>132</v>
      </c>
      <c r="G58" s="14" t="s">
        <v>133</v>
      </c>
      <c r="I58" s="71"/>
      <c r="K58" s="73"/>
    </row>
    <row r="59" spans="1:13" s="115" customFormat="1" ht="18.75">
      <c r="A59" s="209" t="s">
        <v>166</v>
      </c>
      <c r="B59" s="105" t="s">
        <v>631</v>
      </c>
      <c r="C59" s="109" t="s">
        <v>632</v>
      </c>
      <c r="D59" s="106"/>
      <c r="E59" s="106"/>
      <c r="F59" s="640">
        <v>36631.61</v>
      </c>
      <c r="G59" s="121"/>
      <c r="H59" s="122"/>
      <c r="I59" s="71"/>
      <c r="J59" s="107"/>
      <c r="K59" s="73"/>
      <c r="L59" s="123"/>
      <c r="M59" s="123"/>
    </row>
    <row r="60" spans="1:13" s="115" customFormat="1" ht="18.75">
      <c r="A60" s="105" t="s">
        <v>614</v>
      </c>
      <c r="B60" s="105" t="s">
        <v>91</v>
      </c>
      <c r="C60" s="105" t="s">
        <v>352</v>
      </c>
      <c r="D60" s="106"/>
      <c r="E60" s="106"/>
      <c r="F60" s="640">
        <v>30000</v>
      </c>
      <c r="G60" s="121"/>
      <c r="H60" s="122"/>
      <c r="I60" s="71"/>
      <c r="J60" s="107"/>
      <c r="K60" s="73"/>
      <c r="L60" s="123"/>
      <c r="M60" s="123"/>
    </row>
    <row r="61" spans="1:13" s="115" customFormat="1" ht="18.75">
      <c r="A61" s="105" t="s">
        <v>648</v>
      </c>
      <c r="B61" s="105" t="s">
        <v>94</v>
      </c>
      <c r="C61" s="105" t="s">
        <v>118</v>
      </c>
      <c r="D61" s="106"/>
      <c r="E61" s="106"/>
      <c r="F61" s="640">
        <v>10000</v>
      </c>
      <c r="G61" s="121"/>
      <c r="H61" s="122"/>
      <c r="I61" s="71"/>
      <c r="J61" s="107"/>
      <c r="K61" s="73"/>
      <c r="L61" s="123"/>
      <c r="M61" s="123"/>
    </row>
    <row r="62" spans="1:13" s="115" customFormat="1" ht="18.75">
      <c r="A62" s="105" t="s">
        <v>115</v>
      </c>
      <c r="B62" s="105" t="s">
        <v>651</v>
      </c>
      <c r="C62" s="105" t="s">
        <v>165</v>
      </c>
      <c r="D62" s="106">
        <f>121577</f>
        <v>121577</v>
      </c>
      <c r="E62" s="106"/>
      <c r="F62" s="539"/>
      <c r="G62" s="121"/>
      <c r="H62" s="122"/>
      <c r="I62" s="71"/>
      <c r="J62" s="107"/>
      <c r="K62" s="73"/>
      <c r="L62" s="123"/>
      <c r="M62" s="123"/>
    </row>
    <row r="63" spans="1:13" s="47" customFormat="1" ht="19.5" customHeight="1">
      <c r="A63" s="207" t="s">
        <v>137</v>
      </c>
      <c r="B63" s="208"/>
      <c r="C63" s="109"/>
      <c r="D63" s="126">
        <f>D59+D60+D61+D62</f>
        <v>121577</v>
      </c>
      <c r="E63" s="126">
        <f>E59+E60+E61+E62</f>
        <v>0</v>
      </c>
      <c r="F63" s="126">
        <f>F59+F60+F61+F62</f>
        <v>76631.61</v>
      </c>
      <c r="G63" s="126">
        <f>G59+G60+G61+G62</f>
        <v>0</v>
      </c>
      <c r="H63" s="120"/>
      <c r="I63" s="116"/>
      <c r="J63" s="117"/>
      <c r="K63" s="117"/>
      <c r="L63" s="48"/>
      <c r="M63" s="48"/>
    </row>
    <row r="64" spans="1:13" s="47" customFormat="1" ht="19.5" customHeight="1">
      <c r="A64" s="118"/>
      <c r="B64" s="119"/>
      <c r="C64" s="119"/>
      <c r="D64" s="120"/>
      <c r="E64" s="120"/>
      <c r="F64" s="120"/>
      <c r="G64" s="120"/>
      <c r="I64" s="116"/>
      <c r="J64" s="48"/>
      <c r="K64" s="117"/>
      <c r="L64" s="48"/>
      <c r="M64" s="48"/>
    </row>
    <row r="65" spans="1:13" s="47" customFormat="1" ht="19.5" customHeight="1">
      <c r="A65" s="118"/>
      <c r="B65" s="119"/>
      <c r="C65" s="119"/>
      <c r="D65" s="120"/>
      <c r="E65" s="120"/>
      <c r="F65" s="120"/>
      <c r="G65" s="120"/>
      <c r="H65" s="120"/>
      <c r="I65" s="116"/>
      <c r="J65" s="117"/>
      <c r="K65" s="117"/>
      <c r="L65" s="48"/>
      <c r="M65" s="48"/>
    </row>
    <row r="66" spans="1:13" s="47" customFormat="1" ht="19.5" customHeight="1">
      <c r="A66" s="28" t="s">
        <v>640</v>
      </c>
      <c r="B66" s="28"/>
      <c r="C66" s="67"/>
      <c r="D66" s="2"/>
      <c r="E66" s="2"/>
      <c r="F66" s="2"/>
      <c r="G66" s="120"/>
      <c r="I66" s="116"/>
      <c r="J66" s="48"/>
      <c r="K66" s="117"/>
      <c r="L66" s="48"/>
      <c r="M66" s="48"/>
    </row>
    <row r="67" spans="1:13" s="47" customFormat="1" ht="19.5" customHeight="1">
      <c r="A67" s="613" t="s">
        <v>59</v>
      </c>
      <c r="B67" s="28"/>
      <c r="C67" s="67"/>
      <c r="D67" s="2"/>
      <c r="E67" s="2"/>
      <c r="F67" s="2"/>
      <c r="G67" s="120"/>
      <c r="I67" s="116"/>
      <c r="J67" s="48"/>
      <c r="K67" s="117"/>
      <c r="L67" s="48"/>
      <c r="M67" s="48"/>
    </row>
    <row r="68" spans="1:13" s="47" customFormat="1" ht="19.5" customHeight="1">
      <c r="A68" s="613" t="s">
        <v>60</v>
      </c>
      <c r="B68" s="28"/>
      <c r="C68" s="67"/>
      <c r="D68" s="2"/>
      <c r="E68" s="2"/>
      <c r="F68" s="2"/>
      <c r="G68" s="120"/>
      <c r="I68" s="116"/>
      <c r="J68" s="48"/>
      <c r="K68" s="117"/>
      <c r="L68" s="48"/>
      <c r="M68" s="48"/>
    </row>
    <row r="69" spans="1:13" s="47" customFormat="1" ht="19.5" customHeight="1">
      <c r="A69" s="613"/>
      <c r="B69" s="28"/>
      <c r="C69" s="67"/>
      <c r="D69" s="2"/>
      <c r="E69" s="2"/>
      <c r="F69" s="2"/>
      <c r="G69" s="120"/>
      <c r="I69" s="116"/>
      <c r="J69" s="48"/>
      <c r="K69" s="117"/>
      <c r="L69" s="48"/>
      <c r="M69" s="48"/>
    </row>
    <row r="70" spans="1:13" s="47" customFormat="1" ht="19.5" customHeight="1">
      <c r="A70" s="88" t="s">
        <v>164</v>
      </c>
      <c r="B70" s="28"/>
      <c r="C70" s="67"/>
      <c r="D70" s="2"/>
      <c r="E70" s="2"/>
      <c r="F70" s="2"/>
      <c r="G70" s="120"/>
      <c r="I70" s="116"/>
      <c r="J70" s="48"/>
      <c r="K70" s="117"/>
      <c r="L70" s="48"/>
      <c r="M70" s="48"/>
    </row>
    <row r="71" spans="1:13" s="47" customFormat="1" ht="19.5" customHeight="1">
      <c r="A71" s="88"/>
      <c r="B71" s="28"/>
      <c r="C71" s="67"/>
      <c r="D71" s="2"/>
      <c r="E71" s="2"/>
      <c r="F71" s="2"/>
      <c r="G71" s="120"/>
      <c r="I71" s="116"/>
      <c r="J71" s="48"/>
      <c r="K71" s="117"/>
      <c r="L71" s="48"/>
      <c r="M71" s="48"/>
    </row>
    <row r="72" spans="1:13" s="47" customFormat="1" ht="19.5" customHeight="1">
      <c r="A72" s="28" t="s">
        <v>619</v>
      </c>
      <c r="B72" s="28"/>
      <c r="C72" s="67"/>
      <c r="D72" s="2"/>
      <c r="E72" s="2"/>
      <c r="F72" s="2"/>
      <c r="G72" s="120">
        <f>G74</f>
        <v>36631.61</v>
      </c>
      <c r="I72" s="116"/>
      <c r="J72" s="48"/>
      <c r="K72" s="117"/>
      <c r="L72" s="48"/>
      <c r="M72" s="48"/>
    </row>
    <row r="73" spans="1:13" s="47" customFormat="1" ht="19.5" customHeight="1">
      <c r="A73" s="28" t="s">
        <v>127</v>
      </c>
      <c r="B73" s="28"/>
      <c r="C73" s="67"/>
      <c r="D73" s="2"/>
      <c r="E73" s="2"/>
      <c r="F73" s="2"/>
      <c r="G73" s="120"/>
      <c r="I73" s="116"/>
      <c r="J73" s="48"/>
      <c r="K73" s="117"/>
      <c r="L73" s="48"/>
      <c r="M73" s="48"/>
    </row>
    <row r="74" spans="1:13" s="47" customFormat="1" ht="19.5" customHeight="1">
      <c r="A74" s="28" t="s">
        <v>667</v>
      </c>
      <c r="B74" s="28"/>
      <c r="C74" s="67"/>
      <c r="D74" s="2"/>
      <c r="E74" s="2"/>
      <c r="F74" s="2"/>
      <c r="G74" s="641">
        <v>36631.61</v>
      </c>
      <c r="I74" s="116"/>
      <c r="J74" s="48"/>
      <c r="K74" s="117"/>
      <c r="L74" s="48"/>
      <c r="M74" s="48"/>
    </row>
    <row r="75" spans="1:13" s="47" customFormat="1" ht="19.5" customHeight="1">
      <c r="A75" s="28"/>
      <c r="B75" s="28"/>
      <c r="C75" s="67"/>
      <c r="D75" s="2"/>
      <c r="E75" s="2"/>
      <c r="F75" s="2"/>
      <c r="G75" s="120"/>
      <c r="I75" s="116"/>
      <c r="J75" s="48"/>
      <c r="K75" s="117"/>
      <c r="L75" s="48"/>
      <c r="M75" s="48"/>
    </row>
    <row r="76" spans="1:13" s="47" customFormat="1" ht="19.5" customHeight="1">
      <c r="A76" s="28"/>
      <c r="B76" s="28"/>
      <c r="C76" s="67"/>
      <c r="D76" s="2"/>
      <c r="E76" s="2"/>
      <c r="F76" s="2"/>
      <c r="G76" s="120"/>
      <c r="I76" s="116"/>
      <c r="J76" s="48"/>
      <c r="K76" s="117"/>
      <c r="L76" s="48"/>
      <c r="M76" s="48"/>
    </row>
    <row r="77" spans="1:13" s="47" customFormat="1" ht="19.5" customHeight="1">
      <c r="A77" s="28" t="s">
        <v>138</v>
      </c>
      <c r="B77" s="28"/>
      <c r="C77" s="67"/>
      <c r="D77" s="2"/>
      <c r="E77" s="2"/>
      <c r="F77" s="2"/>
      <c r="G77" s="120">
        <f>G79</f>
        <v>36631.61</v>
      </c>
      <c r="I77" s="116"/>
      <c r="J77" s="48"/>
      <c r="K77" s="117"/>
      <c r="L77" s="48"/>
      <c r="M77" s="48"/>
    </row>
    <row r="78" spans="1:13" s="47" customFormat="1" ht="19.5" customHeight="1">
      <c r="A78" s="28" t="s">
        <v>127</v>
      </c>
      <c r="B78" s="28"/>
      <c r="C78" s="67"/>
      <c r="D78" s="2"/>
      <c r="E78" s="2"/>
      <c r="F78" s="2"/>
      <c r="G78" s="120"/>
      <c r="I78" s="116"/>
      <c r="J78" s="48"/>
      <c r="K78" s="117"/>
      <c r="L78" s="48"/>
      <c r="M78" s="48"/>
    </row>
    <row r="79" spans="1:13" s="47" customFormat="1" ht="19.5" customHeight="1">
      <c r="A79" s="28" t="s">
        <v>668</v>
      </c>
      <c r="B79" s="28"/>
      <c r="C79" s="67"/>
      <c r="D79" s="2"/>
      <c r="E79" s="2"/>
      <c r="F79" s="2"/>
      <c r="G79" s="641">
        <v>36631.61</v>
      </c>
      <c r="I79" s="116"/>
      <c r="J79" s="48"/>
      <c r="K79" s="117"/>
      <c r="L79" s="48"/>
      <c r="M79" s="48"/>
    </row>
    <row r="80" spans="1:13" s="47" customFormat="1" ht="19.5" customHeight="1">
      <c r="A80" s="118"/>
      <c r="B80" s="119"/>
      <c r="C80" s="119"/>
      <c r="D80" s="120"/>
      <c r="E80" s="120"/>
      <c r="F80" s="120"/>
      <c r="G80" s="120"/>
      <c r="I80" s="116"/>
      <c r="J80" s="48"/>
      <c r="K80" s="117"/>
      <c r="L80" s="48"/>
      <c r="M80" s="48"/>
    </row>
    <row r="81" spans="1:13" s="47" customFormat="1" ht="19.5" customHeight="1">
      <c r="A81" s="118"/>
      <c r="B81" s="119"/>
      <c r="C81" s="119"/>
      <c r="D81" s="120"/>
      <c r="E81" s="120"/>
      <c r="F81" s="120"/>
      <c r="G81" s="120"/>
      <c r="I81" s="116"/>
      <c r="J81" s="48"/>
      <c r="K81" s="117"/>
      <c r="L81" s="48"/>
      <c r="M81" s="48"/>
    </row>
    <row r="82" spans="1:13" s="28" customFormat="1" ht="15.75">
      <c r="A82" s="70" t="s">
        <v>641</v>
      </c>
      <c r="B82" s="128"/>
      <c r="C82" s="129"/>
      <c r="H82" s="1"/>
      <c r="I82" s="71"/>
      <c r="J82" s="32"/>
      <c r="K82" s="81"/>
      <c r="L82" s="32"/>
      <c r="M82" s="32"/>
    </row>
    <row r="83" spans="1:23" ht="15.75">
      <c r="A83" s="127"/>
      <c r="B83" s="127"/>
      <c r="C83" s="127"/>
      <c r="D83" s="28"/>
      <c r="E83" s="28"/>
      <c r="F83" s="28"/>
      <c r="G83" s="28"/>
      <c r="H83" s="1"/>
      <c r="I83" s="130"/>
      <c r="J83" s="37"/>
      <c r="K83" s="131"/>
      <c r="L83" s="36"/>
      <c r="M83" s="36"/>
      <c r="N83" s="16"/>
      <c r="O83" s="16"/>
      <c r="P83" s="16"/>
      <c r="Q83" s="132"/>
      <c r="R83" s="132"/>
      <c r="S83" s="132"/>
      <c r="T83" s="132"/>
      <c r="U83" s="132"/>
      <c r="V83" s="132"/>
      <c r="W83" s="132"/>
    </row>
    <row r="84" spans="1:23" ht="18.75">
      <c r="A84" s="70"/>
      <c r="B84" s="128"/>
      <c r="C84" s="129"/>
      <c r="D84" s="16"/>
      <c r="E84" s="16"/>
      <c r="F84" s="16"/>
      <c r="G84" s="16"/>
      <c r="H84" s="17"/>
      <c r="I84" s="133"/>
      <c r="J84" s="134"/>
      <c r="K84" s="131"/>
      <c r="L84" s="36"/>
      <c r="M84" s="36"/>
      <c r="N84" s="16"/>
      <c r="O84" s="16"/>
      <c r="P84" s="16"/>
      <c r="Q84" s="132"/>
      <c r="R84" s="132"/>
      <c r="S84" s="132"/>
      <c r="T84" s="132"/>
      <c r="U84" s="132"/>
      <c r="V84" s="132"/>
      <c r="W84" s="132"/>
    </row>
    <row r="85" spans="1:23" ht="15.75">
      <c r="A85" s="70"/>
      <c r="B85" s="135" t="s">
        <v>156</v>
      </c>
      <c r="C85" s="136"/>
      <c r="D85" s="16"/>
      <c r="E85" s="16"/>
      <c r="F85" s="16"/>
      <c r="G85" s="16"/>
      <c r="H85" s="137">
        <f>H88+H99</f>
        <v>418056755.22</v>
      </c>
      <c r="I85" s="133"/>
      <c r="J85" s="134"/>
      <c r="K85" s="131"/>
      <c r="L85" s="36"/>
      <c r="M85" s="36"/>
      <c r="N85" s="16"/>
      <c r="O85" s="16"/>
      <c r="P85" s="16"/>
      <c r="Q85" s="132"/>
      <c r="R85" s="132"/>
      <c r="S85" s="132"/>
      <c r="T85" s="132"/>
      <c r="U85" s="132"/>
      <c r="V85" s="132"/>
      <c r="W85" s="132"/>
    </row>
    <row r="86" spans="1:23" ht="15.75">
      <c r="A86" s="70"/>
      <c r="B86" s="135" t="s">
        <v>153</v>
      </c>
      <c r="C86" s="136"/>
      <c r="D86" s="16"/>
      <c r="E86" s="16"/>
      <c r="F86" s="16"/>
      <c r="G86" s="16"/>
      <c r="H86" s="137">
        <f>H89+H100</f>
        <v>418011809.83</v>
      </c>
      <c r="I86" s="205"/>
      <c r="J86" s="134"/>
      <c r="K86" s="131"/>
      <c r="L86" s="36"/>
      <c r="M86" s="36"/>
      <c r="N86" s="16"/>
      <c r="O86" s="16"/>
      <c r="P86" s="16"/>
      <c r="Q86" s="132"/>
      <c r="R86" s="132"/>
      <c r="S86" s="132"/>
      <c r="T86" s="132"/>
      <c r="U86" s="132"/>
      <c r="V86" s="132"/>
      <c r="W86" s="132"/>
    </row>
    <row r="87" spans="1:23" ht="15.75">
      <c r="A87" s="70"/>
      <c r="B87" s="139" t="s">
        <v>148</v>
      </c>
      <c r="C87" s="129"/>
      <c r="D87" s="16"/>
      <c r="E87" s="16"/>
      <c r="F87" s="16"/>
      <c r="G87" s="16"/>
      <c r="H87" s="137"/>
      <c r="I87" s="205"/>
      <c r="J87" s="134"/>
      <c r="K87" s="131"/>
      <c r="L87" s="36"/>
      <c r="M87" s="36"/>
      <c r="N87" s="16"/>
      <c r="O87" s="16"/>
      <c r="P87" s="16"/>
      <c r="Q87" s="132"/>
      <c r="R87" s="132"/>
      <c r="S87" s="132"/>
      <c r="T87" s="132"/>
      <c r="U87" s="132"/>
      <c r="V87" s="132"/>
      <c r="W87" s="132"/>
    </row>
    <row r="88" spans="1:23" ht="15.75">
      <c r="A88" s="141" t="s">
        <v>157</v>
      </c>
      <c r="B88" s="141"/>
      <c r="C88" s="141"/>
      <c r="D88" s="91"/>
      <c r="E88" s="87"/>
      <c r="F88" s="87"/>
      <c r="G88" s="16"/>
      <c r="H88" s="137">
        <f>H91+H95</f>
        <v>285357529.05</v>
      </c>
      <c r="I88" s="205"/>
      <c r="J88" s="134"/>
      <c r="K88" s="131"/>
      <c r="L88" s="36"/>
      <c r="M88" s="36"/>
      <c r="N88" s="16"/>
      <c r="O88" s="16"/>
      <c r="P88" s="16"/>
      <c r="Q88" s="132"/>
      <c r="R88" s="132"/>
      <c r="S88" s="132"/>
      <c r="T88" s="132"/>
      <c r="U88" s="132"/>
      <c r="V88" s="132"/>
      <c r="W88" s="132"/>
    </row>
    <row r="89" spans="1:23" ht="15.75">
      <c r="A89" s="141"/>
      <c r="B89" s="142" t="s">
        <v>153</v>
      </c>
      <c r="C89" s="141"/>
      <c r="D89" s="91"/>
      <c r="E89" s="87"/>
      <c r="F89" s="87"/>
      <c r="G89" s="16"/>
      <c r="H89" s="137">
        <f>H92+H96</f>
        <v>286304182.65999997</v>
      </c>
      <c r="I89" s="205"/>
      <c r="J89" s="134"/>
      <c r="K89" s="131"/>
      <c r="L89" s="36"/>
      <c r="M89" s="36"/>
      <c r="N89" s="16"/>
      <c r="O89" s="16"/>
      <c r="P89" s="16"/>
      <c r="Q89" s="132"/>
      <c r="R89" s="132"/>
      <c r="S89" s="132"/>
      <c r="T89" s="132"/>
      <c r="U89" s="132"/>
      <c r="V89" s="132"/>
      <c r="W89" s="132"/>
    </row>
    <row r="90" spans="1:23" ht="15.75">
      <c r="A90" s="86" t="s">
        <v>128</v>
      </c>
      <c r="B90" s="86" t="s">
        <v>158</v>
      </c>
      <c r="C90" s="86"/>
      <c r="D90" s="87"/>
      <c r="E90" s="87"/>
      <c r="F90" s="87"/>
      <c r="G90" s="16"/>
      <c r="H90" s="137"/>
      <c r="I90" s="205"/>
      <c r="J90" s="134"/>
      <c r="K90" s="131"/>
      <c r="L90" s="36"/>
      <c r="M90" s="36"/>
      <c r="N90" s="16"/>
      <c r="O90" s="16"/>
      <c r="P90" s="16"/>
      <c r="Q90" s="132"/>
      <c r="R90" s="132"/>
      <c r="S90" s="132"/>
      <c r="T90" s="132"/>
      <c r="U90" s="132"/>
      <c r="V90" s="132"/>
      <c r="W90" s="132"/>
    </row>
    <row r="91" spans="1:23" ht="15.75">
      <c r="A91" s="144" t="s">
        <v>159</v>
      </c>
      <c r="B91" s="144"/>
      <c r="C91" s="144"/>
      <c r="D91" s="145"/>
      <c r="E91" s="87"/>
      <c r="F91" s="87"/>
      <c r="G91" s="16"/>
      <c r="H91" s="137">
        <v>251946136.89</v>
      </c>
      <c r="I91" s="205"/>
      <c r="J91" s="134"/>
      <c r="K91" s="131"/>
      <c r="L91" s="701"/>
      <c r="M91" s="36"/>
      <c r="N91" s="16"/>
      <c r="O91" s="16"/>
      <c r="P91" s="16"/>
      <c r="Q91" s="132"/>
      <c r="R91" s="132"/>
      <c r="S91" s="132"/>
      <c r="T91" s="132"/>
      <c r="U91" s="132"/>
      <c r="V91" s="132"/>
      <c r="W91" s="132"/>
    </row>
    <row r="92" spans="1:23" ht="15.75">
      <c r="A92" s="144"/>
      <c r="B92" s="146" t="s">
        <v>153</v>
      </c>
      <c r="C92" s="144"/>
      <c r="D92" s="145"/>
      <c r="E92" s="91"/>
      <c r="F92" s="145"/>
      <c r="G92" s="16"/>
      <c r="H92" s="137">
        <f>H91-D152+D119+D130+D131+D144+F152-F120-F124-F137-F140-F150</f>
        <v>252047883.5</v>
      </c>
      <c r="I92" s="205"/>
      <c r="J92" s="134"/>
      <c r="K92" s="131"/>
      <c r="L92" s="701"/>
      <c r="M92" s="36"/>
      <c r="N92" s="16"/>
      <c r="O92" s="16"/>
      <c r="P92" s="16"/>
      <c r="Q92" s="132"/>
      <c r="R92" s="132"/>
      <c r="S92" s="132"/>
      <c r="T92" s="132"/>
      <c r="U92" s="132"/>
      <c r="V92" s="132"/>
      <c r="W92" s="132"/>
    </row>
    <row r="93" spans="1:23" ht="18.75">
      <c r="A93" s="83"/>
      <c r="B93" s="84"/>
      <c r="C93" s="76"/>
      <c r="D93" s="26"/>
      <c r="E93" s="91"/>
      <c r="F93" s="145"/>
      <c r="G93" s="16"/>
      <c r="H93" s="140"/>
      <c r="I93" s="133"/>
      <c r="J93" s="134"/>
      <c r="K93" s="131"/>
      <c r="L93" s="154"/>
      <c r="M93" s="701"/>
      <c r="N93" s="16"/>
      <c r="O93" s="16"/>
      <c r="P93" s="16"/>
      <c r="Q93" s="132"/>
      <c r="R93" s="132"/>
      <c r="S93" s="132"/>
      <c r="T93" s="132"/>
      <c r="U93" s="132"/>
      <c r="V93" s="132"/>
      <c r="W93" s="132"/>
    </row>
    <row r="94" spans="1:23" ht="15.75">
      <c r="A94" s="144"/>
      <c r="B94" s="146"/>
      <c r="C94" s="144"/>
      <c r="D94" s="145"/>
      <c r="E94" s="91"/>
      <c r="F94" s="145"/>
      <c r="G94" s="16"/>
      <c r="H94" s="137"/>
      <c r="I94" s="133"/>
      <c r="J94" s="134"/>
      <c r="K94" s="131"/>
      <c r="L94" s="36"/>
      <c r="M94" s="36"/>
      <c r="N94" s="16"/>
      <c r="O94" s="16"/>
      <c r="P94" s="16"/>
      <c r="Q94" s="132"/>
      <c r="R94" s="132"/>
      <c r="S94" s="132"/>
      <c r="T94" s="132"/>
      <c r="U94" s="132"/>
      <c r="V94" s="132"/>
      <c r="W94" s="132"/>
    </row>
    <row r="95" spans="1:23" ht="15.75">
      <c r="A95" s="144" t="s">
        <v>160</v>
      </c>
      <c r="B95" s="144"/>
      <c r="C95" s="141"/>
      <c r="D95" s="145"/>
      <c r="E95" s="91"/>
      <c r="F95" s="145"/>
      <c r="G95" s="16"/>
      <c r="H95" s="137">
        <v>33411392.16</v>
      </c>
      <c r="I95" s="133"/>
      <c r="J95" s="134"/>
      <c r="K95" s="131"/>
      <c r="L95" s="36"/>
      <c r="M95" s="36"/>
      <c r="N95" s="16"/>
      <c r="O95" s="16"/>
      <c r="P95" s="16"/>
      <c r="Q95" s="132"/>
      <c r="R95" s="132"/>
      <c r="S95" s="132"/>
      <c r="T95" s="132"/>
      <c r="U95" s="132"/>
      <c r="V95" s="132"/>
      <c r="W95" s="132"/>
    </row>
    <row r="96" spans="1:23" ht="15.75">
      <c r="A96" s="144"/>
      <c r="B96" s="146" t="s">
        <v>153</v>
      </c>
      <c r="C96" s="141"/>
      <c r="D96" s="145"/>
      <c r="E96" s="91"/>
      <c r="F96" s="145"/>
      <c r="G96" s="16"/>
      <c r="H96" s="137">
        <f>H95-D119-D130-D131-D144+F124+F120+F137+F140+F150</f>
        <v>34256299.16</v>
      </c>
      <c r="I96" s="205"/>
      <c r="J96" s="134"/>
      <c r="K96" s="131"/>
      <c r="L96" s="36"/>
      <c r="M96" s="36"/>
      <c r="N96" s="16"/>
      <c r="O96" s="16"/>
      <c r="P96" s="16"/>
      <c r="Q96" s="132"/>
      <c r="R96" s="132"/>
      <c r="S96" s="132"/>
      <c r="T96" s="132"/>
      <c r="U96" s="132"/>
      <c r="V96" s="132"/>
      <c r="W96" s="132"/>
    </row>
    <row r="97" spans="1:23" ht="15.75">
      <c r="A97" s="83"/>
      <c r="B97" s="84"/>
      <c r="C97" s="76"/>
      <c r="D97" s="26"/>
      <c r="E97" s="91"/>
      <c r="F97" s="145"/>
      <c r="G97" s="16"/>
      <c r="H97" s="140"/>
      <c r="I97" s="205"/>
      <c r="J97" s="134"/>
      <c r="K97" s="131"/>
      <c r="L97" s="36"/>
      <c r="M97" s="36"/>
      <c r="N97" s="16"/>
      <c r="O97" s="16"/>
      <c r="P97" s="16"/>
      <c r="Q97" s="132"/>
      <c r="R97" s="132"/>
      <c r="S97" s="132"/>
      <c r="T97" s="132"/>
      <c r="U97" s="132"/>
      <c r="V97" s="132"/>
      <c r="W97" s="132"/>
    </row>
    <row r="98" spans="1:23" ht="15.75">
      <c r="A98" s="144"/>
      <c r="B98" s="146"/>
      <c r="C98" s="141"/>
      <c r="D98" s="145"/>
      <c r="E98" s="91"/>
      <c r="F98" s="145"/>
      <c r="G98" s="16"/>
      <c r="H98" s="137"/>
      <c r="I98" s="138"/>
      <c r="J98" s="37"/>
      <c r="K98" s="131"/>
      <c r="L98" s="36"/>
      <c r="M98" s="36"/>
      <c r="N98" s="16"/>
      <c r="O98" s="16"/>
      <c r="P98" s="16"/>
      <c r="Q98" s="132"/>
      <c r="R98" s="132"/>
      <c r="S98" s="132"/>
      <c r="T98" s="132"/>
      <c r="U98" s="132"/>
      <c r="V98" s="132"/>
      <c r="W98" s="132"/>
    </row>
    <row r="99" spans="1:23" ht="15.75">
      <c r="A99" s="141" t="s">
        <v>161</v>
      </c>
      <c r="B99" s="141"/>
      <c r="C99" s="141"/>
      <c r="D99" s="91"/>
      <c r="E99" s="91"/>
      <c r="F99" s="145"/>
      <c r="G99" s="16"/>
      <c r="H99" s="137">
        <f>H102+H106</f>
        <v>132699226.17</v>
      </c>
      <c r="I99" s="138"/>
      <c r="J99" s="37"/>
      <c r="K99" s="131"/>
      <c r="L99" s="36"/>
      <c r="M99" s="36"/>
      <c r="N99" s="16"/>
      <c r="O99" s="16"/>
      <c r="P99" s="16"/>
      <c r="Q99" s="132"/>
      <c r="R99" s="132"/>
      <c r="S99" s="132"/>
      <c r="T99" s="132"/>
      <c r="U99" s="132"/>
      <c r="V99" s="132"/>
      <c r="W99" s="132"/>
    </row>
    <row r="100" spans="1:11" ht="15.75">
      <c r="A100" s="141"/>
      <c r="B100" s="142" t="s">
        <v>153</v>
      </c>
      <c r="C100" s="141"/>
      <c r="D100" s="91"/>
      <c r="E100" s="91"/>
      <c r="F100" s="145"/>
      <c r="H100" s="77">
        <f>H103+H107</f>
        <v>131707627.17</v>
      </c>
      <c r="I100" s="71"/>
      <c r="J100" s="72"/>
      <c r="K100" s="73"/>
    </row>
    <row r="101" spans="1:12" ht="15.75">
      <c r="A101" s="86" t="s">
        <v>128</v>
      </c>
      <c r="B101" s="86" t="s">
        <v>158</v>
      </c>
      <c r="C101" s="86"/>
      <c r="D101" s="87"/>
      <c r="E101" s="91"/>
      <c r="F101" s="145"/>
      <c r="H101" s="77"/>
      <c r="I101" s="71"/>
      <c r="J101" s="72"/>
      <c r="K101" s="73"/>
      <c r="L101" s="73"/>
    </row>
    <row r="102" spans="1:23" ht="18.75">
      <c r="A102" s="144" t="s">
        <v>159</v>
      </c>
      <c r="B102" s="144"/>
      <c r="C102" s="144"/>
      <c r="D102" s="145"/>
      <c r="E102" s="91"/>
      <c r="F102" s="145"/>
      <c r="G102" s="16"/>
      <c r="H102" s="137">
        <v>116526562.98</v>
      </c>
      <c r="I102" s="17"/>
      <c r="J102" s="147"/>
      <c r="K102" s="131"/>
      <c r="L102" s="131"/>
      <c r="M102" s="36"/>
      <c r="N102" s="148"/>
      <c r="O102" s="16"/>
      <c r="P102" s="16"/>
      <c r="Q102" s="132"/>
      <c r="R102" s="132"/>
      <c r="S102" s="132"/>
      <c r="T102" s="132"/>
      <c r="U102" s="132"/>
      <c r="V102" s="132"/>
      <c r="W102" s="132"/>
    </row>
    <row r="103" spans="1:23" ht="15.75">
      <c r="A103" s="144"/>
      <c r="B103" s="146" t="s">
        <v>153</v>
      </c>
      <c r="C103" s="144"/>
      <c r="D103" s="145"/>
      <c r="E103" s="91"/>
      <c r="F103" s="145"/>
      <c r="G103" s="16"/>
      <c r="H103" s="137">
        <f>H102-D174+D166+F174</f>
        <v>116484560.98</v>
      </c>
      <c r="I103" s="138"/>
      <c r="J103" s="147"/>
      <c r="K103" s="131"/>
      <c r="L103" s="36"/>
      <c r="M103" s="36"/>
      <c r="N103" s="148"/>
      <c r="O103" s="16"/>
      <c r="P103" s="16"/>
      <c r="Q103" s="132"/>
      <c r="R103" s="132"/>
      <c r="S103" s="132"/>
      <c r="T103" s="132"/>
      <c r="U103" s="132"/>
      <c r="V103" s="132"/>
      <c r="W103" s="132"/>
    </row>
    <row r="104" spans="1:23" ht="15.75">
      <c r="A104" s="144"/>
      <c r="B104" s="146"/>
      <c r="C104" s="144"/>
      <c r="D104" s="145"/>
      <c r="E104" s="91"/>
      <c r="F104" s="145"/>
      <c r="G104" s="16"/>
      <c r="H104" s="137"/>
      <c r="I104" s="138"/>
      <c r="J104" s="147"/>
      <c r="K104" s="131"/>
      <c r="L104" s="36"/>
      <c r="M104" s="36"/>
      <c r="N104" s="148"/>
      <c r="O104" s="16"/>
      <c r="P104" s="16"/>
      <c r="Q104" s="132"/>
      <c r="R104" s="132"/>
      <c r="S104" s="132"/>
      <c r="T104" s="132"/>
      <c r="U104" s="132"/>
      <c r="V104" s="132"/>
      <c r="W104" s="132"/>
    </row>
    <row r="105" spans="1:23" ht="15.75">
      <c r="A105" s="144"/>
      <c r="B105" s="84"/>
      <c r="C105" s="76"/>
      <c r="D105" s="26"/>
      <c r="E105" s="91"/>
      <c r="F105" s="145"/>
      <c r="G105" s="16"/>
      <c r="H105" s="137"/>
      <c r="I105" s="138"/>
      <c r="J105" s="37"/>
      <c r="K105" s="131"/>
      <c r="L105" s="36"/>
      <c r="M105" s="36"/>
      <c r="N105" s="16"/>
      <c r="O105" s="16"/>
      <c r="P105" s="16"/>
      <c r="Q105" s="132"/>
      <c r="R105" s="132"/>
      <c r="S105" s="132"/>
      <c r="T105" s="132"/>
      <c r="U105" s="132"/>
      <c r="V105" s="132"/>
      <c r="W105" s="132"/>
    </row>
    <row r="106" spans="1:23" ht="15.75">
      <c r="A106" s="144" t="s">
        <v>160</v>
      </c>
      <c r="B106" s="144"/>
      <c r="C106" s="141"/>
      <c r="D106" s="145"/>
      <c r="E106" s="91"/>
      <c r="F106" s="145"/>
      <c r="G106" s="16"/>
      <c r="H106" s="137">
        <v>16172663.19</v>
      </c>
      <c r="I106" s="138"/>
      <c r="J106" s="37"/>
      <c r="K106" s="131"/>
      <c r="L106" s="36"/>
      <c r="M106" s="36"/>
      <c r="N106" s="16"/>
      <c r="O106" s="16"/>
      <c r="P106" s="16"/>
      <c r="Q106" s="132"/>
      <c r="R106" s="132"/>
      <c r="S106" s="132"/>
      <c r="T106" s="132"/>
      <c r="U106" s="132"/>
      <c r="V106" s="132"/>
      <c r="W106" s="132"/>
    </row>
    <row r="107" spans="1:23" ht="15.75">
      <c r="A107" s="144"/>
      <c r="B107" s="146" t="s">
        <v>153</v>
      </c>
      <c r="C107" s="141"/>
      <c r="D107" s="145"/>
      <c r="E107" s="91"/>
      <c r="F107" s="145"/>
      <c r="G107" s="16"/>
      <c r="H107" s="137">
        <f>H106-D166</f>
        <v>15223066.19</v>
      </c>
      <c r="I107" s="138"/>
      <c r="J107" s="147"/>
      <c r="K107" s="131"/>
      <c r="L107" s="36"/>
      <c r="M107" s="36"/>
      <c r="N107" s="16"/>
      <c r="O107" s="16"/>
      <c r="P107" s="16"/>
      <c r="Q107" s="132"/>
      <c r="R107" s="132"/>
      <c r="S107" s="132"/>
      <c r="T107" s="132"/>
      <c r="U107" s="132"/>
      <c r="V107" s="132"/>
      <c r="W107" s="132"/>
    </row>
    <row r="108" spans="1:23" ht="15.75">
      <c r="A108" s="15"/>
      <c r="B108" s="427"/>
      <c r="C108" s="426"/>
      <c r="D108" s="18"/>
      <c r="E108" s="91"/>
      <c r="F108" s="145"/>
      <c r="G108" s="16"/>
      <c r="H108" s="140"/>
      <c r="I108" s="138"/>
      <c r="J108" s="134"/>
      <c r="K108" s="131"/>
      <c r="L108" s="36"/>
      <c r="M108" s="36"/>
      <c r="N108" s="16"/>
      <c r="O108" s="16"/>
      <c r="P108" s="16"/>
      <c r="Q108" s="132"/>
      <c r="R108" s="132"/>
      <c r="S108" s="132"/>
      <c r="T108" s="132"/>
      <c r="U108" s="132"/>
      <c r="V108" s="132"/>
      <c r="W108" s="132"/>
    </row>
    <row r="109" spans="1:23" ht="18.75">
      <c r="A109" s="141"/>
      <c r="B109" s="142"/>
      <c r="C109" s="141"/>
      <c r="D109" s="145"/>
      <c r="E109" s="91"/>
      <c r="F109" s="145"/>
      <c r="G109" s="16"/>
      <c r="H109" s="17"/>
      <c r="I109" s="138"/>
      <c r="J109" s="147"/>
      <c r="K109" s="131"/>
      <c r="L109" s="134"/>
      <c r="M109" s="149"/>
      <c r="N109" s="148"/>
      <c r="O109" s="148"/>
      <c r="P109" s="16"/>
      <c r="Q109" s="132"/>
      <c r="R109" s="132"/>
      <c r="S109" s="132"/>
      <c r="T109" s="132"/>
      <c r="U109" s="132"/>
      <c r="V109" s="132"/>
      <c r="W109" s="132"/>
    </row>
    <row r="110" spans="1:23" ht="18.75">
      <c r="A110" s="150" t="s">
        <v>139</v>
      </c>
      <c r="B110" s="151"/>
      <c r="C110" s="152"/>
      <c r="D110" s="18"/>
      <c r="E110" s="18"/>
      <c r="F110" s="18"/>
      <c r="G110" s="18"/>
      <c r="H110" s="21"/>
      <c r="I110" s="138"/>
      <c r="J110" s="134"/>
      <c r="K110" s="153"/>
      <c r="L110" s="38"/>
      <c r="M110" s="36"/>
      <c r="N110" s="148"/>
      <c r="O110" s="148"/>
      <c r="P110" s="16"/>
      <c r="Q110" s="16"/>
      <c r="R110" s="16"/>
      <c r="S110" s="16"/>
      <c r="T110" s="16"/>
      <c r="U110" s="16"/>
      <c r="V110" s="16"/>
      <c r="W110" s="16"/>
    </row>
    <row r="111" spans="1:23" ht="18.75">
      <c r="A111" s="150"/>
      <c r="B111" s="151"/>
      <c r="C111" s="152"/>
      <c r="D111" s="18"/>
      <c r="E111" s="18"/>
      <c r="F111" s="18"/>
      <c r="G111" s="18"/>
      <c r="H111" s="21"/>
      <c r="I111" s="138"/>
      <c r="J111" s="38"/>
      <c r="K111" s="153"/>
      <c r="L111" s="154"/>
      <c r="M111" s="36"/>
      <c r="N111" s="16"/>
      <c r="O111" s="16"/>
      <c r="P111" s="16"/>
      <c r="Q111" s="16"/>
      <c r="R111" s="16"/>
      <c r="S111" s="16"/>
      <c r="T111" s="16"/>
      <c r="U111" s="16"/>
      <c r="V111" s="16"/>
      <c r="W111" s="16"/>
    </row>
    <row r="112" spans="1:23" ht="18.75">
      <c r="A112" s="155" t="s">
        <v>642</v>
      </c>
      <c r="B112" s="155"/>
      <c r="C112" s="156"/>
      <c r="D112" s="19"/>
      <c r="E112" s="19"/>
      <c r="F112" s="19"/>
      <c r="G112" s="19"/>
      <c r="H112" s="17"/>
      <c r="I112" s="138"/>
      <c r="J112" s="37"/>
      <c r="K112" s="131"/>
      <c r="L112" s="157"/>
      <c r="M112" s="158"/>
      <c r="N112" s="16"/>
      <c r="O112" s="16"/>
      <c r="P112" s="16"/>
      <c r="Q112" s="16"/>
      <c r="R112" s="16"/>
      <c r="S112" s="16"/>
      <c r="T112" s="16"/>
      <c r="U112" s="16"/>
      <c r="V112" s="16"/>
      <c r="W112" s="16"/>
    </row>
    <row r="113" spans="1:23" ht="18.75">
      <c r="A113" s="155"/>
      <c r="B113" s="155"/>
      <c r="C113" s="156"/>
      <c r="D113" s="19"/>
      <c r="E113" s="19"/>
      <c r="F113" s="19"/>
      <c r="G113" s="19"/>
      <c r="H113" s="17"/>
      <c r="I113" s="138"/>
      <c r="J113" s="37"/>
      <c r="K113" s="131"/>
      <c r="L113" s="143"/>
      <c r="M113" s="131"/>
      <c r="N113" s="16"/>
      <c r="O113" s="16"/>
      <c r="P113" s="16"/>
      <c r="Q113" s="16"/>
      <c r="R113" s="16"/>
      <c r="S113" s="16"/>
      <c r="T113" s="16"/>
      <c r="U113" s="16"/>
      <c r="V113" s="16"/>
      <c r="W113" s="16"/>
    </row>
    <row r="114" spans="1:23" ht="18.75">
      <c r="A114" s="100"/>
      <c r="B114" s="100"/>
      <c r="C114" s="101"/>
      <c r="D114" s="10" t="s">
        <v>125</v>
      </c>
      <c r="E114" s="11"/>
      <c r="F114" s="10" t="s">
        <v>126</v>
      </c>
      <c r="G114" s="11"/>
      <c r="H114" s="17"/>
      <c r="I114" s="138"/>
      <c r="J114" s="37"/>
      <c r="K114" s="131"/>
      <c r="L114" s="36"/>
      <c r="M114" s="36"/>
      <c r="N114" s="16"/>
      <c r="O114" s="16"/>
      <c r="P114" s="16"/>
      <c r="Q114" s="16"/>
      <c r="R114" s="16"/>
      <c r="S114" s="16"/>
      <c r="T114" s="16"/>
      <c r="U114" s="16"/>
      <c r="V114" s="16"/>
      <c r="W114" s="16"/>
    </row>
    <row r="115" spans="1:23" ht="13.5" customHeight="1">
      <c r="A115" s="102"/>
      <c r="B115" s="102"/>
      <c r="C115" s="103"/>
      <c r="D115" s="12" t="s">
        <v>128</v>
      </c>
      <c r="E115" s="11" t="s">
        <v>127</v>
      </c>
      <c r="F115" s="12" t="s">
        <v>128</v>
      </c>
      <c r="G115" s="11" t="s">
        <v>127</v>
      </c>
      <c r="H115" s="17"/>
      <c r="I115" s="138"/>
      <c r="J115" s="37"/>
      <c r="K115" s="131"/>
      <c r="L115" s="36"/>
      <c r="M115" s="36"/>
      <c r="N115" s="16"/>
      <c r="O115" s="16"/>
      <c r="P115" s="16"/>
      <c r="Q115" s="16"/>
      <c r="R115" s="16"/>
      <c r="S115" s="16"/>
      <c r="T115" s="16"/>
      <c r="U115" s="16"/>
      <c r="V115" s="16"/>
      <c r="W115" s="16"/>
    </row>
    <row r="116" spans="1:23" ht="27.75" customHeight="1">
      <c r="A116" s="104" t="s">
        <v>130</v>
      </c>
      <c r="B116" s="104" t="s">
        <v>136</v>
      </c>
      <c r="C116" s="104" t="s">
        <v>131</v>
      </c>
      <c r="D116" s="13" t="s">
        <v>132</v>
      </c>
      <c r="E116" s="14" t="s">
        <v>133</v>
      </c>
      <c r="F116" s="13" t="s">
        <v>132</v>
      </c>
      <c r="G116" s="14" t="s">
        <v>133</v>
      </c>
      <c r="H116" s="17"/>
      <c r="I116" s="153"/>
      <c r="J116" s="37"/>
      <c r="K116" s="131"/>
      <c r="L116" s="36"/>
      <c r="M116" s="36"/>
      <c r="N116" s="16"/>
      <c r="O116" s="16"/>
      <c r="P116" s="16"/>
      <c r="Q116" s="16"/>
      <c r="R116" s="16"/>
      <c r="S116" s="16"/>
      <c r="T116" s="16"/>
      <c r="U116" s="16"/>
      <c r="V116" s="16"/>
      <c r="W116" s="16"/>
    </row>
    <row r="117" spans="1:23" s="29" customFormat="1" ht="19.5" customHeight="1">
      <c r="A117" s="105" t="s">
        <v>166</v>
      </c>
      <c r="B117" s="109"/>
      <c r="C117" s="105"/>
      <c r="D117" s="106">
        <f>D118+D119</f>
        <v>151577</v>
      </c>
      <c r="E117" s="106"/>
      <c r="F117" s="106">
        <f>F118+F119</f>
        <v>36631.61</v>
      </c>
      <c r="G117" s="106"/>
      <c r="H117" s="137"/>
      <c r="I117" s="134"/>
      <c r="J117" s="38"/>
      <c r="K117" s="134"/>
      <c r="L117" s="38"/>
      <c r="M117" s="38"/>
      <c r="N117" s="160"/>
      <c r="O117" s="160"/>
      <c r="P117" s="160"/>
      <c r="Q117" s="160"/>
      <c r="R117" s="160"/>
      <c r="S117" s="160"/>
      <c r="T117" s="160"/>
      <c r="U117" s="160"/>
      <c r="V117" s="160"/>
      <c r="W117" s="160"/>
    </row>
    <row r="118" spans="1:23" s="28" customFormat="1" ht="19.5" customHeight="1">
      <c r="A118" s="112"/>
      <c r="B118" s="210" t="s">
        <v>631</v>
      </c>
      <c r="C118" s="110" t="s">
        <v>635</v>
      </c>
      <c r="D118" s="111"/>
      <c r="E118" s="111"/>
      <c r="F118" s="111">
        <v>36631.61</v>
      </c>
      <c r="G118" s="111"/>
      <c r="H118" s="140"/>
      <c r="I118" s="147"/>
      <c r="J118" s="37"/>
      <c r="K118" s="147"/>
      <c r="L118" s="37"/>
      <c r="M118" s="37"/>
      <c r="N118" s="15"/>
      <c r="O118" s="15"/>
      <c r="P118" s="15"/>
      <c r="Q118" s="15"/>
      <c r="R118" s="15"/>
      <c r="S118" s="15"/>
      <c r="T118" s="15"/>
      <c r="U118" s="15"/>
      <c r="V118" s="15"/>
      <c r="W118" s="15"/>
    </row>
    <row r="119" spans="1:23" s="28" customFormat="1" ht="19.5" customHeight="1">
      <c r="A119" s="112"/>
      <c r="B119" s="113" t="s">
        <v>167</v>
      </c>
      <c r="C119" s="464" t="s">
        <v>116</v>
      </c>
      <c r="D119" s="111">
        <f>121577+15000-15000-100000+130000</f>
        <v>151577</v>
      </c>
      <c r="E119" s="111"/>
      <c r="F119" s="111"/>
      <c r="G119" s="111"/>
      <c r="H119" s="140"/>
      <c r="I119" s="147"/>
      <c r="J119" s="37"/>
      <c r="K119" s="147"/>
      <c r="L119" s="37"/>
      <c r="M119" s="37"/>
      <c r="N119" s="15"/>
      <c r="O119" s="15"/>
      <c r="P119" s="15"/>
      <c r="Q119" s="15"/>
      <c r="R119" s="15"/>
      <c r="S119" s="15"/>
      <c r="T119" s="15"/>
      <c r="U119" s="15"/>
      <c r="V119" s="15"/>
      <c r="W119" s="15"/>
    </row>
    <row r="120" spans="1:23" s="29" customFormat="1" ht="19.5" customHeight="1">
      <c r="A120" s="209" t="s">
        <v>426</v>
      </c>
      <c r="B120" s="105" t="s">
        <v>427</v>
      </c>
      <c r="C120" s="109" t="s">
        <v>116</v>
      </c>
      <c r="D120" s="106"/>
      <c r="E120" s="106"/>
      <c r="F120" s="106">
        <v>130000</v>
      </c>
      <c r="G120" s="106"/>
      <c r="H120" s="137"/>
      <c r="I120" s="134"/>
      <c r="J120" s="38"/>
      <c r="K120" s="134"/>
      <c r="L120" s="38"/>
      <c r="M120" s="38"/>
      <c r="N120" s="160"/>
      <c r="O120" s="160"/>
      <c r="P120" s="160"/>
      <c r="Q120" s="160"/>
      <c r="R120" s="160"/>
      <c r="S120" s="160"/>
      <c r="T120" s="160"/>
      <c r="U120" s="160"/>
      <c r="V120" s="160"/>
      <c r="W120" s="160"/>
    </row>
    <row r="121" spans="1:23" s="28" customFormat="1" ht="19.5" customHeight="1">
      <c r="A121" s="105" t="s">
        <v>369</v>
      </c>
      <c r="B121" s="105" t="s">
        <v>370</v>
      </c>
      <c r="C121" s="105" t="s">
        <v>114</v>
      </c>
      <c r="D121" s="111"/>
      <c r="E121" s="111"/>
      <c r="F121" s="106">
        <f>12700</f>
        <v>12700</v>
      </c>
      <c r="G121" s="111"/>
      <c r="H121" s="140"/>
      <c r="I121" s="147"/>
      <c r="J121" s="37"/>
      <c r="K121" s="147"/>
      <c r="L121" s="37"/>
      <c r="M121" s="37"/>
      <c r="N121" s="15"/>
      <c r="O121" s="15"/>
      <c r="P121" s="15"/>
      <c r="Q121" s="15"/>
      <c r="R121" s="15"/>
      <c r="S121" s="15"/>
      <c r="T121" s="15"/>
      <c r="U121" s="15"/>
      <c r="V121" s="15"/>
      <c r="W121" s="15"/>
    </row>
    <row r="122" spans="1:23" s="29" customFormat="1" ht="19.5" customHeight="1">
      <c r="A122" s="108" t="s">
        <v>113</v>
      </c>
      <c r="B122" s="108" t="s">
        <v>72</v>
      </c>
      <c r="C122" s="105"/>
      <c r="D122" s="106">
        <f>SUM(D123:D124)</f>
        <v>0</v>
      </c>
      <c r="E122" s="106">
        <f>SUM(E123:E124)</f>
        <v>0</v>
      </c>
      <c r="F122" s="106">
        <f>SUM(F123:F124)</f>
        <v>106632</v>
      </c>
      <c r="G122" s="106">
        <f>SUM(G123:G124)</f>
        <v>0</v>
      </c>
      <c r="H122" s="137"/>
      <c r="I122" s="134"/>
      <c r="J122" s="38"/>
      <c r="K122" s="134"/>
      <c r="L122" s="38"/>
      <c r="M122" s="38"/>
      <c r="N122" s="160"/>
      <c r="O122" s="160"/>
      <c r="P122" s="160"/>
      <c r="Q122" s="160"/>
      <c r="R122" s="160"/>
      <c r="S122" s="160"/>
      <c r="T122" s="160"/>
      <c r="U122" s="160"/>
      <c r="V122" s="160"/>
      <c r="W122" s="160"/>
    </row>
    <row r="123" spans="1:23" s="29" customFormat="1" ht="19.5" customHeight="1">
      <c r="A123" s="727"/>
      <c r="B123" s="108"/>
      <c r="C123" s="110" t="s">
        <v>73</v>
      </c>
      <c r="D123" s="121"/>
      <c r="E123" s="121"/>
      <c r="F123" s="111">
        <f>10000+11597</f>
        <v>21597</v>
      </c>
      <c r="G123" s="121"/>
      <c r="H123" s="137"/>
      <c r="I123" s="134"/>
      <c r="J123" s="38"/>
      <c r="K123" s="134"/>
      <c r="L123" s="38"/>
      <c r="M123" s="38"/>
      <c r="N123" s="160"/>
      <c r="O123" s="160"/>
      <c r="P123" s="160"/>
      <c r="Q123" s="160"/>
      <c r="R123" s="160"/>
      <c r="S123" s="160"/>
      <c r="T123" s="160"/>
      <c r="U123" s="160"/>
      <c r="V123" s="160"/>
      <c r="W123" s="160"/>
    </row>
    <row r="124" spans="1:23" s="29" customFormat="1" ht="19.5" customHeight="1">
      <c r="A124" s="638"/>
      <c r="B124" s="627"/>
      <c r="C124" s="110" t="s">
        <v>95</v>
      </c>
      <c r="D124" s="121"/>
      <c r="E124" s="121"/>
      <c r="F124" s="111">
        <f>23233+61802</f>
        <v>85035</v>
      </c>
      <c r="G124" s="121"/>
      <c r="H124" s="137"/>
      <c r="I124" s="134"/>
      <c r="J124" s="38"/>
      <c r="K124" s="134"/>
      <c r="L124" s="38"/>
      <c r="M124" s="38"/>
      <c r="N124" s="160"/>
      <c r="O124" s="160"/>
      <c r="P124" s="160"/>
      <c r="Q124" s="160"/>
      <c r="R124" s="160"/>
      <c r="S124" s="160"/>
      <c r="T124" s="160"/>
      <c r="U124" s="160"/>
      <c r="V124" s="160"/>
      <c r="W124" s="160"/>
    </row>
    <row r="125" spans="1:23" s="29" customFormat="1" ht="19.5" customHeight="1">
      <c r="A125" s="726" t="s">
        <v>614</v>
      </c>
      <c r="B125" s="726"/>
      <c r="C125" s="105"/>
      <c r="D125" s="121">
        <f>D126+D132+D133+D138</f>
        <v>29883</v>
      </c>
      <c r="E125" s="121">
        <f>E126+E132+E133+E138</f>
        <v>0</v>
      </c>
      <c r="F125" s="121">
        <f>F126+F132+F133+F138</f>
        <v>899850</v>
      </c>
      <c r="G125" s="121">
        <f>G126+G132+G133+G138</f>
        <v>0</v>
      </c>
      <c r="H125" s="137"/>
      <c r="I125" s="134"/>
      <c r="J125" s="38"/>
      <c r="K125" s="134"/>
      <c r="L125" s="38"/>
      <c r="M125" s="38"/>
      <c r="N125" s="160"/>
      <c r="O125" s="160"/>
      <c r="P125" s="160"/>
      <c r="Q125" s="160"/>
      <c r="R125" s="160"/>
      <c r="S125" s="160"/>
      <c r="T125" s="160"/>
      <c r="U125" s="160"/>
      <c r="V125" s="160"/>
      <c r="W125" s="160"/>
    </row>
    <row r="126" spans="1:14" ht="18.75">
      <c r="A126" s="416"/>
      <c r="B126" s="110" t="s">
        <v>91</v>
      </c>
      <c r="C126" s="110"/>
      <c r="D126" s="111">
        <f>SUM(D127:D131)</f>
        <v>25201</v>
      </c>
      <c r="E126" s="423"/>
      <c r="F126" s="111">
        <f>SUM(F127:F131)</f>
        <v>11000</v>
      </c>
      <c r="G126" s="423"/>
      <c r="H126" s="458"/>
      <c r="I126" s="458"/>
      <c r="J126" s="459"/>
      <c r="K126" s="93"/>
      <c r="L126" s="93"/>
      <c r="M126" s="93"/>
      <c r="N126" s="93"/>
    </row>
    <row r="127" spans="1:14" ht="18.75">
      <c r="A127" s="113"/>
      <c r="B127" s="417"/>
      <c r="C127" s="110" t="s">
        <v>658</v>
      </c>
      <c r="D127" s="111">
        <v>3000</v>
      </c>
      <c r="E127" s="423"/>
      <c r="F127" s="124"/>
      <c r="G127" s="423"/>
      <c r="H127" s="458"/>
      <c r="I127" s="458"/>
      <c r="J127" s="459"/>
      <c r="K127" s="93"/>
      <c r="L127" s="93"/>
      <c r="M127" s="93"/>
      <c r="N127" s="93"/>
    </row>
    <row r="128" spans="1:14" ht="18.75">
      <c r="A128" s="113"/>
      <c r="B128" s="417"/>
      <c r="C128" s="110" t="s">
        <v>218</v>
      </c>
      <c r="D128" s="111"/>
      <c r="E128" s="423"/>
      <c r="F128" s="124">
        <v>10000</v>
      </c>
      <c r="G128" s="423"/>
      <c r="H128" s="458"/>
      <c r="I128" s="458"/>
      <c r="J128" s="459"/>
      <c r="K128" s="93"/>
      <c r="L128" s="93"/>
      <c r="M128" s="93"/>
      <c r="N128" s="93"/>
    </row>
    <row r="129" spans="1:14" ht="18.75">
      <c r="A129" s="113"/>
      <c r="B129" s="417"/>
      <c r="C129" s="110" t="s">
        <v>628</v>
      </c>
      <c r="D129" s="111"/>
      <c r="E129" s="423"/>
      <c r="F129" s="124">
        <v>1000</v>
      </c>
      <c r="G129" s="423"/>
      <c r="H129" s="458"/>
      <c r="I129" s="458"/>
      <c r="J129" s="459"/>
      <c r="K129" s="93"/>
      <c r="L129" s="93"/>
      <c r="M129" s="93"/>
      <c r="N129" s="93"/>
    </row>
    <row r="130" spans="1:14" ht="18.75">
      <c r="A130" s="113"/>
      <c r="B130" s="417"/>
      <c r="C130" s="110" t="s">
        <v>116</v>
      </c>
      <c r="D130" s="111">
        <f>23233-11032</f>
        <v>12201</v>
      </c>
      <c r="E130" s="423"/>
      <c r="F130" s="124"/>
      <c r="G130" s="423"/>
      <c r="H130" s="458"/>
      <c r="I130" s="458"/>
      <c r="J130" s="459"/>
      <c r="K130" s="93"/>
      <c r="L130" s="93"/>
      <c r="M130" s="93"/>
      <c r="N130" s="93"/>
    </row>
    <row r="131" spans="1:14" ht="18.75">
      <c r="A131" s="113"/>
      <c r="B131" s="417"/>
      <c r="C131" s="110" t="s">
        <v>627</v>
      </c>
      <c r="D131" s="111">
        <v>10000</v>
      </c>
      <c r="E131" s="423"/>
      <c r="F131" s="124"/>
      <c r="G131" s="423"/>
      <c r="H131" s="458"/>
      <c r="I131" s="458"/>
      <c r="J131" s="459"/>
      <c r="K131" s="93"/>
      <c r="L131" s="93"/>
      <c r="M131" s="93"/>
      <c r="N131" s="93"/>
    </row>
    <row r="132" spans="1:14" ht="18.75">
      <c r="A132" s="113"/>
      <c r="B132" s="210" t="s">
        <v>653</v>
      </c>
      <c r="C132" s="110" t="s">
        <v>522</v>
      </c>
      <c r="D132" s="111">
        <v>1032</v>
      </c>
      <c r="E132" s="423"/>
      <c r="F132" s="124"/>
      <c r="G132" s="423"/>
      <c r="H132" s="458"/>
      <c r="I132" s="458"/>
      <c r="J132" s="459"/>
      <c r="K132" s="93"/>
      <c r="L132" s="93"/>
      <c r="M132" s="93"/>
      <c r="N132" s="93"/>
    </row>
    <row r="133" spans="1:14" ht="18.75">
      <c r="A133" s="113"/>
      <c r="B133" s="210" t="s">
        <v>92</v>
      </c>
      <c r="C133" s="110"/>
      <c r="D133" s="111">
        <f>SUM(D134:D137)</f>
        <v>3650</v>
      </c>
      <c r="E133" s="423"/>
      <c r="F133" s="111">
        <f>SUM(F134:F137)</f>
        <v>15650</v>
      </c>
      <c r="G133" s="423"/>
      <c r="H133" s="458"/>
      <c r="I133" s="458"/>
      <c r="J133" s="459"/>
      <c r="K133" s="93"/>
      <c r="L133" s="93"/>
      <c r="M133" s="93"/>
      <c r="N133" s="93"/>
    </row>
    <row r="134" spans="1:14" ht="18.75">
      <c r="A134" s="112"/>
      <c r="B134" s="113"/>
      <c r="C134" s="110" t="s">
        <v>218</v>
      </c>
      <c r="D134" s="111">
        <v>1650</v>
      </c>
      <c r="E134" s="423"/>
      <c r="F134" s="124"/>
      <c r="G134" s="423"/>
      <c r="H134" s="458"/>
      <c r="I134" s="458"/>
      <c r="J134" s="459"/>
      <c r="K134" s="93"/>
      <c r="L134" s="93"/>
      <c r="M134" s="93"/>
      <c r="N134" s="93"/>
    </row>
    <row r="135" spans="1:14" ht="18.75">
      <c r="A135" s="112"/>
      <c r="B135" s="113"/>
      <c r="C135" s="110" t="s">
        <v>353</v>
      </c>
      <c r="D135" s="111"/>
      <c r="E135" s="423"/>
      <c r="F135" s="124">
        <v>10000</v>
      </c>
      <c r="G135" s="423"/>
      <c r="H135" s="458"/>
      <c r="I135" s="458"/>
      <c r="J135" s="459"/>
      <c r="K135" s="93"/>
      <c r="L135" s="93"/>
      <c r="M135" s="93"/>
      <c r="N135" s="93"/>
    </row>
    <row r="136" spans="1:14" ht="18.75">
      <c r="A136" s="112"/>
      <c r="B136" s="113"/>
      <c r="C136" s="110" t="s">
        <v>114</v>
      </c>
      <c r="D136" s="111">
        <v>2000</v>
      </c>
      <c r="E136" s="423"/>
      <c r="F136" s="124"/>
      <c r="G136" s="423"/>
      <c r="H136" s="458"/>
      <c r="I136" s="458"/>
      <c r="J136" s="459"/>
      <c r="K136" s="93"/>
      <c r="L136" s="93"/>
      <c r="M136" s="93"/>
      <c r="N136" s="93"/>
    </row>
    <row r="137" spans="1:14" ht="18.75">
      <c r="A137" s="112"/>
      <c r="B137" s="125"/>
      <c r="C137" s="110" t="s">
        <v>627</v>
      </c>
      <c r="D137" s="111"/>
      <c r="E137" s="423"/>
      <c r="F137" s="124">
        <v>5650</v>
      </c>
      <c r="G137" s="423"/>
      <c r="H137" s="458"/>
      <c r="I137" s="458"/>
      <c r="J137" s="459"/>
      <c r="K137" s="93"/>
      <c r="L137" s="93"/>
      <c r="M137" s="93"/>
      <c r="N137" s="93"/>
    </row>
    <row r="138" spans="1:14" ht="18.75">
      <c r="A138" s="113"/>
      <c r="B138" s="113" t="s">
        <v>111</v>
      </c>
      <c r="C138" s="464"/>
      <c r="D138" s="111"/>
      <c r="E138" s="423"/>
      <c r="F138" s="124">
        <f>SUM(F139:F140)</f>
        <v>873200</v>
      </c>
      <c r="G138" s="423"/>
      <c r="H138" s="458"/>
      <c r="I138" s="458"/>
      <c r="J138" s="459"/>
      <c r="K138" s="93"/>
      <c r="L138" s="93"/>
      <c r="M138" s="93"/>
      <c r="N138" s="93"/>
    </row>
    <row r="139" spans="1:14" ht="18.75">
      <c r="A139" s="113"/>
      <c r="B139" s="416"/>
      <c r="C139" s="464" t="s">
        <v>114</v>
      </c>
      <c r="D139" s="111"/>
      <c r="E139" s="423"/>
      <c r="F139" s="124">
        <f>40000+5200</f>
        <v>45200</v>
      </c>
      <c r="G139" s="629"/>
      <c r="H139" s="458"/>
      <c r="I139" s="458"/>
      <c r="J139" s="459"/>
      <c r="K139" s="93"/>
      <c r="L139" s="93"/>
      <c r="M139" s="93"/>
      <c r="N139" s="93"/>
    </row>
    <row r="140" spans="1:14" ht="18.75">
      <c r="A140" s="113"/>
      <c r="B140" s="125"/>
      <c r="C140" s="464" t="s">
        <v>116</v>
      </c>
      <c r="D140" s="124"/>
      <c r="E140" s="423"/>
      <c r="F140" s="124">
        <v>828000</v>
      </c>
      <c r="G140" s="629"/>
      <c r="H140" s="458"/>
      <c r="I140" s="458"/>
      <c r="J140" s="459"/>
      <c r="K140" s="93"/>
      <c r="L140" s="93"/>
      <c r="M140" s="93"/>
      <c r="N140" s="93"/>
    </row>
    <row r="141" spans="1:14" s="115" customFormat="1" ht="18.75">
      <c r="A141" s="105" t="s">
        <v>648</v>
      </c>
      <c r="B141" s="109" t="s">
        <v>94</v>
      </c>
      <c r="C141" s="109" t="s">
        <v>218</v>
      </c>
      <c r="D141" s="121"/>
      <c r="E141" s="45"/>
      <c r="F141" s="121">
        <v>10000</v>
      </c>
      <c r="G141" s="126"/>
      <c r="H141" s="642"/>
      <c r="I141" s="642"/>
      <c r="J141" s="643"/>
      <c r="K141" s="460"/>
      <c r="L141" s="460"/>
      <c r="M141" s="460"/>
      <c r="N141" s="460"/>
    </row>
    <row r="142" spans="1:14" s="115" customFormat="1" ht="18.75">
      <c r="A142" s="726" t="s">
        <v>115</v>
      </c>
      <c r="B142" s="729" t="s">
        <v>354</v>
      </c>
      <c r="C142" s="728"/>
      <c r="D142" s="121">
        <f>SUM(D143:D144)</f>
        <v>50000</v>
      </c>
      <c r="E142" s="121">
        <f>SUM(E143:E144)</f>
        <v>0</v>
      </c>
      <c r="F142" s="121">
        <f>SUM(F143:F144)</f>
        <v>50000</v>
      </c>
      <c r="G142" s="121">
        <f>SUM(G143:G144)</f>
        <v>0</v>
      </c>
      <c r="H142" s="642"/>
      <c r="I142" s="642"/>
      <c r="J142" s="643"/>
      <c r="K142" s="460"/>
      <c r="L142" s="460"/>
      <c r="M142" s="460"/>
      <c r="N142" s="460"/>
    </row>
    <row r="143" spans="1:14" s="115" customFormat="1" ht="18.75">
      <c r="A143" s="727"/>
      <c r="B143" s="108"/>
      <c r="C143" s="114" t="s">
        <v>114</v>
      </c>
      <c r="D143" s="124"/>
      <c r="E143" s="423"/>
      <c r="F143" s="124">
        <v>50000</v>
      </c>
      <c r="G143" s="629"/>
      <c r="H143" s="642"/>
      <c r="I143" s="642"/>
      <c r="J143" s="643"/>
      <c r="K143" s="460"/>
      <c r="L143" s="460"/>
      <c r="M143" s="460"/>
      <c r="N143" s="460"/>
    </row>
    <row r="144" spans="1:14" s="115" customFormat="1" ht="18.75">
      <c r="A144" s="638"/>
      <c r="B144" s="627"/>
      <c r="C144" s="114" t="s">
        <v>116</v>
      </c>
      <c r="D144" s="124">
        <v>50000</v>
      </c>
      <c r="E144" s="423"/>
      <c r="F144" s="124"/>
      <c r="G144" s="629"/>
      <c r="H144" s="642"/>
      <c r="I144" s="642"/>
      <c r="J144" s="643"/>
      <c r="K144" s="460"/>
      <c r="L144" s="460"/>
      <c r="M144" s="460"/>
      <c r="N144" s="460"/>
    </row>
    <row r="145" spans="1:23" s="28" customFormat="1" ht="19.5" customHeight="1">
      <c r="A145" s="627" t="s">
        <v>366</v>
      </c>
      <c r="B145" s="728" t="s">
        <v>367</v>
      </c>
      <c r="C145" s="728" t="s">
        <v>368</v>
      </c>
      <c r="D145" s="124"/>
      <c r="E145" s="423"/>
      <c r="F145" s="45">
        <f>7300</f>
        <v>7300</v>
      </c>
      <c r="G145" s="124"/>
      <c r="H145" s="140"/>
      <c r="I145" s="147"/>
      <c r="J145" s="37"/>
      <c r="K145" s="147"/>
      <c r="L145" s="37"/>
      <c r="M145" s="37"/>
      <c r="N145" s="15"/>
      <c r="O145" s="15"/>
      <c r="P145" s="15"/>
      <c r="Q145" s="15"/>
      <c r="R145" s="15"/>
      <c r="S145" s="15"/>
      <c r="T145" s="15"/>
      <c r="U145" s="15"/>
      <c r="V145" s="15"/>
      <c r="W145" s="15"/>
    </row>
    <row r="146" spans="1:23" s="28" customFormat="1" ht="19.5" customHeight="1">
      <c r="A146" s="108" t="s">
        <v>371</v>
      </c>
      <c r="B146" s="105"/>
      <c r="C146" s="105"/>
      <c r="D146" s="121">
        <f>D147+D151</f>
        <v>265000</v>
      </c>
      <c r="E146" s="423"/>
      <c r="F146" s="121">
        <f>F147+F151</f>
        <v>190000</v>
      </c>
      <c r="G146" s="124"/>
      <c r="H146" s="140"/>
      <c r="I146" s="147"/>
      <c r="J146" s="37"/>
      <c r="K146" s="147"/>
      <c r="L146" s="37"/>
      <c r="M146" s="37"/>
      <c r="N146" s="15"/>
      <c r="O146" s="15"/>
      <c r="P146" s="15"/>
      <c r="Q146" s="15"/>
      <c r="R146" s="15"/>
      <c r="S146" s="15"/>
      <c r="T146" s="15"/>
      <c r="U146" s="15"/>
      <c r="V146" s="15"/>
      <c r="W146" s="15"/>
    </row>
    <row r="147" spans="1:23" s="28" customFormat="1" ht="19.5" customHeight="1">
      <c r="A147" s="416"/>
      <c r="B147" s="464" t="s">
        <v>372</v>
      </c>
      <c r="C147" s="210"/>
      <c r="D147" s="124">
        <f>SUM(D148:D150)</f>
        <v>265000</v>
      </c>
      <c r="E147" s="423"/>
      <c r="F147" s="124">
        <f>SUM(F148:F150)</f>
        <v>65000</v>
      </c>
      <c r="G147" s="124"/>
      <c r="H147" s="140"/>
      <c r="I147" s="147"/>
      <c r="J147" s="37"/>
      <c r="K147" s="147"/>
      <c r="L147" s="37"/>
      <c r="M147" s="37"/>
      <c r="N147" s="15"/>
      <c r="O147" s="15"/>
      <c r="P147" s="15"/>
      <c r="Q147" s="15"/>
      <c r="R147" s="15"/>
      <c r="S147" s="15"/>
      <c r="T147" s="15"/>
      <c r="U147" s="15"/>
      <c r="V147" s="15"/>
      <c r="W147" s="15"/>
    </row>
    <row r="148" spans="1:23" s="28" customFormat="1" ht="19.5" customHeight="1">
      <c r="A148" s="112"/>
      <c r="B148" s="416"/>
      <c r="C148" s="110" t="s">
        <v>218</v>
      </c>
      <c r="D148" s="124"/>
      <c r="E148" s="423"/>
      <c r="F148" s="423">
        <v>45000</v>
      </c>
      <c r="G148" s="124"/>
      <c r="H148" s="140"/>
      <c r="I148" s="147"/>
      <c r="J148" s="37"/>
      <c r="K148" s="147"/>
      <c r="L148" s="37"/>
      <c r="M148" s="37"/>
      <c r="N148" s="15"/>
      <c r="O148" s="15"/>
      <c r="P148" s="15"/>
      <c r="Q148" s="15"/>
      <c r="R148" s="15"/>
      <c r="S148" s="15"/>
      <c r="T148" s="15"/>
      <c r="U148" s="15"/>
      <c r="V148" s="15"/>
      <c r="W148" s="15"/>
    </row>
    <row r="149" spans="1:23" s="28" customFormat="1" ht="19.5" customHeight="1">
      <c r="A149" s="112"/>
      <c r="B149" s="113"/>
      <c r="C149" s="110" t="s">
        <v>353</v>
      </c>
      <c r="D149" s="124">
        <f>200000+65000</f>
        <v>265000</v>
      </c>
      <c r="E149" s="423"/>
      <c r="F149" s="423"/>
      <c r="G149" s="124"/>
      <c r="H149" s="140"/>
      <c r="I149" s="147"/>
      <c r="J149" s="37"/>
      <c r="K149" s="147"/>
      <c r="L149" s="37"/>
      <c r="M149" s="37"/>
      <c r="N149" s="15"/>
      <c r="O149" s="15"/>
      <c r="P149" s="15"/>
      <c r="Q149" s="15"/>
      <c r="R149" s="15"/>
      <c r="S149" s="15"/>
      <c r="T149" s="15"/>
      <c r="U149" s="15"/>
      <c r="V149" s="15"/>
      <c r="W149" s="15"/>
    </row>
    <row r="150" spans="1:23" s="28" customFormat="1" ht="19.5" customHeight="1">
      <c r="A150" s="112"/>
      <c r="B150" s="125"/>
      <c r="C150" s="110" t="s">
        <v>116</v>
      </c>
      <c r="D150" s="124"/>
      <c r="E150" s="423"/>
      <c r="F150" s="423">
        <v>20000</v>
      </c>
      <c r="G150" s="124"/>
      <c r="H150" s="140"/>
      <c r="I150" s="147"/>
      <c r="J150" s="37"/>
      <c r="K150" s="147"/>
      <c r="L150" s="37"/>
      <c r="M150" s="37"/>
      <c r="N150" s="15"/>
      <c r="O150" s="15"/>
      <c r="P150" s="15"/>
      <c r="Q150" s="15"/>
      <c r="R150" s="15"/>
      <c r="S150" s="15"/>
      <c r="T150" s="15"/>
      <c r="U150" s="15"/>
      <c r="V150" s="15"/>
      <c r="W150" s="15"/>
    </row>
    <row r="151" spans="1:23" s="28" customFormat="1" ht="19.5" customHeight="1">
      <c r="A151" s="125"/>
      <c r="B151" s="210" t="s">
        <v>428</v>
      </c>
      <c r="C151" s="110" t="s">
        <v>429</v>
      </c>
      <c r="D151" s="124"/>
      <c r="E151" s="423"/>
      <c r="F151" s="423">
        <v>125000</v>
      </c>
      <c r="G151" s="124"/>
      <c r="H151" s="140"/>
      <c r="I151" s="147"/>
      <c r="J151" s="37"/>
      <c r="K151" s="147"/>
      <c r="L151" s="37"/>
      <c r="M151" s="37"/>
      <c r="N151" s="15"/>
      <c r="O151" s="15"/>
      <c r="P151" s="15"/>
      <c r="Q151" s="15"/>
      <c r="R151" s="15"/>
      <c r="S151" s="15"/>
      <c r="T151" s="15"/>
      <c r="U151" s="15"/>
      <c r="V151" s="15"/>
      <c r="W151" s="15"/>
    </row>
    <row r="152" spans="1:23" s="3" customFormat="1" ht="21.75" customHeight="1">
      <c r="A152" s="465" t="s">
        <v>134</v>
      </c>
      <c r="B152" s="466"/>
      <c r="C152" s="163"/>
      <c r="D152" s="46">
        <f>D117+D120+D121+D122+D125+D141+D142+D145+D146</f>
        <v>496460</v>
      </c>
      <c r="E152" s="46">
        <f>E117+E120+E121+E122+E125+E141+E142+E145+E146</f>
        <v>0</v>
      </c>
      <c r="F152" s="46">
        <f>F117+F120+F121+F122+F125+F141+F142+F145+F146</f>
        <v>1443113.6099999999</v>
      </c>
      <c r="G152" s="46">
        <f>G117+G120+G121+G122+G125+G141+G142+G145+G146</f>
        <v>0</v>
      </c>
      <c r="H152" s="20"/>
      <c r="I152" s="164"/>
      <c r="J152" s="40"/>
      <c r="K152" s="44"/>
      <c r="L152" s="40"/>
      <c r="M152" s="40"/>
      <c r="N152" s="25"/>
      <c r="O152" s="25"/>
      <c r="P152" s="25"/>
      <c r="Q152" s="25"/>
      <c r="R152" s="25"/>
      <c r="S152" s="25"/>
      <c r="T152" s="25"/>
      <c r="U152" s="25"/>
      <c r="V152" s="25"/>
      <c r="W152" s="25"/>
    </row>
    <row r="153" spans="1:23" s="3" customFormat="1" ht="21.75" customHeight="1">
      <c r="A153" s="165"/>
      <c r="B153" s="166"/>
      <c r="C153" s="167"/>
      <c r="D153" s="27"/>
      <c r="E153" s="27"/>
      <c r="F153" s="27"/>
      <c r="G153" s="27"/>
      <c r="H153" s="20"/>
      <c r="I153" s="164"/>
      <c r="J153" s="40"/>
      <c r="K153" s="44"/>
      <c r="L153" s="40"/>
      <c r="M153" s="40"/>
      <c r="N153" s="25"/>
      <c r="O153" s="25"/>
      <c r="P153" s="25"/>
      <c r="Q153" s="25"/>
      <c r="R153" s="25"/>
      <c r="S153" s="25"/>
      <c r="T153" s="25"/>
      <c r="U153" s="25"/>
      <c r="V153" s="25"/>
      <c r="W153" s="25"/>
    </row>
    <row r="154" spans="1:23" s="3" customFormat="1" ht="21.75" customHeight="1">
      <c r="A154" s="165"/>
      <c r="B154" s="166"/>
      <c r="C154" s="167"/>
      <c r="D154" s="27"/>
      <c r="E154" s="27"/>
      <c r="F154" s="27"/>
      <c r="G154" s="27"/>
      <c r="H154" s="20"/>
      <c r="I154" s="164"/>
      <c r="J154" s="40"/>
      <c r="K154" s="44"/>
      <c r="L154" s="40"/>
      <c r="M154" s="40"/>
      <c r="N154" s="25"/>
      <c r="O154" s="25"/>
      <c r="P154" s="25"/>
      <c r="Q154" s="25"/>
      <c r="R154" s="25"/>
      <c r="S154" s="25"/>
      <c r="T154" s="25"/>
      <c r="U154" s="25"/>
      <c r="V154" s="25"/>
      <c r="W154" s="25"/>
    </row>
    <row r="155" spans="1:23" ht="18.75">
      <c r="A155" s="150" t="s">
        <v>135</v>
      </c>
      <c r="B155" s="128"/>
      <c r="C155" s="152"/>
      <c r="D155" s="18"/>
      <c r="E155" s="18"/>
      <c r="F155" s="18"/>
      <c r="G155" s="18"/>
      <c r="H155" s="21"/>
      <c r="I155" s="138"/>
      <c r="J155" s="38"/>
      <c r="K155" s="153"/>
      <c r="L155" s="39"/>
      <c r="M155" s="36"/>
      <c r="N155" s="16"/>
      <c r="O155" s="16"/>
      <c r="P155" s="16"/>
      <c r="Q155" s="16"/>
      <c r="R155" s="16"/>
      <c r="S155" s="16"/>
      <c r="T155" s="16"/>
      <c r="U155" s="16"/>
      <c r="V155" s="16"/>
      <c r="W155" s="16"/>
    </row>
    <row r="156" spans="1:23" ht="18.75">
      <c r="A156" s="150"/>
      <c r="B156" s="128"/>
      <c r="C156" s="152"/>
      <c r="D156" s="18"/>
      <c r="E156" s="18"/>
      <c r="F156" s="18"/>
      <c r="G156" s="18"/>
      <c r="H156" s="21"/>
      <c r="I156" s="138"/>
      <c r="J156" s="38"/>
      <c r="K156" s="153"/>
      <c r="L156" s="39"/>
      <c r="M156" s="36"/>
      <c r="N156" s="16"/>
      <c r="O156" s="16"/>
      <c r="P156" s="16"/>
      <c r="Q156" s="16"/>
      <c r="R156" s="16"/>
      <c r="S156" s="16"/>
      <c r="T156" s="16"/>
      <c r="U156" s="16"/>
      <c r="V156" s="16"/>
      <c r="W156" s="16"/>
    </row>
    <row r="157" spans="1:23" ht="18.75">
      <c r="A157" s="155" t="s">
        <v>620</v>
      </c>
      <c r="B157" s="151"/>
      <c r="C157" s="156"/>
      <c r="D157" s="19"/>
      <c r="E157" s="19"/>
      <c r="F157" s="19"/>
      <c r="G157" s="19"/>
      <c r="H157" s="17"/>
      <c r="I157" s="138"/>
      <c r="J157" s="37"/>
      <c r="K157" s="131"/>
      <c r="L157" s="36"/>
      <c r="M157" s="36"/>
      <c r="N157" s="16"/>
      <c r="O157" s="16"/>
      <c r="P157" s="16"/>
      <c r="Q157" s="16"/>
      <c r="R157" s="16"/>
      <c r="S157" s="16"/>
      <c r="T157" s="16"/>
      <c r="U157" s="16"/>
      <c r="V157" s="16"/>
      <c r="W157" s="16"/>
    </row>
    <row r="158" spans="1:23" ht="18.75">
      <c r="A158" s="155"/>
      <c r="B158" s="155"/>
      <c r="C158" s="156"/>
      <c r="D158" s="19"/>
      <c r="E158" s="19"/>
      <c r="F158" s="19"/>
      <c r="G158" s="19"/>
      <c r="H158" s="17"/>
      <c r="I158" s="138"/>
      <c r="J158" s="37"/>
      <c r="K158" s="131"/>
      <c r="L158" s="36"/>
      <c r="M158" s="36"/>
      <c r="N158" s="16"/>
      <c r="O158" s="16"/>
      <c r="P158" s="16"/>
      <c r="Q158" s="16"/>
      <c r="R158" s="16"/>
      <c r="S158" s="16"/>
      <c r="T158" s="16"/>
      <c r="U158" s="16"/>
      <c r="V158" s="16"/>
      <c r="W158" s="16"/>
    </row>
    <row r="159" spans="1:23" ht="18.75">
      <c r="A159" s="168"/>
      <c r="B159" s="100"/>
      <c r="C159" s="169"/>
      <c r="D159" s="10" t="s">
        <v>125</v>
      </c>
      <c r="E159" s="11"/>
      <c r="F159" s="10" t="s">
        <v>162</v>
      </c>
      <c r="G159" s="11"/>
      <c r="H159" s="17"/>
      <c r="I159" s="138"/>
      <c r="J159" s="37"/>
      <c r="K159" s="131"/>
      <c r="L159" s="36"/>
      <c r="M159" s="36"/>
      <c r="N159" s="16"/>
      <c r="O159" s="16"/>
      <c r="P159" s="16"/>
      <c r="Q159" s="16"/>
      <c r="R159" s="16"/>
      <c r="S159" s="16"/>
      <c r="T159" s="16"/>
      <c r="U159" s="16"/>
      <c r="V159" s="16"/>
      <c r="W159" s="16"/>
    </row>
    <row r="160" spans="1:23" ht="13.5" customHeight="1">
      <c r="A160" s="170"/>
      <c r="B160" s="102"/>
      <c r="C160" s="171"/>
      <c r="D160" s="12" t="s">
        <v>128</v>
      </c>
      <c r="E160" s="11" t="s">
        <v>127</v>
      </c>
      <c r="F160" s="12" t="s">
        <v>128</v>
      </c>
      <c r="G160" s="11" t="s">
        <v>127</v>
      </c>
      <c r="H160" s="17"/>
      <c r="I160" s="153"/>
      <c r="J160" s="37"/>
      <c r="K160" s="131"/>
      <c r="L160" s="36"/>
      <c r="M160" s="36"/>
      <c r="N160" s="16"/>
      <c r="O160" s="16"/>
      <c r="P160" s="16"/>
      <c r="Q160" s="16"/>
      <c r="R160" s="16"/>
      <c r="S160" s="16"/>
      <c r="T160" s="16"/>
      <c r="U160" s="16"/>
      <c r="V160" s="16"/>
      <c r="W160" s="16"/>
    </row>
    <row r="161" spans="1:23" ht="27.75" customHeight="1">
      <c r="A161" s="172" t="s">
        <v>130</v>
      </c>
      <c r="B161" s="173" t="s">
        <v>136</v>
      </c>
      <c r="C161" s="174" t="s">
        <v>131</v>
      </c>
      <c r="D161" s="175" t="s">
        <v>132</v>
      </c>
      <c r="E161" s="176" t="s">
        <v>133</v>
      </c>
      <c r="F161" s="175" t="s">
        <v>132</v>
      </c>
      <c r="G161" s="176" t="s">
        <v>133</v>
      </c>
      <c r="H161" s="17"/>
      <c r="I161" s="138"/>
      <c r="J161" s="37"/>
      <c r="K161" s="131"/>
      <c r="L161" s="36"/>
      <c r="M161" s="36"/>
      <c r="N161" s="16"/>
      <c r="O161" s="16"/>
      <c r="P161" s="16"/>
      <c r="Q161" s="16"/>
      <c r="R161" s="16"/>
      <c r="S161" s="16"/>
      <c r="T161" s="16"/>
      <c r="U161" s="16"/>
      <c r="V161" s="16"/>
      <c r="W161" s="16"/>
    </row>
    <row r="162" spans="1:13" s="47" customFormat="1" ht="18.75" customHeight="1">
      <c r="A162" s="108" t="s">
        <v>166</v>
      </c>
      <c r="B162" s="108" t="s">
        <v>169</v>
      </c>
      <c r="C162" s="105"/>
      <c r="D162" s="539">
        <f>SUM(D163:D166)</f>
        <v>1011399</v>
      </c>
      <c r="E162" s="539">
        <f>SUM(E163:E166)</f>
        <v>0</v>
      </c>
      <c r="F162" s="539">
        <f>SUM(F163:F166)</f>
        <v>65000</v>
      </c>
      <c r="G162" s="539">
        <f>SUM(G163:G166)</f>
        <v>0</v>
      </c>
      <c r="I162" s="48"/>
      <c r="J162" s="48"/>
      <c r="K162" s="48"/>
      <c r="L162" s="48"/>
      <c r="M162" s="48"/>
    </row>
    <row r="163" spans="1:13" s="418" customFormat="1" ht="18.75" customHeight="1">
      <c r="A163" s="606"/>
      <c r="B163" s="416"/>
      <c r="C163" s="464" t="s">
        <v>633</v>
      </c>
      <c r="D163" s="111">
        <v>46116</v>
      </c>
      <c r="E163" s="423"/>
      <c r="F163" s="124"/>
      <c r="G163" s="423"/>
      <c r="I163" s="424"/>
      <c r="J163" s="424"/>
      <c r="K163" s="424"/>
      <c r="L163" s="424"/>
      <c r="M163" s="424"/>
    </row>
    <row r="164" spans="1:13" s="418" customFormat="1" ht="18.75" customHeight="1">
      <c r="A164" s="112"/>
      <c r="B164" s="113"/>
      <c r="C164" s="464" t="s">
        <v>353</v>
      </c>
      <c r="D164" s="111"/>
      <c r="E164" s="423"/>
      <c r="F164" s="124">
        <v>65000</v>
      </c>
      <c r="G164" s="423"/>
      <c r="I164" s="424"/>
      <c r="J164" s="424"/>
      <c r="K164" s="424"/>
      <c r="L164" s="424"/>
      <c r="M164" s="424"/>
    </row>
    <row r="165" spans="1:13" s="418" customFormat="1" ht="18.75" customHeight="1">
      <c r="A165" s="112"/>
      <c r="B165" s="113"/>
      <c r="C165" s="464" t="s">
        <v>634</v>
      </c>
      <c r="D165" s="111">
        <v>15686</v>
      </c>
      <c r="E165" s="423"/>
      <c r="F165" s="629"/>
      <c r="G165" s="423"/>
      <c r="I165" s="424"/>
      <c r="J165" s="424"/>
      <c r="K165" s="424"/>
      <c r="L165" s="424"/>
      <c r="M165" s="424"/>
    </row>
    <row r="166" spans="1:13" s="418" customFormat="1" ht="18.75" customHeight="1">
      <c r="A166" s="112"/>
      <c r="B166" s="113"/>
      <c r="C166" s="464" t="s">
        <v>116</v>
      </c>
      <c r="D166" s="111">
        <f>828000+125000+27597-15000-69000-12000+65000</f>
        <v>949597</v>
      </c>
      <c r="E166" s="423"/>
      <c r="F166" s="629"/>
      <c r="G166" s="423"/>
      <c r="I166" s="424"/>
      <c r="J166" s="424"/>
      <c r="K166" s="424"/>
      <c r="L166" s="424"/>
      <c r="M166" s="424"/>
    </row>
    <row r="167" spans="1:13" s="47" customFormat="1" ht="18.75" customHeight="1">
      <c r="A167" s="209" t="s">
        <v>113</v>
      </c>
      <c r="B167" s="105" t="s">
        <v>72</v>
      </c>
      <c r="C167" s="159" t="s">
        <v>73</v>
      </c>
      <c r="D167" s="106">
        <f>40000+85000+5200</f>
        <v>130200</v>
      </c>
      <c r="E167" s="45"/>
      <c r="F167" s="126"/>
      <c r="G167" s="45"/>
      <c r="I167" s="48"/>
      <c r="J167" s="48"/>
      <c r="K167" s="48"/>
      <c r="L167" s="48"/>
      <c r="M167" s="48"/>
    </row>
    <row r="168" spans="1:13" s="418" customFormat="1" ht="18.75" customHeight="1">
      <c r="A168" s="638" t="s">
        <v>614</v>
      </c>
      <c r="B168" s="627"/>
      <c r="C168" s="110"/>
      <c r="D168" s="106">
        <f>D169+D170+D171</f>
        <v>30</v>
      </c>
      <c r="E168" s="45"/>
      <c r="F168" s="106">
        <f>F169+F170+F171</f>
        <v>85030</v>
      </c>
      <c r="G168" s="423"/>
      <c r="I168" s="424"/>
      <c r="J168" s="424"/>
      <c r="K168" s="424"/>
      <c r="L168" s="424"/>
      <c r="M168" s="424"/>
    </row>
    <row r="169" spans="1:13" s="418" customFormat="1" ht="18.75" customHeight="1">
      <c r="A169" s="112"/>
      <c r="B169" s="125" t="s">
        <v>381</v>
      </c>
      <c r="C169" s="464" t="s">
        <v>353</v>
      </c>
      <c r="D169" s="111"/>
      <c r="E169" s="423"/>
      <c r="F169" s="111">
        <v>50000</v>
      </c>
      <c r="G169" s="423"/>
      <c r="I169" s="424"/>
      <c r="J169" s="424"/>
      <c r="K169" s="424"/>
      <c r="L169" s="424"/>
      <c r="M169" s="424"/>
    </row>
    <row r="170" spans="1:13" s="418" customFormat="1" ht="18.75" customHeight="1">
      <c r="A170" s="112"/>
      <c r="B170" s="125" t="s">
        <v>382</v>
      </c>
      <c r="C170" s="464" t="s">
        <v>114</v>
      </c>
      <c r="D170" s="111"/>
      <c r="E170" s="423"/>
      <c r="F170" s="111">
        <v>35000</v>
      </c>
      <c r="G170" s="423"/>
      <c r="I170" s="424"/>
      <c r="J170" s="424"/>
      <c r="K170" s="424"/>
      <c r="L170" s="424"/>
      <c r="M170" s="424"/>
    </row>
    <row r="171" spans="1:13" s="418" customFormat="1" ht="18.75" customHeight="1">
      <c r="A171" s="112"/>
      <c r="B171" s="210" t="s">
        <v>659</v>
      </c>
      <c r="C171" s="464"/>
      <c r="D171" s="111">
        <f>SUM(D172:D173)</f>
        <v>30</v>
      </c>
      <c r="E171" s="423"/>
      <c r="F171" s="111">
        <f>SUM(F172:F173)</f>
        <v>30</v>
      </c>
      <c r="G171" s="423"/>
      <c r="I171" s="424"/>
      <c r="J171" s="424"/>
      <c r="K171" s="424"/>
      <c r="L171" s="424"/>
      <c r="M171" s="424"/>
    </row>
    <row r="172" spans="1:13" s="418" customFormat="1" ht="18.75" customHeight="1">
      <c r="A172" s="112"/>
      <c r="B172" s="113"/>
      <c r="C172" s="464" t="s">
        <v>660</v>
      </c>
      <c r="D172" s="111"/>
      <c r="E172" s="423"/>
      <c r="F172" s="629">
        <v>30</v>
      </c>
      <c r="G172" s="423"/>
      <c r="I172" s="424"/>
      <c r="J172" s="424"/>
      <c r="K172" s="424"/>
      <c r="L172" s="424"/>
      <c r="M172" s="424"/>
    </row>
    <row r="173" spans="1:13" s="418" customFormat="1" ht="18.75" customHeight="1">
      <c r="A173" s="112"/>
      <c r="B173" s="113"/>
      <c r="C173" s="464" t="s">
        <v>114</v>
      </c>
      <c r="D173" s="111">
        <v>30</v>
      </c>
      <c r="E173" s="423"/>
      <c r="F173" s="629"/>
      <c r="G173" s="423"/>
      <c r="I173" s="424"/>
      <c r="J173" s="424"/>
      <c r="K173" s="424"/>
      <c r="L173" s="424"/>
      <c r="M173" s="424"/>
    </row>
    <row r="174" spans="1:23" s="3" customFormat="1" ht="21.75" customHeight="1">
      <c r="A174" s="161" t="s">
        <v>134</v>
      </c>
      <c r="B174" s="162"/>
      <c r="C174" s="110"/>
      <c r="D174" s="46">
        <f>D162+D167+D168</f>
        <v>1141629</v>
      </c>
      <c r="E174" s="46">
        <f>E162+E167+E168</f>
        <v>0</v>
      </c>
      <c r="F174" s="46">
        <f>F162+F167+F168</f>
        <v>150030</v>
      </c>
      <c r="G174" s="46">
        <f>G162+G167+G168</f>
        <v>0</v>
      </c>
      <c r="H174" s="20"/>
      <c r="I174" s="164"/>
      <c r="J174" s="44"/>
      <c r="K174" s="44"/>
      <c r="L174" s="40"/>
      <c r="M174" s="40"/>
      <c r="N174" s="25"/>
      <c r="O174" s="25"/>
      <c r="P174" s="25"/>
      <c r="Q174" s="25"/>
      <c r="R174" s="25"/>
      <c r="S174" s="25"/>
      <c r="T174" s="25"/>
      <c r="U174" s="25"/>
      <c r="V174" s="25"/>
      <c r="W174" s="25"/>
    </row>
    <row r="175" spans="1:23" s="3" customFormat="1" ht="18" customHeight="1">
      <c r="A175" s="165"/>
      <c r="B175" s="166"/>
      <c r="C175" s="166"/>
      <c r="D175" s="27"/>
      <c r="E175" s="27"/>
      <c r="F175" s="27"/>
      <c r="G175" s="27"/>
      <c r="H175" s="20"/>
      <c r="I175" s="164"/>
      <c r="J175" s="44"/>
      <c r="K175" s="44"/>
      <c r="L175" s="40"/>
      <c r="M175" s="40"/>
      <c r="N175" s="25"/>
      <c r="O175" s="25"/>
      <c r="P175" s="25"/>
      <c r="Q175" s="25"/>
      <c r="R175" s="25"/>
      <c r="S175" s="25"/>
      <c r="T175" s="25"/>
      <c r="U175" s="25"/>
      <c r="V175" s="25"/>
      <c r="W175" s="25"/>
    </row>
    <row r="176" spans="1:23" s="3" customFormat="1" ht="15" customHeight="1">
      <c r="A176" s="165"/>
      <c r="B176" s="166"/>
      <c r="C176" s="166"/>
      <c r="D176" s="27"/>
      <c r="E176" s="27"/>
      <c r="F176" s="27"/>
      <c r="G176" s="27"/>
      <c r="H176" s="20"/>
      <c r="I176" s="164"/>
      <c r="J176" s="44"/>
      <c r="K176" s="44"/>
      <c r="L176" s="40"/>
      <c r="M176" s="40"/>
      <c r="N176" s="25"/>
      <c r="O176" s="25"/>
      <c r="P176" s="25"/>
      <c r="Q176" s="25"/>
      <c r="R176" s="25"/>
      <c r="S176" s="25"/>
      <c r="T176" s="25"/>
      <c r="U176" s="25"/>
      <c r="V176" s="25"/>
      <c r="W176" s="25"/>
    </row>
    <row r="177" spans="1:23" s="3" customFormat="1" ht="21.75" customHeight="1">
      <c r="A177" s="15" t="s">
        <v>480</v>
      </c>
      <c r="B177" s="166"/>
      <c r="C177" s="166"/>
      <c r="D177" s="27"/>
      <c r="E177" s="27"/>
      <c r="F177" s="27"/>
      <c r="G177" s="27"/>
      <c r="H177" s="20"/>
      <c r="I177" s="164"/>
      <c r="J177" s="44"/>
      <c r="K177" s="44"/>
      <c r="L177" s="40"/>
      <c r="M177" s="40"/>
      <c r="N177" s="25"/>
      <c r="O177" s="25"/>
      <c r="P177" s="25"/>
      <c r="Q177" s="25"/>
      <c r="R177" s="25"/>
      <c r="S177" s="25"/>
      <c r="T177" s="25"/>
      <c r="U177" s="25"/>
      <c r="V177" s="25"/>
      <c r="W177" s="25"/>
    </row>
    <row r="178" spans="1:23" s="3" customFormat="1" ht="15.75" customHeight="1">
      <c r="A178" s="165"/>
      <c r="B178" s="166"/>
      <c r="C178" s="166"/>
      <c r="D178" s="27"/>
      <c r="E178" s="27"/>
      <c r="F178" s="27"/>
      <c r="G178" s="27"/>
      <c r="H178" s="20"/>
      <c r="I178" s="164"/>
      <c r="J178" s="44"/>
      <c r="K178" s="44"/>
      <c r="L178" s="40"/>
      <c r="M178" s="40"/>
      <c r="N178" s="25"/>
      <c r="O178" s="25"/>
      <c r="P178" s="25"/>
      <c r="Q178" s="25"/>
      <c r="R178" s="25"/>
      <c r="S178" s="25"/>
      <c r="T178" s="25"/>
      <c r="U178" s="25"/>
      <c r="V178" s="25"/>
      <c r="W178" s="25"/>
    </row>
    <row r="179" spans="1:23" s="3" customFormat="1" ht="18.75" customHeight="1">
      <c r="A179" s="704" t="s">
        <v>481</v>
      </c>
      <c r="B179" s="166"/>
      <c r="C179" s="166"/>
      <c r="D179" s="27"/>
      <c r="E179" s="27"/>
      <c r="F179" s="27"/>
      <c r="G179" s="27"/>
      <c r="H179" s="20"/>
      <c r="I179" s="164"/>
      <c r="J179" s="44"/>
      <c r="K179" s="44"/>
      <c r="L179" s="40"/>
      <c r="M179" s="40"/>
      <c r="N179" s="25"/>
      <c r="O179" s="25"/>
      <c r="P179" s="25"/>
      <c r="Q179" s="25"/>
      <c r="R179" s="25"/>
      <c r="S179" s="25"/>
      <c r="T179" s="25"/>
      <c r="U179" s="25"/>
      <c r="V179" s="25"/>
      <c r="W179" s="25"/>
    </row>
    <row r="180" spans="1:23" s="3" customFormat="1" ht="18" customHeight="1">
      <c r="A180" s="705" t="s">
        <v>482</v>
      </c>
      <c r="B180" s="166"/>
      <c r="C180" s="166"/>
      <c r="D180" s="27"/>
      <c r="E180" s="27"/>
      <c r="F180" s="27"/>
      <c r="G180" s="27"/>
      <c r="H180" s="20"/>
      <c r="I180" s="164"/>
      <c r="J180" s="44"/>
      <c r="K180" s="44"/>
      <c r="L180" s="40"/>
      <c r="M180" s="40"/>
      <c r="N180" s="25"/>
      <c r="O180" s="25"/>
      <c r="P180" s="25"/>
      <c r="Q180" s="25"/>
      <c r="R180" s="25"/>
      <c r="S180" s="25"/>
      <c r="T180" s="25"/>
      <c r="U180" s="25"/>
      <c r="V180" s="25"/>
      <c r="W180" s="25"/>
    </row>
    <row r="181" spans="1:23" s="3" customFormat="1" ht="16.5" customHeight="1">
      <c r="A181" s="705" t="s">
        <v>483</v>
      </c>
      <c r="B181" s="166"/>
      <c r="C181" s="166"/>
      <c r="D181" s="27"/>
      <c r="E181" s="50">
        <f>2483120+300000+700000+182000</f>
        <v>3665120</v>
      </c>
      <c r="F181" s="50" t="s">
        <v>484</v>
      </c>
      <c r="G181" s="50"/>
      <c r="H181" s="706"/>
      <c r="I181" s="164"/>
      <c r="J181" s="44"/>
      <c r="K181" s="44"/>
      <c r="L181" s="40"/>
      <c r="M181" s="40"/>
      <c r="N181" s="25"/>
      <c r="O181" s="25"/>
      <c r="P181" s="25"/>
      <c r="Q181" s="25"/>
      <c r="R181" s="25"/>
      <c r="S181" s="25"/>
      <c r="T181" s="25"/>
      <c r="U181" s="25"/>
      <c r="V181" s="25"/>
      <c r="W181" s="25"/>
    </row>
    <row r="182" spans="1:23" s="3" customFormat="1" ht="17.25" customHeight="1">
      <c r="A182" s="705" t="s">
        <v>485</v>
      </c>
      <c r="B182" s="166"/>
      <c r="C182" s="166"/>
      <c r="D182" s="27"/>
      <c r="E182" s="50">
        <f>5634880-121577</f>
        <v>5513303</v>
      </c>
      <c r="F182" s="50" t="s">
        <v>486</v>
      </c>
      <c r="G182" s="50"/>
      <c r="H182" s="706"/>
      <c r="I182" s="164"/>
      <c r="J182" s="44"/>
      <c r="K182" s="44"/>
      <c r="L182" s="40"/>
      <c r="M182" s="40"/>
      <c r="N182" s="25"/>
      <c r="O182" s="25"/>
      <c r="P182" s="25"/>
      <c r="Q182" s="25"/>
      <c r="R182" s="25"/>
      <c r="S182" s="25"/>
      <c r="T182" s="25"/>
      <c r="U182" s="25"/>
      <c r="V182" s="25"/>
      <c r="W182" s="25"/>
    </row>
    <row r="183" spans="1:23" s="3" customFormat="1" ht="15.75" customHeight="1">
      <c r="A183" s="165"/>
      <c r="B183" s="166"/>
      <c r="C183" s="166"/>
      <c r="D183" s="27"/>
      <c r="E183" s="27"/>
      <c r="F183" s="27"/>
      <c r="G183" s="27"/>
      <c r="H183" s="20"/>
      <c r="I183" s="164"/>
      <c r="J183" s="44"/>
      <c r="K183" s="44"/>
      <c r="L183" s="40"/>
      <c r="M183" s="40"/>
      <c r="N183" s="25"/>
      <c r="O183" s="25"/>
      <c r="P183" s="25"/>
      <c r="Q183" s="25"/>
      <c r="R183" s="25"/>
      <c r="S183" s="25"/>
      <c r="T183" s="25"/>
      <c r="U183" s="25"/>
      <c r="V183" s="25"/>
      <c r="W183" s="25"/>
    </row>
    <row r="184" spans="1:23" s="3" customFormat="1" ht="19.5" customHeight="1">
      <c r="A184" s="165"/>
      <c r="B184" s="166"/>
      <c r="C184" s="166"/>
      <c r="D184" s="27"/>
      <c r="E184" s="27"/>
      <c r="F184" s="27"/>
      <c r="G184" s="27"/>
      <c r="H184" s="20"/>
      <c r="I184" s="164"/>
      <c r="J184" s="44"/>
      <c r="K184" s="44"/>
      <c r="L184" s="40"/>
      <c r="M184" s="40"/>
      <c r="N184" s="25"/>
      <c r="O184" s="25"/>
      <c r="P184" s="25"/>
      <c r="Q184" s="25"/>
      <c r="R184" s="25"/>
      <c r="S184" s="25"/>
      <c r="T184" s="25"/>
      <c r="U184" s="25"/>
      <c r="V184" s="25"/>
      <c r="W184" s="25"/>
    </row>
    <row r="185" spans="1:23" s="3" customFormat="1" ht="14.25" customHeight="1">
      <c r="A185" s="165"/>
      <c r="B185" s="166"/>
      <c r="C185" s="166"/>
      <c r="D185" s="27"/>
      <c r="E185" s="27"/>
      <c r="F185" s="27"/>
      <c r="G185" s="27"/>
      <c r="H185" s="20"/>
      <c r="I185" s="164"/>
      <c r="J185" s="44"/>
      <c r="K185" s="44"/>
      <c r="L185" s="40"/>
      <c r="M185" s="40"/>
      <c r="N185" s="25"/>
      <c r="O185" s="25"/>
      <c r="P185" s="25"/>
      <c r="Q185" s="25"/>
      <c r="R185" s="25"/>
      <c r="S185" s="25"/>
      <c r="T185" s="25"/>
      <c r="U185" s="25"/>
      <c r="V185" s="25"/>
      <c r="W185" s="25"/>
    </row>
    <row r="186" spans="1:23" s="3" customFormat="1" ht="21.75" customHeight="1">
      <c r="A186" s="70" t="s">
        <v>621</v>
      </c>
      <c r="B186" s="166"/>
      <c r="C186" s="129"/>
      <c r="D186" s="16"/>
      <c r="E186" s="16"/>
      <c r="F186" s="27"/>
      <c r="G186" s="27"/>
      <c r="H186" s="20"/>
      <c r="I186" s="164"/>
      <c r="J186" s="40"/>
      <c r="K186" s="44"/>
      <c r="L186" s="40"/>
      <c r="M186" s="40"/>
      <c r="N186" s="25"/>
      <c r="O186" s="25"/>
      <c r="P186" s="25"/>
      <c r="Q186" s="25"/>
      <c r="R186" s="25"/>
      <c r="S186" s="25"/>
      <c r="T186" s="25"/>
      <c r="U186" s="25"/>
      <c r="V186" s="25"/>
      <c r="W186" s="25"/>
    </row>
    <row r="187" spans="1:23" s="3" customFormat="1" ht="18.75" customHeight="1">
      <c r="A187" s="70"/>
      <c r="B187" s="166"/>
      <c r="C187" s="129"/>
      <c r="D187" s="16"/>
      <c r="E187" s="16"/>
      <c r="F187" s="27"/>
      <c r="G187" s="27"/>
      <c r="H187" s="20"/>
      <c r="I187" s="164"/>
      <c r="J187" s="40"/>
      <c r="K187" s="44"/>
      <c r="L187" s="40"/>
      <c r="M187" s="40"/>
      <c r="N187" s="25"/>
      <c r="O187" s="25"/>
      <c r="P187" s="25"/>
      <c r="Q187" s="25"/>
      <c r="R187" s="25"/>
      <c r="S187" s="25"/>
      <c r="T187" s="25"/>
      <c r="U187" s="25"/>
      <c r="V187" s="25"/>
      <c r="W187" s="25"/>
    </row>
    <row r="188" spans="1:23" s="3" customFormat="1" ht="18.75" customHeight="1">
      <c r="A188" s="177" t="s">
        <v>163</v>
      </c>
      <c r="B188" s="128"/>
      <c r="C188" s="129"/>
      <c r="D188" s="16"/>
      <c r="E188" s="16"/>
      <c r="F188" s="27"/>
      <c r="G188" s="27"/>
      <c r="H188" s="20"/>
      <c r="I188" s="164"/>
      <c r="J188" s="40"/>
      <c r="K188" s="44"/>
      <c r="L188" s="40"/>
      <c r="M188" s="40"/>
      <c r="N188" s="25"/>
      <c r="O188" s="25"/>
      <c r="P188" s="25"/>
      <c r="Q188" s="25"/>
      <c r="R188" s="25"/>
      <c r="S188" s="25"/>
      <c r="T188" s="25"/>
      <c r="U188" s="25"/>
      <c r="V188" s="25"/>
      <c r="W188" s="25"/>
    </row>
    <row r="189" spans="1:23" s="3" customFormat="1" ht="21" customHeight="1">
      <c r="A189" s="178" t="s">
        <v>622</v>
      </c>
      <c r="B189" s="128"/>
      <c r="C189" s="179"/>
      <c r="D189" s="22"/>
      <c r="E189" s="16"/>
      <c r="F189" s="27"/>
      <c r="G189" s="27"/>
      <c r="H189" s="20"/>
      <c r="I189" s="164"/>
      <c r="J189" s="40"/>
      <c r="K189" s="44"/>
      <c r="L189" s="40"/>
      <c r="M189" s="40"/>
      <c r="N189" s="25"/>
      <c r="O189" s="25"/>
      <c r="P189" s="25"/>
      <c r="Q189" s="25"/>
      <c r="R189" s="25"/>
      <c r="S189" s="25"/>
      <c r="T189" s="25"/>
      <c r="U189" s="25"/>
      <c r="V189" s="25"/>
      <c r="W189" s="25"/>
    </row>
    <row r="190" spans="1:23" s="3" customFormat="1" ht="21" customHeight="1">
      <c r="A190" s="177"/>
      <c r="B190" s="128"/>
      <c r="C190" s="179"/>
      <c r="D190" s="22"/>
      <c r="E190" s="16"/>
      <c r="F190" s="27"/>
      <c r="G190" s="27"/>
      <c r="H190" s="20"/>
      <c r="I190" s="164"/>
      <c r="J190" s="40"/>
      <c r="K190" s="44"/>
      <c r="L190" s="40"/>
      <c r="M190" s="40"/>
      <c r="N190" s="25"/>
      <c r="O190" s="25"/>
      <c r="P190" s="25"/>
      <c r="Q190" s="25"/>
      <c r="R190" s="25"/>
      <c r="S190" s="25"/>
      <c r="T190" s="25"/>
      <c r="U190" s="25"/>
      <c r="V190" s="25"/>
      <c r="W190" s="25"/>
    </row>
    <row r="191" spans="1:23" s="3" customFormat="1" ht="21.75" customHeight="1">
      <c r="A191" s="180" t="s">
        <v>164</v>
      </c>
      <c r="B191" s="181"/>
      <c r="C191" s="166"/>
      <c r="D191" s="50"/>
      <c r="E191" s="50"/>
      <c r="F191" s="50"/>
      <c r="G191" s="50"/>
      <c r="H191" s="51"/>
      <c r="I191" s="164"/>
      <c r="J191" s="52"/>
      <c r="K191" s="44"/>
      <c r="L191" s="52"/>
      <c r="M191" s="52"/>
      <c r="N191" s="51"/>
      <c r="O191" s="51"/>
      <c r="P191" s="51"/>
      <c r="Q191" s="51"/>
      <c r="R191" s="51"/>
      <c r="S191" s="51"/>
      <c r="T191" s="51"/>
      <c r="U191" s="51"/>
      <c r="V191" s="51"/>
      <c r="W191" s="51"/>
    </row>
    <row r="192" spans="1:23" s="3" customFormat="1" ht="15" customHeight="1">
      <c r="A192" s="182"/>
      <c r="B192" s="181"/>
      <c r="C192" s="183"/>
      <c r="D192" s="50"/>
      <c r="E192" s="50"/>
      <c r="F192" s="50"/>
      <c r="G192" s="50"/>
      <c r="H192" s="25"/>
      <c r="I192" s="164"/>
      <c r="J192" s="52"/>
      <c r="K192" s="44"/>
      <c r="L192" s="52"/>
      <c r="M192" s="52"/>
      <c r="N192" s="51"/>
      <c r="O192" s="51"/>
      <c r="P192" s="51"/>
      <c r="Q192" s="51"/>
      <c r="R192" s="51"/>
      <c r="S192" s="51"/>
      <c r="T192" s="51"/>
      <c r="U192" s="51"/>
      <c r="V192" s="51"/>
      <c r="W192" s="51"/>
    </row>
    <row r="193" spans="1:23" s="3" customFormat="1" ht="15" customHeight="1">
      <c r="A193" s="182"/>
      <c r="B193" s="181"/>
      <c r="C193" s="183"/>
      <c r="D193" s="50"/>
      <c r="E193" s="50"/>
      <c r="F193" s="50"/>
      <c r="G193" s="50"/>
      <c r="H193" s="25"/>
      <c r="I193" s="164"/>
      <c r="J193" s="52"/>
      <c r="K193" s="44"/>
      <c r="L193" s="52"/>
      <c r="M193" s="52"/>
      <c r="N193" s="51"/>
      <c r="O193" s="51"/>
      <c r="P193" s="51"/>
      <c r="Q193" s="51"/>
      <c r="R193" s="51"/>
      <c r="S193" s="51"/>
      <c r="T193" s="51"/>
      <c r="U193" s="51"/>
      <c r="V193" s="51"/>
      <c r="W193" s="51"/>
    </row>
    <row r="194" spans="1:23" s="3" customFormat="1" ht="15" customHeight="1">
      <c r="A194" s="182" t="s">
        <v>52</v>
      </c>
      <c r="B194" s="181"/>
      <c r="C194" s="183"/>
      <c r="D194" s="50"/>
      <c r="E194" s="50"/>
      <c r="F194" s="50"/>
      <c r="G194" s="50"/>
      <c r="H194" s="25">
        <f>H196+H201+H210+H214</f>
        <v>353810</v>
      </c>
      <c r="I194" s="164"/>
      <c r="J194" s="52"/>
      <c r="K194" s="44"/>
      <c r="L194" s="52"/>
      <c r="M194" s="52"/>
      <c r="N194" s="51"/>
      <c r="O194" s="51"/>
      <c r="P194" s="51"/>
      <c r="Q194" s="51"/>
      <c r="R194" s="51"/>
      <c r="S194" s="51"/>
      <c r="T194" s="51"/>
      <c r="U194" s="51"/>
      <c r="V194" s="51"/>
      <c r="W194" s="51"/>
    </row>
    <row r="195" spans="1:23" s="3" customFormat="1" ht="15" customHeight="1">
      <c r="A195" s="70" t="s">
        <v>127</v>
      </c>
      <c r="B195" s="184"/>
      <c r="C195" s="183"/>
      <c r="D195" s="50"/>
      <c r="E195" s="50"/>
      <c r="F195" s="50"/>
      <c r="G195" s="50"/>
      <c r="H195" s="25"/>
      <c r="I195" s="164"/>
      <c r="J195" s="52"/>
      <c r="K195" s="44"/>
      <c r="L195" s="52"/>
      <c r="M195" s="52"/>
      <c r="N195" s="51"/>
      <c r="O195" s="51"/>
      <c r="P195" s="51"/>
      <c r="Q195" s="51"/>
      <c r="R195" s="51"/>
      <c r="S195" s="51"/>
      <c r="T195" s="51"/>
      <c r="U195" s="51"/>
      <c r="V195" s="51"/>
      <c r="W195" s="51"/>
    </row>
    <row r="196" spans="1:23" s="3" customFormat="1" ht="15" customHeight="1">
      <c r="A196" s="135" t="s">
        <v>652</v>
      </c>
      <c r="B196" s="184"/>
      <c r="C196" s="183"/>
      <c r="D196" s="50"/>
      <c r="E196" s="50"/>
      <c r="F196" s="50"/>
      <c r="G196" s="50"/>
      <c r="H196" s="25">
        <f>H198+H199</f>
        <v>266577</v>
      </c>
      <c r="I196" s="164"/>
      <c r="J196" s="52"/>
      <c r="K196" s="44"/>
      <c r="L196" s="52"/>
      <c r="M196" s="52"/>
      <c r="N196" s="51"/>
      <c r="O196" s="51"/>
      <c r="P196" s="51"/>
      <c r="Q196" s="51"/>
      <c r="R196" s="51"/>
      <c r="S196" s="51"/>
      <c r="T196" s="51"/>
      <c r="U196" s="51"/>
      <c r="V196" s="51"/>
      <c r="W196" s="51"/>
    </row>
    <row r="197" spans="1:23" s="3" customFormat="1" ht="15" customHeight="1">
      <c r="A197" s="70" t="s">
        <v>127</v>
      </c>
      <c r="B197" s="184"/>
      <c r="C197" s="183"/>
      <c r="D197" s="50"/>
      <c r="E197" s="50"/>
      <c r="F197" s="50"/>
      <c r="G197" s="50"/>
      <c r="H197" s="25"/>
      <c r="I197" s="164"/>
      <c r="J197" s="52"/>
      <c r="K197" s="44"/>
      <c r="L197" s="52"/>
      <c r="M197" s="52"/>
      <c r="N197" s="51"/>
      <c r="O197" s="51"/>
      <c r="P197" s="51"/>
      <c r="Q197" s="51"/>
      <c r="R197" s="51"/>
      <c r="S197" s="51"/>
      <c r="T197" s="51"/>
      <c r="U197" s="51"/>
      <c r="V197" s="51"/>
      <c r="W197" s="51"/>
    </row>
    <row r="198" spans="1:23" s="3" customFormat="1" ht="15" customHeight="1">
      <c r="A198" s="182"/>
      <c r="B198" s="177" t="s">
        <v>209</v>
      </c>
      <c r="C198" s="183"/>
      <c r="D198" s="50"/>
      <c r="E198" s="50"/>
      <c r="F198" s="50"/>
      <c r="G198" s="50"/>
      <c r="H198" s="51">
        <v>121577</v>
      </c>
      <c r="I198" s="716"/>
      <c r="J198" s="52"/>
      <c r="K198" s="44"/>
      <c r="L198" s="52"/>
      <c r="M198" s="52"/>
      <c r="N198" s="51"/>
      <c r="O198" s="51"/>
      <c r="P198" s="51"/>
      <c r="Q198" s="51"/>
      <c r="R198" s="51"/>
      <c r="S198" s="51"/>
      <c r="T198" s="51"/>
      <c r="U198" s="51"/>
      <c r="V198" s="51"/>
      <c r="W198" s="51"/>
    </row>
    <row r="199" spans="1:23" s="3" customFormat="1" ht="15" customHeight="1">
      <c r="A199" s="182"/>
      <c r="B199" s="177" t="s">
        <v>247</v>
      </c>
      <c r="C199" s="183"/>
      <c r="D199" s="50"/>
      <c r="E199" s="50"/>
      <c r="F199" s="50"/>
      <c r="G199" s="50"/>
      <c r="H199" s="51">
        <f>15000+130000</f>
        <v>145000</v>
      </c>
      <c r="I199" s="716"/>
      <c r="J199" s="52"/>
      <c r="K199" s="44"/>
      <c r="L199" s="52"/>
      <c r="M199" s="52"/>
      <c r="N199" s="51"/>
      <c r="O199" s="51"/>
      <c r="P199" s="51"/>
      <c r="Q199" s="51"/>
      <c r="R199" s="51"/>
      <c r="S199" s="51"/>
      <c r="T199" s="51"/>
      <c r="U199" s="51"/>
      <c r="V199" s="51"/>
      <c r="W199" s="51"/>
    </row>
    <row r="200" spans="1:23" s="3" customFormat="1" ht="15" customHeight="1">
      <c r="A200" s="182"/>
      <c r="B200" s="181"/>
      <c r="C200" s="183"/>
      <c r="D200" s="50"/>
      <c r="E200" s="50"/>
      <c r="F200" s="50"/>
      <c r="G200" s="50"/>
      <c r="H200" s="51"/>
      <c r="I200" s="716"/>
      <c r="J200" s="52"/>
      <c r="K200" s="44"/>
      <c r="L200" s="52"/>
      <c r="M200" s="52"/>
      <c r="N200" s="51"/>
      <c r="O200" s="51"/>
      <c r="P200" s="51"/>
      <c r="Q200" s="51"/>
      <c r="R200" s="51"/>
      <c r="S200" s="51"/>
      <c r="T200" s="51"/>
      <c r="U200" s="51"/>
      <c r="V200" s="51"/>
      <c r="W200" s="51"/>
    </row>
    <row r="201" spans="1:23" s="3" customFormat="1" ht="15" customHeight="1">
      <c r="A201" s="135" t="s">
        <v>665</v>
      </c>
      <c r="B201" s="181"/>
      <c r="C201" s="183"/>
      <c r="D201" s="50"/>
      <c r="E201" s="50"/>
      <c r="F201" s="50"/>
      <c r="G201" s="50"/>
      <c r="H201" s="25">
        <f>H203+H207</f>
        <v>33233</v>
      </c>
      <c r="I201" s="164"/>
      <c r="J201" s="52"/>
      <c r="K201" s="44"/>
      <c r="L201" s="52"/>
      <c r="M201" s="52"/>
      <c r="N201" s="51"/>
      <c r="O201" s="51"/>
      <c r="P201" s="51"/>
      <c r="Q201" s="51"/>
      <c r="R201" s="51"/>
      <c r="S201" s="51"/>
      <c r="T201" s="51"/>
      <c r="U201" s="51"/>
      <c r="V201" s="51"/>
      <c r="W201" s="51"/>
    </row>
    <row r="202" spans="1:23" s="3" customFormat="1" ht="15" customHeight="1">
      <c r="A202" s="70" t="s">
        <v>127</v>
      </c>
      <c r="B202" s="181"/>
      <c r="C202" s="183"/>
      <c r="D202" s="50"/>
      <c r="E202" s="50"/>
      <c r="F202" s="50"/>
      <c r="G202" s="50"/>
      <c r="H202" s="51"/>
      <c r="I202" s="164"/>
      <c r="J202" s="52"/>
      <c r="K202" s="44"/>
      <c r="L202" s="52"/>
      <c r="M202" s="52"/>
      <c r="N202" s="51"/>
      <c r="O202" s="51"/>
      <c r="P202" s="51"/>
      <c r="Q202" s="51"/>
      <c r="R202" s="51"/>
      <c r="S202" s="51"/>
      <c r="T202" s="51"/>
      <c r="U202" s="51"/>
      <c r="V202" s="51"/>
      <c r="W202" s="51"/>
    </row>
    <row r="203" spans="1:23" s="3" customFormat="1" ht="15" customHeight="1">
      <c r="A203" s="70"/>
      <c r="B203" s="698" t="s">
        <v>662</v>
      </c>
      <c r="C203" s="183"/>
      <c r="D203" s="50"/>
      <c r="E203" s="50"/>
      <c r="F203" s="50"/>
      <c r="G203" s="50"/>
      <c r="H203" s="53">
        <f>H205</f>
        <v>23233</v>
      </c>
      <c r="I203" s="164"/>
      <c r="J203" s="52"/>
      <c r="K203" s="44"/>
      <c r="L203" s="52"/>
      <c r="M203" s="52"/>
      <c r="N203" s="51"/>
      <c r="O203" s="51"/>
      <c r="P203" s="51"/>
      <c r="Q203" s="51"/>
      <c r="R203" s="51"/>
      <c r="S203" s="51"/>
      <c r="T203" s="51"/>
      <c r="U203" s="51"/>
      <c r="V203" s="51"/>
      <c r="W203" s="51"/>
    </row>
    <row r="204" spans="1:23" s="3" customFormat="1" ht="15" customHeight="1">
      <c r="A204" s="70"/>
      <c r="B204" s="177" t="s">
        <v>663</v>
      </c>
      <c r="C204" s="183"/>
      <c r="D204" s="50"/>
      <c r="E204" s="50"/>
      <c r="F204" s="50"/>
      <c r="G204" s="50"/>
      <c r="H204" s="51"/>
      <c r="I204" s="164"/>
      <c r="J204" s="52"/>
      <c r="K204" s="44"/>
      <c r="L204" s="52"/>
      <c r="M204" s="52"/>
      <c r="N204" s="51"/>
      <c r="O204" s="51"/>
      <c r="P204" s="51"/>
      <c r="Q204" s="51"/>
      <c r="R204" s="51"/>
      <c r="S204" s="51"/>
      <c r="T204" s="51"/>
      <c r="U204" s="51"/>
      <c r="V204" s="51"/>
      <c r="W204" s="51"/>
    </row>
    <row r="205" spans="1:23" s="3" customFormat="1" ht="15" customHeight="1">
      <c r="A205" s="70"/>
      <c r="B205" s="177" t="s">
        <v>664</v>
      </c>
      <c r="C205" s="183"/>
      <c r="D205" s="50"/>
      <c r="E205" s="50"/>
      <c r="F205" s="50"/>
      <c r="G205" s="50"/>
      <c r="H205" s="51">
        <v>23233</v>
      </c>
      <c r="I205" s="164"/>
      <c r="J205" s="52"/>
      <c r="K205" s="44"/>
      <c r="L205" s="52"/>
      <c r="M205" s="52"/>
      <c r="N205" s="51"/>
      <c r="O205" s="51"/>
      <c r="P205" s="51"/>
      <c r="Q205" s="51"/>
      <c r="R205" s="51"/>
      <c r="S205" s="51"/>
      <c r="T205" s="51"/>
      <c r="U205" s="51"/>
      <c r="V205" s="51"/>
      <c r="W205" s="51"/>
    </row>
    <row r="206" spans="1:23" s="3" customFormat="1" ht="15" customHeight="1">
      <c r="A206" s="70"/>
      <c r="B206" s="181"/>
      <c r="C206" s="183"/>
      <c r="D206" s="50"/>
      <c r="E206" s="50"/>
      <c r="F206" s="50"/>
      <c r="G206" s="50"/>
      <c r="H206" s="51"/>
      <c r="I206" s="164"/>
      <c r="J206" s="52"/>
      <c r="K206" s="44"/>
      <c r="L206" s="52"/>
      <c r="M206" s="52"/>
      <c r="N206" s="51"/>
      <c r="O206" s="51"/>
      <c r="P206" s="51"/>
      <c r="Q206" s="51"/>
      <c r="R206" s="51"/>
      <c r="S206" s="51"/>
      <c r="T206" s="51"/>
      <c r="U206" s="51"/>
      <c r="V206" s="51"/>
      <c r="W206" s="51"/>
    </row>
    <row r="207" spans="1:23" s="648" customFormat="1" ht="19.5" customHeight="1">
      <c r="A207" s="651"/>
      <c r="B207" s="698" t="s">
        <v>661</v>
      </c>
      <c r="C207" s="183"/>
      <c r="D207" s="652"/>
      <c r="E207" s="652"/>
      <c r="F207" s="652"/>
      <c r="G207" s="652"/>
      <c r="H207" s="53">
        <f>H208</f>
        <v>10000</v>
      </c>
      <c r="I207" s="518"/>
      <c r="J207" s="653"/>
      <c r="K207" s="519"/>
      <c r="L207" s="653"/>
      <c r="M207" s="653"/>
      <c r="N207" s="53"/>
      <c r="O207" s="53"/>
      <c r="P207" s="53"/>
      <c r="Q207" s="53"/>
      <c r="R207" s="53"/>
      <c r="S207" s="53"/>
      <c r="T207" s="53"/>
      <c r="U207" s="53"/>
      <c r="V207" s="53"/>
      <c r="W207" s="53"/>
    </row>
    <row r="208" spans="1:23" s="3" customFormat="1" ht="16.5" customHeight="1">
      <c r="A208" s="182"/>
      <c r="B208" s="177" t="s">
        <v>287</v>
      </c>
      <c r="C208" s="183"/>
      <c r="D208" s="50"/>
      <c r="E208" s="50"/>
      <c r="F208" s="50"/>
      <c r="G208" s="50"/>
      <c r="H208" s="51">
        <v>10000</v>
      </c>
      <c r="I208" s="164"/>
      <c r="J208" s="52"/>
      <c r="K208" s="44"/>
      <c r="L208" s="52"/>
      <c r="M208" s="52"/>
      <c r="N208" s="51"/>
      <c r="O208" s="51"/>
      <c r="P208" s="51"/>
      <c r="Q208" s="51"/>
      <c r="R208" s="51"/>
      <c r="S208" s="51"/>
      <c r="T208" s="51"/>
      <c r="U208" s="51"/>
      <c r="V208" s="51"/>
      <c r="W208" s="51"/>
    </row>
    <row r="209" spans="1:23" s="3" customFormat="1" ht="16.5" customHeight="1">
      <c r="A209" s="182"/>
      <c r="B209" s="177"/>
      <c r="C209" s="183"/>
      <c r="D209" s="50"/>
      <c r="E209" s="50"/>
      <c r="F209" s="50"/>
      <c r="G209" s="50"/>
      <c r="H209" s="51"/>
      <c r="I209" s="164"/>
      <c r="J209" s="52"/>
      <c r="K209" s="44"/>
      <c r="L209" s="52"/>
      <c r="M209" s="52"/>
      <c r="N209" s="51"/>
      <c r="O209" s="51"/>
      <c r="P209" s="51"/>
      <c r="Q209" s="51"/>
      <c r="R209" s="51"/>
      <c r="S209" s="51"/>
      <c r="T209" s="51"/>
      <c r="U209" s="51"/>
      <c r="V209" s="51"/>
      <c r="W209" s="51"/>
    </row>
    <row r="210" spans="1:23" s="3" customFormat="1" ht="16.5" customHeight="1">
      <c r="A210" s="135" t="s">
        <v>437</v>
      </c>
      <c r="B210" s="177"/>
      <c r="C210" s="183"/>
      <c r="D210" s="50"/>
      <c r="E210" s="50"/>
      <c r="F210" s="50"/>
      <c r="G210" s="50"/>
      <c r="H210" s="25">
        <f>H212</f>
        <v>4000</v>
      </c>
      <c r="I210" s="164"/>
      <c r="J210" s="52"/>
      <c r="K210" s="44"/>
      <c r="L210" s="52"/>
      <c r="M210" s="52"/>
      <c r="N210" s="51"/>
      <c r="O210" s="51"/>
      <c r="P210" s="51"/>
      <c r="Q210" s="51"/>
      <c r="R210" s="51"/>
      <c r="S210" s="51"/>
      <c r="T210" s="51"/>
      <c r="U210" s="51"/>
      <c r="V210" s="51"/>
      <c r="W210" s="51"/>
    </row>
    <row r="211" spans="1:23" s="3" customFormat="1" ht="16.5" customHeight="1">
      <c r="A211" s="70" t="s">
        <v>127</v>
      </c>
      <c r="B211" s="177"/>
      <c r="C211" s="183"/>
      <c r="D211" s="50"/>
      <c r="E211" s="50"/>
      <c r="F211" s="50"/>
      <c r="G211" s="50"/>
      <c r="H211" s="51"/>
      <c r="I211" s="164"/>
      <c r="J211" s="52"/>
      <c r="K211" s="44"/>
      <c r="L211" s="52"/>
      <c r="M211" s="52"/>
      <c r="N211" s="51"/>
      <c r="O211" s="51"/>
      <c r="P211" s="51"/>
      <c r="Q211" s="51"/>
      <c r="R211" s="51"/>
      <c r="S211" s="51"/>
      <c r="T211" s="51"/>
      <c r="U211" s="51"/>
      <c r="V211" s="51"/>
      <c r="W211" s="51"/>
    </row>
    <row r="212" spans="1:23" s="3" customFormat="1" ht="16.5" customHeight="1">
      <c r="A212" s="182"/>
      <c r="B212" s="177" t="s">
        <v>328</v>
      </c>
      <c r="C212" s="183"/>
      <c r="D212" s="50"/>
      <c r="E212" s="50"/>
      <c r="F212" s="50"/>
      <c r="G212" s="50"/>
      <c r="H212" s="51">
        <v>4000</v>
      </c>
      <c r="I212" s="164"/>
      <c r="J212" s="52"/>
      <c r="K212" s="44"/>
      <c r="L212" s="52"/>
      <c r="M212" s="52"/>
      <c r="N212" s="51"/>
      <c r="O212" s="51"/>
      <c r="P212" s="51"/>
      <c r="Q212" s="51"/>
      <c r="R212" s="51"/>
      <c r="S212" s="51"/>
      <c r="T212" s="51"/>
      <c r="U212" s="51"/>
      <c r="V212" s="51"/>
      <c r="W212" s="51"/>
    </row>
    <row r="213" spans="1:23" s="3" customFormat="1" ht="16.5" customHeight="1">
      <c r="A213" s="182"/>
      <c r="B213" s="181"/>
      <c r="C213" s="183"/>
      <c r="D213" s="50"/>
      <c r="E213" s="50"/>
      <c r="F213" s="50"/>
      <c r="G213" s="50"/>
      <c r="H213" s="51"/>
      <c r="I213" s="164"/>
      <c r="J213" s="52"/>
      <c r="K213" s="44"/>
      <c r="L213" s="52"/>
      <c r="M213" s="52"/>
      <c r="N213" s="51"/>
      <c r="O213" s="51"/>
      <c r="P213" s="51"/>
      <c r="Q213" s="51"/>
      <c r="R213" s="51"/>
      <c r="S213" s="51"/>
      <c r="T213" s="51"/>
      <c r="U213" s="51"/>
      <c r="V213" s="51"/>
      <c r="W213" s="51"/>
    </row>
    <row r="214" spans="1:23" s="3" customFormat="1" ht="15" customHeight="1">
      <c r="A214" s="135" t="s">
        <v>355</v>
      </c>
      <c r="B214" s="181"/>
      <c r="C214" s="183"/>
      <c r="D214" s="50"/>
      <c r="E214" s="50"/>
      <c r="F214" s="50"/>
      <c r="G214" s="50"/>
      <c r="H214" s="25">
        <f>SUM(H217)</f>
        <v>50000</v>
      </c>
      <c r="I214" s="716"/>
      <c r="J214" s="52"/>
      <c r="K214" s="44"/>
      <c r="L214" s="52"/>
      <c r="M214" s="52"/>
      <c r="N214" s="51"/>
      <c r="O214" s="51"/>
      <c r="P214" s="51"/>
      <c r="Q214" s="51"/>
      <c r="R214" s="51"/>
      <c r="S214" s="51"/>
      <c r="T214" s="51"/>
      <c r="U214" s="51"/>
      <c r="V214" s="51"/>
      <c r="W214" s="51"/>
    </row>
    <row r="215" spans="1:23" s="3" customFormat="1" ht="15" customHeight="1">
      <c r="A215" s="70" t="s">
        <v>127</v>
      </c>
      <c r="B215" s="181"/>
      <c r="C215" s="183"/>
      <c r="D215" s="50"/>
      <c r="E215" s="50"/>
      <c r="F215" s="50"/>
      <c r="G215" s="50"/>
      <c r="H215" s="51"/>
      <c r="I215" s="716"/>
      <c r="J215" s="52"/>
      <c r="K215" s="44"/>
      <c r="L215" s="52"/>
      <c r="M215" s="52"/>
      <c r="N215" s="51"/>
      <c r="O215" s="51"/>
      <c r="P215" s="51"/>
      <c r="Q215" s="51"/>
      <c r="R215" s="51"/>
      <c r="S215" s="51"/>
      <c r="T215" s="51"/>
      <c r="U215" s="51"/>
      <c r="V215" s="51"/>
      <c r="W215" s="51"/>
    </row>
    <row r="216" spans="1:23" s="3" customFormat="1" ht="15" customHeight="1">
      <c r="A216" s="182"/>
      <c r="B216" s="177" t="s">
        <v>356</v>
      </c>
      <c r="C216" s="183"/>
      <c r="D216" s="50"/>
      <c r="E216" s="50"/>
      <c r="F216" s="50"/>
      <c r="G216" s="50"/>
      <c r="H216" s="51"/>
      <c r="I216" s="716"/>
      <c r="J216" s="52"/>
      <c r="K216" s="44"/>
      <c r="L216" s="52"/>
      <c r="M216" s="52"/>
      <c r="N216" s="51"/>
      <c r="O216" s="51"/>
      <c r="P216" s="51"/>
      <c r="Q216" s="51"/>
      <c r="R216" s="51"/>
      <c r="S216" s="51"/>
      <c r="T216" s="51"/>
      <c r="U216" s="51"/>
      <c r="V216" s="51"/>
      <c r="W216" s="51"/>
    </row>
    <row r="217" spans="1:23" s="3" customFormat="1" ht="15" customHeight="1">
      <c r="A217" s="182"/>
      <c r="B217" s="177" t="s">
        <v>357</v>
      </c>
      <c r="C217" s="183"/>
      <c r="D217" s="50"/>
      <c r="E217" s="50"/>
      <c r="F217" s="50"/>
      <c r="G217" s="50"/>
      <c r="H217" s="51">
        <v>50000</v>
      </c>
      <c r="I217" s="164"/>
      <c r="J217" s="52"/>
      <c r="K217" s="44"/>
      <c r="L217" s="52"/>
      <c r="M217" s="52"/>
      <c r="N217" s="51"/>
      <c r="O217" s="51"/>
      <c r="P217" s="51"/>
      <c r="Q217" s="51"/>
      <c r="R217" s="51"/>
      <c r="S217" s="51"/>
      <c r="T217" s="51"/>
      <c r="U217" s="51"/>
      <c r="V217" s="51"/>
      <c r="W217" s="51"/>
    </row>
    <row r="218" spans="1:23" s="3" customFormat="1" ht="15" customHeight="1">
      <c r="A218" s="182"/>
      <c r="B218" s="181"/>
      <c r="C218" s="183"/>
      <c r="D218" s="50"/>
      <c r="E218" s="50"/>
      <c r="F218" s="50"/>
      <c r="G218" s="50"/>
      <c r="H218" s="51"/>
      <c r="I218" s="164"/>
      <c r="J218" s="52"/>
      <c r="K218" s="44"/>
      <c r="L218" s="52"/>
      <c r="M218" s="52"/>
      <c r="N218" s="51"/>
      <c r="O218" s="51"/>
      <c r="P218" s="51"/>
      <c r="Q218" s="51"/>
      <c r="R218" s="51"/>
      <c r="S218" s="51"/>
      <c r="T218" s="51"/>
      <c r="U218" s="51"/>
      <c r="V218" s="51"/>
      <c r="W218" s="51"/>
    </row>
    <row r="219" spans="1:23" s="3" customFormat="1" ht="15" customHeight="1">
      <c r="A219" s="182"/>
      <c r="B219" s="181"/>
      <c r="C219" s="183"/>
      <c r="D219" s="50"/>
      <c r="E219" s="50"/>
      <c r="F219" s="50"/>
      <c r="G219" s="50"/>
      <c r="H219" s="51"/>
      <c r="I219" s="164"/>
      <c r="J219" s="52"/>
      <c r="K219" s="44"/>
      <c r="L219" s="52"/>
      <c r="M219" s="52"/>
      <c r="N219" s="51"/>
      <c r="O219" s="51"/>
      <c r="P219" s="51"/>
      <c r="Q219" s="51"/>
      <c r="R219" s="51"/>
      <c r="S219" s="51"/>
      <c r="T219" s="51"/>
      <c r="U219" s="51"/>
      <c r="V219" s="51"/>
      <c r="W219" s="51"/>
    </row>
    <row r="220" spans="1:23" s="3" customFormat="1" ht="15" customHeight="1">
      <c r="A220" s="70"/>
      <c r="B220" s="166"/>
      <c r="C220" s="166"/>
      <c r="D220" s="50"/>
      <c r="E220" s="50"/>
      <c r="F220" s="50"/>
      <c r="G220" s="50"/>
      <c r="H220" s="51"/>
      <c r="I220" s="164"/>
      <c r="J220" s="52"/>
      <c r="K220" s="44"/>
      <c r="L220" s="52"/>
      <c r="M220" s="52"/>
      <c r="N220" s="51"/>
      <c r="O220" s="51"/>
      <c r="P220" s="51"/>
      <c r="Q220" s="51"/>
      <c r="R220" s="51"/>
      <c r="S220" s="51"/>
      <c r="T220" s="51"/>
      <c r="U220" s="51"/>
      <c r="V220" s="51"/>
      <c r="W220" s="51"/>
    </row>
    <row r="221" spans="1:23" s="3" customFormat="1" ht="17.25" customHeight="1">
      <c r="A221" s="182" t="s">
        <v>138</v>
      </c>
      <c r="B221" s="181"/>
      <c r="C221" s="183"/>
      <c r="D221" s="50"/>
      <c r="E221" s="50"/>
      <c r="F221" s="50"/>
      <c r="G221" s="50"/>
      <c r="H221" s="53">
        <f>H223+H230+H235+H239+H250+H254</f>
        <v>1198717</v>
      </c>
      <c r="I221" s="164"/>
      <c r="J221" s="52"/>
      <c r="K221" s="44"/>
      <c r="L221" s="52"/>
      <c r="M221" s="52"/>
      <c r="N221" s="51"/>
      <c r="O221" s="51"/>
      <c r="P221" s="51"/>
      <c r="Q221" s="51"/>
      <c r="R221" s="51"/>
      <c r="S221" s="51"/>
      <c r="T221" s="51"/>
      <c r="U221" s="51"/>
      <c r="V221" s="51"/>
      <c r="W221" s="51"/>
    </row>
    <row r="222" spans="1:23" s="3" customFormat="1" ht="16.5" customHeight="1">
      <c r="A222" s="70" t="s">
        <v>127</v>
      </c>
      <c r="B222" s="184"/>
      <c r="C222" s="185"/>
      <c r="D222" s="22"/>
      <c r="E222" s="16"/>
      <c r="F222" s="27"/>
      <c r="G222" s="27"/>
      <c r="H222" s="51"/>
      <c r="I222" s="164"/>
      <c r="J222" s="40"/>
      <c r="K222" s="44"/>
      <c r="L222" s="40"/>
      <c r="M222" s="40"/>
      <c r="N222" s="25"/>
      <c r="O222" s="25"/>
      <c r="P222" s="25"/>
      <c r="Q222" s="25"/>
      <c r="R222" s="25"/>
      <c r="S222" s="25"/>
      <c r="T222" s="25"/>
      <c r="U222" s="25"/>
      <c r="V222" s="25"/>
      <c r="W222" s="25"/>
    </row>
    <row r="223" spans="1:23" s="3" customFormat="1" ht="16.5" customHeight="1">
      <c r="A223" s="135" t="s">
        <v>168</v>
      </c>
      <c r="B223" s="184"/>
      <c r="C223" s="185"/>
      <c r="D223" s="22"/>
      <c r="E223" s="16"/>
      <c r="F223" s="27"/>
      <c r="G223" s="27"/>
      <c r="H223" s="25">
        <f>H226+H228</f>
        <v>115000</v>
      </c>
      <c r="I223" s="164"/>
      <c r="J223" s="40"/>
      <c r="K223" s="44"/>
      <c r="L223" s="40"/>
      <c r="M223" s="40"/>
      <c r="N223" s="25"/>
      <c r="O223" s="25"/>
      <c r="P223" s="25"/>
      <c r="Q223" s="25"/>
      <c r="R223" s="25"/>
      <c r="S223" s="25"/>
      <c r="T223" s="25"/>
      <c r="U223" s="25"/>
      <c r="V223" s="25"/>
      <c r="W223" s="25"/>
    </row>
    <row r="224" spans="1:23" s="3" customFormat="1" ht="16.5" customHeight="1">
      <c r="A224" s="70" t="s">
        <v>127</v>
      </c>
      <c r="B224" s="184"/>
      <c r="C224" s="185"/>
      <c r="D224" s="22"/>
      <c r="E224" s="16"/>
      <c r="F224" s="27"/>
      <c r="G224" s="27"/>
      <c r="H224" s="51"/>
      <c r="I224" s="164"/>
      <c r="J224" s="40"/>
      <c r="K224" s="44"/>
      <c r="L224" s="40"/>
      <c r="M224" s="40"/>
      <c r="N224" s="25"/>
      <c r="O224" s="25"/>
      <c r="P224" s="25"/>
      <c r="Q224" s="25"/>
      <c r="R224" s="25"/>
      <c r="S224" s="25"/>
      <c r="T224" s="25"/>
      <c r="U224" s="25"/>
      <c r="V224" s="25"/>
      <c r="W224" s="25"/>
    </row>
    <row r="225" spans="1:23" s="3" customFormat="1" ht="16.5" customHeight="1">
      <c r="A225" s="70"/>
      <c r="B225" s="184" t="s">
        <v>348</v>
      </c>
      <c r="C225" s="185"/>
      <c r="D225" s="22"/>
      <c r="E225" s="16"/>
      <c r="F225" s="27"/>
      <c r="G225" s="27"/>
      <c r="H225" s="51"/>
      <c r="I225" s="164"/>
      <c r="J225" s="40"/>
      <c r="K225" s="44"/>
      <c r="L225" s="40"/>
      <c r="M225" s="40"/>
      <c r="N225" s="25"/>
      <c r="O225" s="25"/>
      <c r="P225" s="25"/>
      <c r="Q225" s="25"/>
      <c r="R225" s="25"/>
      <c r="S225" s="25"/>
      <c r="T225" s="25"/>
      <c r="U225" s="25"/>
      <c r="V225" s="25"/>
      <c r="W225" s="25"/>
    </row>
    <row r="226" spans="1:23" s="3" customFormat="1" ht="16.5" customHeight="1">
      <c r="A226" s="70"/>
      <c r="B226" s="184" t="s">
        <v>373</v>
      </c>
      <c r="C226" s="185"/>
      <c r="D226" s="22"/>
      <c r="E226" s="16"/>
      <c r="F226" s="27"/>
      <c r="G226" s="27"/>
      <c r="H226" s="51">
        <v>15000</v>
      </c>
      <c r="I226" s="164"/>
      <c r="J226" s="40"/>
      <c r="K226" s="44"/>
      <c r="L226" s="40"/>
      <c r="M226" s="40"/>
      <c r="N226" s="25"/>
      <c r="O226" s="25"/>
      <c r="P226" s="25"/>
      <c r="Q226" s="25"/>
      <c r="R226" s="25"/>
      <c r="S226" s="25"/>
      <c r="T226" s="25"/>
      <c r="U226" s="25"/>
      <c r="V226" s="25"/>
      <c r="W226" s="25"/>
    </row>
    <row r="227" spans="1:23" s="3" customFormat="1" ht="16.5" customHeight="1">
      <c r="A227" s="70"/>
      <c r="B227" s="184"/>
      <c r="C227" s="185"/>
      <c r="D227" s="22"/>
      <c r="E227" s="16"/>
      <c r="F227" s="27"/>
      <c r="G227" s="27"/>
      <c r="H227" s="51"/>
      <c r="I227" s="164"/>
      <c r="J227" s="40"/>
      <c r="K227" s="44"/>
      <c r="L227" s="40"/>
      <c r="M227" s="40"/>
      <c r="N227" s="25"/>
      <c r="O227" s="25"/>
      <c r="P227" s="25"/>
      <c r="Q227" s="25"/>
      <c r="R227" s="25"/>
      <c r="S227" s="25"/>
      <c r="T227" s="25"/>
      <c r="U227" s="25"/>
      <c r="V227" s="25"/>
      <c r="W227" s="25"/>
    </row>
    <row r="228" spans="1:23" s="3" customFormat="1" ht="16.5" customHeight="1">
      <c r="A228" s="70"/>
      <c r="B228" s="184" t="s">
        <v>244</v>
      </c>
      <c r="C228" s="185"/>
      <c r="D228" s="22"/>
      <c r="E228" s="16"/>
      <c r="F228" s="27"/>
      <c r="G228" s="27"/>
      <c r="H228" s="51">
        <v>100000</v>
      </c>
      <c r="I228" s="164"/>
      <c r="J228" s="40"/>
      <c r="K228" s="44"/>
      <c r="L228" s="40"/>
      <c r="M228" s="40"/>
      <c r="N228" s="25"/>
      <c r="O228" s="25"/>
      <c r="P228" s="25"/>
      <c r="Q228" s="25"/>
      <c r="R228" s="25"/>
      <c r="S228" s="25"/>
      <c r="T228" s="25"/>
      <c r="U228" s="25"/>
      <c r="V228" s="25"/>
      <c r="W228" s="25"/>
    </row>
    <row r="229" spans="1:23" s="3" customFormat="1" ht="16.5" customHeight="1">
      <c r="A229" s="70"/>
      <c r="B229" s="184"/>
      <c r="C229" s="185"/>
      <c r="D229" s="22"/>
      <c r="E229" s="16"/>
      <c r="F229" s="27"/>
      <c r="G229" s="27"/>
      <c r="H229" s="51"/>
      <c r="I229" s="164"/>
      <c r="J229" s="40"/>
      <c r="K229" s="44"/>
      <c r="L229" s="40"/>
      <c r="M229" s="40"/>
      <c r="N229" s="25"/>
      <c r="O229" s="25"/>
      <c r="P229" s="25"/>
      <c r="Q229" s="25"/>
      <c r="R229" s="25"/>
      <c r="S229" s="25"/>
      <c r="T229" s="25"/>
      <c r="U229" s="25"/>
      <c r="V229" s="25"/>
      <c r="W229" s="25"/>
    </row>
    <row r="230" spans="1:23" s="3" customFormat="1" ht="16.5" customHeight="1">
      <c r="A230" s="135" t="s">
        <v>422</v>
      </c>
      <c r="B230" s="184"/>
      <c r="C230" s="185"/>
      <c r="D230" s="22"/>
      <c r="E230" s="16"/>
      <c r="F230" s="27"/>
      <c r="G230" s="27"/>
      <c r="H230" s="25">
        <f>H233</f>
        <v>130000</v>
      </c>
      <c r="I230" s="164"/>
      <c r="J230" s="40"/>
      <c r="K230" s="44"/>
      <c r="L230" s="40"/>
      <c r="M230" s="40"/>
      <c r="N230" s="25"/>
      <c r="O230" s="25"/>
      <c r="P230" s="25"/>
      <c r="Q230" s="25"/>
      <c r="R230" s="25"/>
      <c r="S230" s="25"/>
      <c r="T230" s="25"/>
      <c r="U230" s="25"/>
      <c r="V230" s="25"/>
      <c r="W230" s="25"/>
    </row>
    <row r="231" spans="1:23" s="3" customFormat="1" ht="16.5" customHeight="1">
      <c r="A231" s="70" t="s">
        <v>127</v>
      </c>
      <c r="B231" s="184"/>
      <c r="C231" s="185"/>
      <c r="D231" s="22"/>
      <c r="E231" s="16"/>
      <c r="F231" s="27"/>
      <c r="G231" s="27"/>
      <c r="H231" s="51"/>
      <c r="I231" s="164"/>
      <c r="J231" s="40"/>
      <c r="K231" s="44"/>
      <c r="L231" s="40"/>
      <c r="M231" s="40"/>
      <c r="N231" s="25"/>
      <c r="O231" s="25"/>
      <c r="P231" s="25"/>
      <c r="Q231" s="25"/>
      <c r="R231" s="25"/>
      <c r="S231" s="25"/>
      <c r="T231" s="25"/>
      <c r="U231" s="25"/>
      <c r="V231" s="25"/>
      <c r="W231" s="25"/>
    </row>
    <row r="232" spans="1:23" s="3" customFormat="1" ht="16.5" customHeight="1">
      <c r="A232" s="70"/>
      <c r="B232" s="184" t="s">
        <v>425</v>
      </c>
      <c r="C232" s="185"/>
      <c r="D232" s="22"/>
      <c r="E232" s="16"/>
      <c r="F232" s="27"/>
      <c r="G232" s="27"/>
      <c r="H232" s="51"/>
      <c r="I232" s="164"/>
      <c r="J232" s="40"/>
      <c r="K232" s="44"/>
      <c r="L232" s="40"/>
      <c r="M232" s="40"/>
      <c r="N232" s="25"/>
      <c r="O232" s="25"/>
      <c r="P232" s="25"/>
      <c r="Q232" s="25"/>
      <c r="R232" s="25"/>
      <c r="S232" s="25"/>
      <c r="T232" s="25"/>
      <c r="U232" s="25"/>
      <c r="V232" s="25"/>
      <c r="W232" s="25"/>
    </row>
    <row r="233" spans="1:23" s="3" customFormat="1" ht="16.5" customHeight="1">
      <c r="A233" s="70"/>
      <c r="B233" s="184" t="s">
        <v>424</v>
      </c>
      <c r="C233" s="185"/>
      <c r="D233" s="22"/>
      <c r="E233" s="16"/>
      <c r="F233" s="27"/>
      <c r="G233" s="27"/>
      <c r="H233" s="51">
        <v>130000</v>
      </c>
      <c r="I233" s="164"/>
      <c r="J233" s="40"/>
      <c r="K233" s="44"/>
      <c r="L233" s="40"/>
      <c r="M233" s="40"/>
      <c r="N233" s="25"/>
      <c r="O233" s="25"/>
      <c r="P233" s="25"/>
      <c r="Q233" s="25"/>
      <c r="R233" s="25"/>
      <c r="S233" s="25"/>
      <c r="T233" s="25"/>
      <c r="U233" s="25"/>
      <c r="V233" s="25"/>
      <c r="W233" s="25"/>
    </row>
    <row r="234" spans="1:23" s="3" customFormat="1" ht="16.5" customHeight="1">
      <c r="A234" s="70"/>
      <c r="B234" s="184"/>
      <c r="C234" s="185"/>
      <c r="D234" s="22"/>
      <c r="E234" s="16"/>
      <c r="F234" s="27"/>
      <c r="G234" s="27"/>
      <c r="H234" s="51"/>
      <c r="I234" s="164"/>
      <c r="J234" s="40"/>
      <c r="K234" s="44"/>
      <c r="L234" s="40"/>
      <c r="M234" s="40"/>
      <c r="N234" s="25"/>
      <c r="O234" s="25"/>
      <c r="P234" s="25"/>
      <c r="Q234" s="25"/>
      <c r="R234" s="25"/>
      <c r="S234" s="25"/>
      <c r="T234" s="25"/>
      <c r="U234" s="25"/>
      <c r="V234" s="25"/>
      <c r="W234" s="25"/>
    </row>
    <row r="235" spans="1:23" s="3" customFormat="1" ht="16.5" customHeight="1">
      <c r="A235" s="135" t="s">
        <v>12</v>
      </c>
      <c r="B235" s="119"/>
      <c r="C235" s="655"/>
      <c r="D235" s="27"/>
      <c r="E235" s="27"/>
      <c r="F235" s="27"/>
      <c r="G235" s="27"/>
      <c r="H235" s="25">
        <f>H237</f>
        <v>85035</v>
      </c>
      <c r="I235" s="164"/>
      <c r="J235" s="40"/>
      <c r="K235" s="44"/>
      <c r="L235" s="40"/>
      <c r="M235" s="40"/>
      <c r="N235" s="25"/>
      <c r="O235" s="25"/>
      <c r="P235" s="25"/>
      <c r="Q235" s="25"/>
      <c r="R235" s="25"/>
      <c r="S235" s="25"/>
      <c r="T235" s="25"/>
      <c r="U235" s="25"/>
      <c r="V235" s="25"/>
      <c r="W235" s="25"/>
    </row>
    <row r="236" spans="1:23" s="3" customFormat="1" ht="16.5" customHeight="1">
      <c r="A236" s="70" t="s">
        <v>127</v>
      </c>
      <c r="B236" s="166"/>
      <c r="C236" s="167"/>
      <c r="D236" s="50"/>
      <c r="E236" s="50"/>
      <c r="F236" s="27"/>
      <c r="G236" s="27"/>
      <c r="H236" s="51"/>
      <c r="I236" s="164"/>
      <c r="J236" s="40"/>
      <c r="K236" s="44"/>
      <c r="L236" s="40"/>
      <c r="M236" s="40"/>
      <c r="N236" s="25"/>
      <c r="O236" s="25"/>
      <c r="P236" s="25"/>
      <c r="Q236" s="25"/>
      <c r="R236" s="25"/>
      <c r="S236" s="25"/>
      <c r="T236" s="25"/>
      <c r="U236" s="25"/>
      <c r="V236" s="25"/>
      <c r="W236" s="25"/>
    </row>
    <row r="237" spans="1:23" s="3" customFormat="1" ht="16.5" customHeight="1">
      <c r="A237" s="180"/>
      <c r="B237" s="654" t="s">
        <v>280</v>
      </c>
      <c r="C237" s="167"/>
      <c r="D237" s="50"/>
      <c r="E237" s="50"/>
      <c r="F237" s="27"/>
      <c r="G237" s="27"/>
      <c r="H237" s="51">
        <f>23233+61802</f>
        <v>85035</v>
      </c>
      <c r="I237" s="164"/>
      <c r="J237" s="40"/>
      <c r="K237" s="44"/>
      <c r="L237" s="40"/>
      <c r="M237" s="40"/>
      <c r="N237" s="25"/>
      <c r="O237" s="25"/>
      <c r="P237" s="25"/>
      <c r="Q237" s="25"/>
      <c r="R237" s="25"/>
      <c r="S237" s="25"/>
      <c r="T237" s="25"/>
      <c r="U237" s="25"/>
      <c r="V237" s="25"/>
      <c r="W237" s="25"/>
    </row>
    <row r="238" spans="1:23" s="3" customFormat="1" ht="16.5" customHeight="1">
      <c r="A238" s="70"/>
      <c r="B238" s="184"/>
      <c r="C238" s="185"/>
      <c r="D238" s="22"/>
      <c r="E238" s="16"/>
      <c r="F238" s="27"/>
      <c r="G238" s="27"/>
      <c r="H238" s="51"/>
      <c r="I238" s="164"/>
      <c r="J238" s="40"/>
      <c r="K238" s="44"/>
      <c r="L238" s="40"/>
      <c r="M238" s="40"/>
      <c r="N238" s="25"/>
      <c r="O238" s="25"/>
      <c r="P238" s="25"/>
      <c r="Q238" s="25"/>
      <c r="R238" s="25"/>
      <c r="S238" s="25"/>
      <c r="T238" s="25"/>
      <c r="U238" s="25"/>
      <c r="V238" s="25"/>
      <c r="W238" s="25"/>
    </row>
    <row r="239" spans="1:23" s="3" customFormat="1" ht="16.5" customHeight="1">
      <c r="A239" s="135" t="s">
        <v>666</v>
      </c>
      <c r="B239" s="184"/>
      <c r="C239" s="185"/>
      <c r="D239" s="22"/>
      <c r="E239" s="16"/>
      <c r="F239" s="27"/>
      <c r="G239" s="27"/>
      <c r="H239" s="25">
        <f>H241+H244+H247</f>
        <v>844682</v>
      </c>
      <c r="I239" s="164"/>
      <c r="J239" s="40"/>
      <c r="K239" s="44"/>
      <c r="L239" s="40"/>
      <c r="M239" s="40"/>
      <c r="N239" s="25"/>
      <c r="O239" s="25"/>
      <c r="P239" s="25"/>
      <c r="Q239" s="25"/>
      <c r="R239" s="25"/>
      <c r="S239" s="25"/>
      <c r="T239" s="25"/>
      <c r="U239" s="25"/>
      <c r="V239" s="25"/>
      <c r="W239" s="25"/>
    </row>
    <row r="240" spans="1:23" s="3" customFormat="1" ht="16.5" customHeight="1">
      <c r="A240" s="70" t="s">
        <v>127</v>
      </c>
      <c r="B240" s="184"/>
      <c r="C240" s="185"/>
      <c r="D240" s="22"/>
      <c r="E240" s="16"/>
      <c r="F240" s="27"/>
      <c r="G240" s="27"/>
      <c r="H240" s="51"/>
      <c r="I240" s="164"/>
      <c r="J240" s="40"/>
      <c r="K240" s="44"/>
      <c r="L240" s="40"/>
      <c r="M240" s="40"/>
      <c r="N240" s="25"/>
      <c r="O240" s="25"/>
      <c r="P240" s="25"/>
      <c r="Q240" s="25"/>
      <c r="R240" s="25"/>
      <c r="S240" s="25"/>
      <c r="T240" s="25"/>
      <c r="U240" s="25"/>
      <c r="V240" s="25"/>
      <c r="W240" s="25"/>
    </row>
    <row r="241" spans="1:23" s="648" customFormat="1" ht="16.5" customHeight="1">
      <c r="A241" s="651"/>
      <c r="B241" s="651" t="s">
        <v>655</v>
      </c>
      <c r="C241" s="645"/>
      <c r="D241" s="646"/>
      <c r="E241" s="647"/>
      <c r="F241" s="652"/>
      <c r="G241" s="652"/>
      <c r="H241" s="53">
        <f>H242</f>
        <v>11032</v>
      </c>
      <c r="I241" s="518"/>
      <c r="J241" s="653"/>
      <c r="K241" s="519"/>
      <c r="L241" s="653"/>
      <c r="M241" s="653"/>
      <c r="N241" s="53"/>
      <c r="O241" s="53"/>
      <c r="P241" s="53"/>
      <c r="Q241" s="53"/>
      <c r="R241" s="53"/>
      <c r="S241" s="53"/>
      <c r="T241" s="53"/>
      <c r="U241" s="53"/>
      <c r="V241" s="53"/>
      <c r="W241" s="53"/>
    </row>
    <row r="242" spans="1:23" s="3" customFormat="1" ht="16.5" customHeight="1">
      <c r="A242" s="70"/>
      <c r="B242" s="28" t="s">
        <v>654</v>
      </c>
      <c r="C242" s="649"/>
      <c r="D242" s="650"/>
      <c r="E242" s="15"/>
      <c r="F242" s="27"/>
      <c r="G242" s="27"/>
      <c r="H242" s="51">
        <v>11032</v>
      </c>
      <c r="I242" s="164"/>
      <c r="J242" s="40"/>
      <c r="K242" s="44"/>
      <c r="L242" s="40"/>
      <c r="M242" s="40"/>
      <c r="N242" s="25"/>
      <c r="O242" s="25"/>
      <c r="P242" s="25"/>
      <c r="Q242" s="25"/>
      <c r="R242" s="25"/>
      <c r="S242" s="25"/>
      <c r="T242" s="25"/>
      <c r="U242" s="25"/>
      <c r="V242" s="25"/>
      <c r="W242" s="25"/>
    </row>
    <row r="243" spans="1:23" s="3" customFormat="1" ht="16.5" customHeight="1">
      <c r="A243" s="70"/>
      <c r="B243" s="28"/>
      <c r="C243" s="649"/>
      <c r="D243" s="650"/>
      <c r="E243" s="15"/>
      <c r="F243" s="27"/>
      <c r="G243" s="27"/>
      <c r="H243" s="51"/>
      <c r="I243" s="164"/>
      <c r="J243" s="40"/>
      <c r="K243" s="44"/>
      <c r="L243" s="40"/>
      <c r="M243" s="40"/>
      <c r="N243" s="25"/>
      <c r="O243" s="25"/>
      <c r="P243" s="25"/>
      <c r="Q243" s="25"/>
      <c r="R243" s="25"/>
      <c r="S243" s="25"/>
      <c r="T243" s="25"/>
      <c r="U243" s="25"/>
      <c r="V243" s="25"/>
      <c r="W243" s="25"/>
    </row>
    <row r="244" spans="1:23" s="648" customFormat="1" ht="16.5" customHeight="1">
      <c r="A244" s="651"/>
      <c r="B244" s="651" t="s">
        <v>656</v>
      </c>
      <c r="C244" s="702"/>
      <c r="D244" s="703"/>
      <c r="E244" s="54"/>
      <c r="F244" s="652"/>
      <c r="G244" s="652"/>
      <c r="H244" s="53">
        <f>H245</f>
        <v>5650</v>
      </c>
      <c r="I244" s="518"/>
      <c r="J244" s="653"/>
      <c r="K244" s="519"/>
      <c r="L244" s="653"/>
      <c r="M244" s="653"/>
      <c r="N244" s="53"/>
      <c r="O244" s="53"/>
      <c r="P244" s="53"/>
      <c r="Q244" s="53"/>
      <c r="R244" s="53"/>
      <c r="S244" s="53"/>
      <c r="T244" s="53"/>
      <c r="U244" s="53"/>
      <c r="V244" s="53"/>
      <c r="W244" s="53"/>
    </row>
    <row r="245" spans="1:23" s="3" customFormat="1" ht="16.5" customHeight="1">
      <c r="A245" s="70"/>
      <c r="B245" s="28" t="s">
        <v>657</v>
      </c>
      <c r="C245" s="649"/>
      <c r="D245" s="650"/>
      <c r="E245" s="15"/>
      <c r="F245" s="27"/>
      <c r="G245" s="27"/>
      <c r="H245" s="51">
        <v>5650</v>
      </c>
      <c r="I245" s="164"/>
      <c r="J245" s="40"/>
      <c r="K245" s="44"/>
      <c r="L245" s="40"/>
      <c r="M245" s="40"/>
      <c r="N245" s="25"/>
      <c r="O245" s="25"/>
      <c r="P245" s="25"/>
      <c r="Q245" s="25"/>
      <c r="R245" s="25"/>
      <c r="S245" s="25"/>
      <c r="T245" s="25"/>
      <c r="U245" s="25"/>
      <c r="V245" s="25"/>
      <c r="W245" s="25"/>
    </row>
    <row r="246" spans="1:23" s="3" customFormat="1" ht="16.5" customHeight="1">
      <c r="A246" s="70"/>
      <c r="B246" s="28"/>
      <c r="C246" s="649"/>
      <c r="D246" s="650"/>
      <c r="E246" s="15"/>
      <c r="F246" s="27"/>
      <c r="G246" s="27"/>
      <c r="H246" s="51"/>
      <c r="I246" s="164"/>
      <c r="J246" s="40"/>
      <c r="K246" s="44"/>
      <c r="L246" s="40"/>
      <c r="M246" s="40"/>
      <c r="N246" s="25"/>
      <c r="O246" s="25"/>
      <c r="P246" s="25"/>
      <c r="Q246" s="25"/>
      <c r="R246" s="25"/>
      <c r="S246" s="25"/>
      <c r="T246" s="25"/>
      <c r="U246" s="25"/>
      <c r="V246" s="25"/>
      <c r="W246" s="25"/>
    </row>
    <row r="247" spans="1:23" s="3" customFormat="1" ht="16.5" customHeight="1">
      <c r="A247" s="70"/>
      <c r="B247" s="651" t="s">
        <v>380</v>
      </c>
      <c r="C247" s="649"/>
      <c r="D247" s="650"/>
      <c r="E247" s="15"/>
      <c r="F247" s="27"/>
      <c r="G247" s="27"/>
      <c r="H247" s="53">
        <f>H248</f>
        <v>828000</v>
      </c>
      <c r="I247" s="164"/>
      <c r="J247" s="40"/>
      <c r="K247" s="44"/>
      <c r="L247" s="40"/>
      <c r="M247" s="40"/>
      <c r="N247" s="25"/>
      <c r="O247" s="25"/>
      <c r="P247" s="25"/>
      <c r="Q247" s="25"/>
      <c r="R247" s="25"/>
      <c r="S247" s="25"/>
      <c r="T247" s="25"/>
      <c r="U247" s="25"/>
      <c r="V247" s="25"/>
      <c r="W247" s="25"/>
    </row>
    <row r="248" spans="1:23" s="3" customFormat="1" ht="16.5" customHeight="1">
      <c r="A248" s="70"/>
      <c r="B248" s="28" t="s">
        <v>314</v>
      </c>
      <c r="C248" s="649"/>
      <c r="D248" s="650"/>
      <c r="E248" s="15"/>
      <c r="F248" s="27"/>
      <c r="G248" s="27"/>
      <c r="H248" s="51">
        <v>828000</v>
      </c>
      <c r="I248" s="164"/>
      <c r="J248" s="40"/>
      <c r="K248" s="44"/>
      <c r="L248" s="40"/>
      <c r="M248" s="40"/>
      <c r="N248" s="25"/>
      <c r="O248" s="25"/>
      <c r="P248" s="25"/>
      <c r="Q248" s="25"/>
      <c r="R248" s="25"/>
      <c r="S248" s="25"/>
      <c r="T248" s="25"/>
      <c r="U248" s="25"/>
      <c r="V248" s="25"/>
      <c r="W248" s="25"/>
    </row>
    <row r="249" spans="1:23" s="3" customFormat="1" ht="16.5" customHeight="1">
      <c r="A249" s="70"/>
      <c r="B249" s="28"/>
      <c r="C249" s="649"/>
      <c r="D249" s="650"/>
      <c r="E249" s="15"/>
      <c r="F249" s="27"/>
      <c r="G249" s="27"/>
      <c r="H249" s="51"/>
      <c r="I249" s="164"/>
      <c r="J249" s="40"/>
      <c r="K249" s="44"/>
      <c r="L249" s="40"/>
      <c r="M249" s="40"/>
      <c r="N249" s="25"/>
      <c r="O249" s="25"/>
      <c r="P249" s="25"/>
      <c r="Q249" s="25"/>
      <c r="R249" s="25"/>
      <c r="S249" s="25"/>
      <c r="T249" s="25"/>
      <c r="U249" s="25"/>
      <c r="V249" s="25"/>
      <c r="W249" s="25"/>
    </row>
    <row r="250" spans="1:23" s="3" customFormat="1" ht="16.5" customHeight="1">
      <c r="A250" s="135" t="s">
        <v>436</v>
      </c>
      <c r="B250" s="28"/>
      <c r="C250" s="649"/>
      <c r="D250" s="650"/>
      <c r="E250" s="15"/>
      <c r="F250" s="27"/>
      <c r="G250" s="27"/>
      <c r="H250" s="25">
        <f>H252</f>
        <v>4000</v>
      </c>
      <c r="I250" s="164"/>
      <c r="J250" s="40"/>
      <c r="K250" s="44"/>
      <c r="L250" s="40"/>
      <c r="M250" s="40"/>
      <c r="N250" s="25"/>
      <c r="O250" s="25"/>
      <c r="P250" s="25"/>
      <c r="Q250" s="25"/>
      <c r="R250" s="25"/>
      <c r="S250" s="25"/>
      <c r="T250" s="25"/>
      <c r="U250" s="25"/>
      <c r="V250" s="25"/>
      <c r="W250" s="25"/>
    </row>
    <row r="251" spans="1:23" s="3" customFormat="1" ht="16.5" customHeight="1">
      <c r="A251" s="70" t="s">
        <v>127</v>
      </c>
      <c r="B251" s="28"/>
      <c r="C251" s="649"/>
      <c r="D251" s="650"/>
      <c r="E251" s="15"/>
      <c r="F251" s="27"/>
      <c r="G251" s="27"/>
      <c r="H251" s="51"/>
      <c r="I251" s="164"/>
      <c r="J251" s="40"/>
      <c r="K251" s="44"/>
      <c r="L251" s="40"/>
      <c r="M251" s="40"/>
      <c r="N251" s="25"/>
      <c r="O251" s="25"/>
      <c r="P251" s="25"/>
      <c r="Q251" s="25"/>
      <c r="R251" s="25"/>
      <c r="S251" s="25"/>
      <c r="T251" s="25"/>
      <c r="U251" s="25"/>
      <c r="V251" s="25"/>
      <c r="W251" s="25"/>
    </row>
    <row r="252" spans="1:23" s="3" customFormat="1" ht="16.5" customHeight="1">
      <c r="A252" s="70"/>
      <c r="B252" s="28" t="s">
        <v>326</v>
      </c>
      <c r="C252" s="649"/>
      <c r="D252" s="650"/>
      <c r="E252" s="15"/>
      <c r="F252" s="27"/>
      <c r="G252" s="27"/>
      <c r="H252" s="51">
        <v>4000</v>
      </c>
      <c r="I252" s="164"/>
      <c r="J252" s="40"/>
      <c r="K252" s="44"/>
      <c r="L252" s="40"/>
      <c r="M252" s="40"/>
      <c r="N252" s="25"/>
      <c r="O252" s="25"/>
      <c r="P252" s="25"/>
      <c r="Q252" s="25"/>
      <c r="R252" s="25"/>
      <c r="S252" s="25"/>
      <c r="T252" s="25"/>
      <c r="U252" s="25"/>
      <c r="V252" s="25"/>
      <c r="W252" s="25"/>
    </row>
    <row r="253" spans="1:23" s="3" customFormat="1" ht="16.5" customHeight="1">
      <c r="A253" s="70"/>
      <c r="B253" s="28"/>
      <c r="C253" s="649"/>
      <c r="D253" s="650"/>
      <c r="E253" s="15"/>
      <c r="F253" s="27"/>
      <c r="G253" s="27"/>
      <c r="H253" s="51"/>
      <c r="I253" s="164"/>
      <c r="J253" s="40"/>
      <c r="K253" s="44"/>
      <c r="L253" s="40"/>
      <c r="M253" s="40"/>
      <c r="N253" s="25"/>
      <c r="O253" s="25"/>
      <c r="P253" s="25"/>
      <c r="Q253" s="25"/>
      <c r="R253" s="25"/>
      <c r="S253" s="25"/>
      <c r="T253" s="25"/>
      <c r="U253" s="25"/>
      <c r="V253" s="25"/>
      <c r="W253" s="25"/>
    </row>
    <row r="254" spans="1:23" s="3" customFormat="1" ht="16.5" customHeight="1">
      <c r="A254" s="135" t="s">
        <v>430</v>
      </c>
      <c r="B254" s="28"/>
      <c r="C254" s="649"/>
      <c r="D254" s="650"/>
      <c r="E254" s="15"/>
      <c r="F254" s="27"/>
      <c r="G254" s="27"/>
      <c r="H254" s="25">
        <f>H257</f>
        <v>20000</v>
      </c>
      <c r="I254" s="164"/>
      <c r="J254" s="40"/>
      <c r="K254" s="44"/>
      <c r="L254" s="40"/>
      <c r="M254" s="40"/>
      <c r="N254" s="25"/>
      <c r="O254" s="25"/>
      <c r="P254" s="25"/>
      <c r="Q254" s="25"/>
      <c r="R254" s="25"/>
      <c r="S254" s="25"/>
      <c r="T254" s="25"/>
      <c r="U254" s="25"/>
      <c r="V254" s="25"/>
      <c r="W254" s="25"/>
    </row>
    <row r="255" spans="1:23" s="3" customFormat="1" ht="16.5" customHeight="1">
      <c r="A255" s="70" t="s">
        <v>127</v>
      </c>
      <c r="B255" s="28"/>
      <c r="C255" s="649"/>
      <c r="D255" s="650"/>
      <c r="E255" s="15"/>
      <c r="F255" s="27"/>
      <c r="G255" s="27"/>
      <c r="H255" s="51"/>
      <c r="I255" s="164"/>
      <c r="J255" s="40"/>
      <c r="K255" s="44"/>
      <c r="L255" s="40"/>
      <c r="M255" s="40"/>
      <c r="N255" s="25"/>
      <c r="O255" s="25"/>
      <c r="P255" s="25"/>
      <c r="Q255" s="25"/>
      <c r="R255" s="25"/>
      <c r="S255" s="25"/>
      <c r="T255" s="25"/>
      <c r="U255" s="25"/>
      <c r="V255" s="25"/>
      <c r="W255" s="25"/>
    </row>
    <row r="256" spans="1:23" s="3" customFormat="1" ht="16.5" customHeight="1">
      <c r="A256" s="70"/>
      <c r="B256" s="28" t="s">
        <v>433</v>
      </c>
      <c r="C256" s="649"/>
      <c r="D256" s="650"/>
      <c r="E256" s="15"/>
      <c r="F256" s="27"/>
      <c r="G256" s="27"/>
      <c r="H256" s="51"/>
      <c r="I256" s="164"/>
      <c r="J256" s="40"/>
      <c r="K256" s="44"/>
      <c r="L256" s="40"/>
      <c r="M256" s="40"/>
      <c r="N256" s="25"/>
      <c r="O256" s="25"/>
      <c r="P256" s="25"/>
      <c r="Q256" s="25"/>
      <c r="R256" s="25"/>
      <c r="S256" s="25"/>
      <c r="T256" s="25"/>
      <c r="U256" s="25"/>
      <c r="V256" s="25"/>
      <c r="W256" s="25"/>
    </row>
    <row r="257" spans="1:23" s="3" customFormat="1" ht="16.5" customHeight="1">
      <c r="A257" s="70"/>
      <c r="B257" s="28" t="s">
        <v>434</v>
      </c>
      <c r="C257" s="649"/>
      <c r="D257" s="650"/>
      <c r="E257" s="15"/>
      <c r="F257" s="27"/>
      <c r="G257" s="27"/>
      <c r="H257" s="51">
        <v>20000</v>
      </c>
      <c r="I257" s="164"/>
      <c r="J257" s="40"/>
      <c r="K257" s="44"/>
      <c r="L257" s="40"/>
      <c r="M257" s="40"/>
      <c r="N257" s="25"/>
      <c r="O257" s="25"/>
      <c r="P257" s="25"/>
      <c r="Q257" s="25"/>
      <c r="R257" s="25"/>
      <c r="S257" s="25"/>
      <c r="T257" s="25"/>
      <c r="U257" s="25"/>
      <c r="V257" s="25"/>
      <c r="W257" s="25"/>
    </row>
    <row r="258" spans="1:23" s="3" customFormat="1" ht="16.5" customHeight="1">
      <c r="A258" s="70"/>
      <c r="B258" s="28"/>
      <c r="C258" s="649"/>
      <c r="D258" s="650"/>
      <c r="E258" s="15"/>
      <c r="F258" s="27"/>
      <c r="G258" s="27"/>
      <c r="H258" s="51"/>
      <c r="I258" s="164"/>
      <c r="J258" s="40"/>
      <c r="K258" s="44"/>
      <c r="L258" s="40"/>
      <c r="M258" s="40"/>
      <c r="N258" s="25"/>
      <c r="O258" s="25"/>
      <c r="P258" s="25"/>
      <c r="Q258" s="25"/>
      <c r="R258" s="25"/>
      <c r="S258" s="25"/>
      <c r="T258" s="25"/>
      <c r="U258" s="25"/>
      <c r="V258" s="25"/>
      <c r="W258" s="25"/>
    </row>
    <row r="259" spans="1:23" s="3" customFormat="1" ht="16.5" customHeight="1">
      <c r="A259" s="70"/>
      <c r="B259" s="28"/>
      <c r="C259" s="649"/>
      <c r="D259" s="650"/>
      <c r="E259" s="15"/>
      <c r="F259" s="27"/>
      <c r="G259" s="27"/>
      <c r="H259" s="51"/>
      <c r="I259" s="164"/>
      <c r="J259" s="40"/>
      <c r="K259" s="44"/>
      <c r="L259" s="40"/>
      <c r="M259" s="40"/>
      <c r="N259" s="25"/>
      <c r="O259" s="25"/>
      <c r="P259" s="25"/>
      <c r="Q259" s="25"/>
      <c r="R259" s="25"/>
      <c r="S259" s="25"/>
      <c r="T259" s="25"/>
      <c r="U259" s="25"/>
      <c r="V259" s="25"/>
      <c r="W259" s="25"/>
    </row>
    <row r="260" spans="1:23" s="3" customFormat="1" ht="16.5" customHeight="1">
      <c r="A260" s="180" t="s">
        <v>358</v>
      </c>
      <c r="B260" s="28"/>
      <c r="C260" s="649"/>
      <c r="D260" s="650"/>
      <c r="E260" s="15"/>
      <c r="F260" s="27"/>
      <c r="G260" s="27"/>
      <c r="H260" s="51"/>
      <c r="I260" s="164"/>
      <c r="J260" s="40"/>
      <c r="K260" s="44"/>
      <c r="L260" s="40"/>
      <c r="M260" s="40"/>
      <c r="N260" s="25"/>
      <c r="O260" s="25"/>
      <c r="P260" s="25"/>
      <c r="Q260" s="25"/>
      <c r="R260" s="25"/>
      <c r="S260" s="25"/>
      <c r="T260" s="25"/>
      <c r="U260" s="25"/>
      <c r="V260" s="25"/>
      <c r="W260" s="25"/>
    </row>
    <row r="261" spans="1:23" s="3" customFormat="1" ht="16.5" customHeight="1">
      <c r="A261" s="180"/>
      <c r="B261" s="28"/>
      <c r="C261" s="649"/>
      <c r="D261" s="650"/>
      <c r="E261" s="15"/>
      <c r="F261" s="27"/>
      <c r="G261" s="27"/>
      <c r="H261" s="51"/>
      <c r="I261" s="164"/>
      <c r="J261" s="40"/>
      <c r="K261" s="44"/>
      <c r="L261" s="40"/>
      <c r="M261" s="40"/>
      <c r="N261" s="25"/>
      <c r="O261" s="25"/>
      <c r="P261" s="25"/>
      <c r="Q261" s="25"/>
      <c r="R261" s="25"/>
      <c r="S261" s="25"/>
      <c r="T261" s="25"/>
      <c r="U261" s="25"/>
      <c r="V261" s="25"/>
      <c r="W261" s="25"/>
    </row>
    <row r="262" spans="1:23" s="3" customFormat="1" ht="16.5" customHeight="1">
      <c r="A262" s="70"/>
      <c r="B262" s="28"/>
      <c r="C262" s="649"/>
      <c r="D262" s="650"/>
      <c r="E262" s="15"/>
      <c r="F262" s="27"/>
      <c r="G262" s="27"/>
      <c r="H262" s="51"/>
      <c r="I262" s="164"/>
      <c r="J262" s="40"/>
      <c r="K262" s="44"/>
      <c r="L262" s="40"/>
      <c r="M262" s="40"/>
      <c r="N262" s="25"/>
      <c r="O262" s="25"/>
      <c r="P262" s="25"/>
      <c r="Q262" s="25"/>
      <c r="R262" s="25"/>
      <c r="S262" s="25"/>
      <c r="T262" s="25"/>
      <c r="U262" s="25"/>
      <c r="V262" s="25"/>
      <c r="W262" s="25"/>
    </row>
    <row r="263" spans="1:23" s="3" customFormat="1" ht="15" customHeight="1">
      <c r="A263" s="182" t="s">
        <v>52</v>
      </c>
      <c r="B263" s="181"/>
      <c r="C263" s="183"/>
      <c r="D263" s="50"/>
      <c r="E263" s="50"/>
      <c r="F263" s="50"/>
      <c r="G263" s="50"/>
      <c r="H263" s="25">
        <f>H265+H281+H297</f>
        <v>1018000</v>
      </c>
      <c r="I263" s="164"/>
      <c r="J263" s="52"/>
      <c r="K263" s="44"/>
      <c r="L263" s="52"/>
      <c r="M263" s="52"/>
      <c r="N263" s="51"/>
      <c r="O263" s="51"/>
      <c r="P263" s="51"/>
      <c r="Q263" s="51"/>
      <c r="R263" s="51"/>
      <c r="S263" s="51"/>
      <c r="T263" s="51"/>
      <c r="U263" s="51"/>
      <c r="V263" s="51"/>
      <c r="W263" s="51"/>
    </row>
    <row r="264" spans="1:23" s="3" customFormat="1" ht="15" customHeight="1">
      <c r="A264" s="70" t="s">
        <v>127</v>
      </c>
      <c r="B264" s="184"/>
      <c r="C264" s="183"/>
      <c r="D264" s="50"/>
      <c r="E264" s="50"/>
      <c r="F264" s="50"/>
      <c r="G264" s="50"/>
      <c r="H264" s="25"/>
      <c r="I264" s="164"/>
      <c r="J264" s="52"/>
      <c r="K264" s="44"/>
      <c r="L264" s="52"/>
      <c r="M264" s="52"/>
      <c r="N264" s="51"/>
      <c r="O264" s="51"/>
      <c r="P264" s="51"/>
      <c r="Q264" s="51"/>
      <c r="R264" s="51"/>
      <c r="S264" s="51"/>
      <c r="T264" s="51"/>
      <c r="U264" s="51"/>
      <c r="V264" s="51"/>
      <c r="W264" s="51"/>
    </row>
    <row r="265" spans="1:23" s="3" customFormat="1" ht="15" customHeight="1">
      <c r="A265" s="135" t="s">
        <v>359</v>
      </c>
      <c r="B265" s="184"/>
      <c r="C265" s="183"/>
      <c r="D265" s="50"/>
      <c r="E265" s="50"/>
      <c r="F265" s="50"/>
      <c r="G265" s="50"/>
      <c r="H265" s="25">
        <f>H267+H269</f>
        <v>1018000</v>
      </c>
      <c r="I265" s="164"/>
      <c r="J265" s="52"/>
      <c r="K265" s="44"/>
      <c r="L265" s="52"/>
      <c r="M265" s="52"/>
      <c r="N265" s="51"/>
      <c r="O265" s="51"/>
      <c r="P265" s="51"/>
      <c r="Q265" s="51"/>
      <c r="R265" s="51"/>
      <c r="S265" s="51"/>
      <c r="T265" s="51"/>
      <c r="U265" s="51"/>
      <c r="V265" s="51"/>
      <c r="W265" s="51"/>
    </row>
    <row r="266" spans="1:23" s="3" customFormat="1" ht="15" customHeight="1">
      <c r="A266" s="70" t="s">
        <v>127</v>
      </c>
      <c r="B266" s="184"/>
      <c r="C266" s="183"/>
      <c r="D266" s="50"/>
      <c r="E266" s="50"/>
      <c r="F266" s="50"/>
      <c r="G266" s="50"/>
      <c r="H266" s="25"/>
      <c r="I266" s="164"/>
      <c r="J266" s="52"/>
      <c r="K266" s="44"/>
      <c r="L266" s="52"/>
      <c r="M266" s="52"/>
      <c r="N266" s="51"/>
      <c r="O266" s="51"/>
      <c r="P266" s="51"/>
      <c r="Q266" s="51"/>
      <c r="R266" s="51"/>
      <c r="S266" s="51"/>
      <c r="T266" s="51"/>
      <c r="U266" s="51"/>
      <c r="V266" s="51"/>
      <c r="W266" s="51"/>
    </row>
    <row r="267" spans="1:23" s="3" customFormat="1" ht="16.5" customHeight="1">
      <c r="A267" s="70"/>
      <c r="B267" s="28" t="s">
        <v>610</v>
      </c>
      <c r="C267" s="649"/>
      <c r="D267" s="650"/>
      <c r="E267" s="15"/>
      <c r="F267" s="27"/>
      <c r="G267" s="27"/>
      <c r="H267" s="51">
        <f>828000+125000</f>
        <v>953000</v>
      </c>
      <c r="I267" s="164"/>
      <c r="J267" s="40"/>
      <c r="K267" s="44"/>
      <c r="L267" s="40"/>
      <c r="M267" s="40"/>
      <c r="N267" s="25"/>
      <c r="O267" s="25"/>
      <c r="P267" s="25"/>
      <c r="Q267" s="25"/>
      <c r="R267" s="25"/>
      <c r="S267" s="25"/>
      <c r="T267" s="25"/>
      <c r="U267" s="25"/>
      <c r="V267" s="25"/>
      <c r="W267" s="25"/>
    </row>
    <row r="268" spans="1:23" s="3" customFormat="1" ht="16.5" customHeight="1">
      <c r="A268" s="70"/>
      <c r="B268" s="28"/>
      <c r="C268" s="649"/>
      <c r="D268" s="650"/>
      <c r="E268" s="15"/>
      <c r="F268" s="27"/>
      <c r="G268" s="27"/>
      <c r="H268" s="51"/>
      <c r="I268" s="164"/>
      <c r="J268" s="40"/>
      <c r="K268" s="44"/>
      <c r="L268" s="40"/>
      <c r="M268" s="40"/>
      <c r="N268" s="25"/>
      <c r="O268" s="25"/>
      <c r="P268" s="25"/>
      <c r="Q268" s="25"/>
      <c r="R268" s="25"/>
      <c r="S268" s="25"/>
      <c r="T268" s="25"/>
      <c r="U268" s="25"/>
      <c r="V268" s="25"/>
      <c r="W268" s="25"/>
    </row>
    <row r="269" spans="1:23" s="3" customFormat="1" ht="16.5" customHeight="1">
      <c r="A269" s="70"/>
      <c r="B269" s="28" t="s">
        <v>267</v>
      </c>
      <c r="C269" s="649"/>
      <c r="D269" s="650"/>
      <c r="E269" s="15"/>
      <c r="F269" s="27"/>
      <c r="G269" s="27"/>
      <c r="H269" s="51">
        <v>65000</v>
      </c>
      <c r="I269" s="164"/>
      <c r="J269" s="40"/>
      <c r="K269" s="44"/>
      <c r="L269" s="40"/>
      <c r="M269" s="40"/>
      <c r="N269" s="25"/>
      <c r="O269" s="25"/>
      <c r="P269" s="25"/>
      <c r="Q269" s="25"/>
      <c r="R269" s="25"/>
      <c r="S269" s="25"/>
      <c r="T269" s="25"/>
      <c r="U269" s="25"/>
      <c r="V269" s="25"/>
      <c r="W269" s="25"/>
    </row>
    <row r="270" spans="1:23" s="3" customFormat="1" ht="16.5" customHeight="1">
      <c r="A270" s="70"/>
      <c r="B270" s="28"/>
      <c r="C270" s="649"/>
      <c r="D270" s="650"/>
      <c r="E270" s="15"/>
      <c r="F270" s="27"/>
      <c r="G270" s="27"/>
      <c r="H270" s="51"/>
      <c r="I270" s="164"/>
      <c r="J270" s="40"/>
      <c r="K270" s="44"/>
      <c r="L270" s="40"/>
      <c r="M270" s="40"/>
      <c r="N270" s="25"/>
      <c r="O270" s="25"/>
      <c r="P270" s="25"/>
      <c r="Q270" s="25"/>
      <c r="R270" s="25"/>
      <c r="S270" s="25"/>
      <c r="T270" s="25"/>
      <c r="U270" s="25"/>
      <c r="V270" s="25"/>
      <c r="W270" s="25"/>
    </row>
    <row r="271" spans="1:23" s="3" customFormat="1" ht="16.5" customHeight="1">
      <c r="A271" s="70"/>
      <c r="B271" s="28"/>
      <c r="C271" s="649"/>
      <c r="D271" s="650"/>
      <c r="E271" s="15"/>
      <c r="F271" s="27"/>
      <c r="G271" s="27"/>
      <c r="H271" s="51"/>
      <c r="I271" s="164"/>
      <c r="J271" s="40"/>
      <c r="K271" s="44"/>
      <c r="L271" s="40"/>
      <c r="M271" s="40"/>
      <c r="N271" s="25"/>
      <c r="O271" s="25"/>
      <c r="P271" s="25"/>
      <c r="Q271" s="25"/>
      <c r="R271" s="25"/>
      <c r="S271" s="25"/>
      <c r="T271" s="25"/>
      <c r="U271" s="25"/>
      <c r="V271" s="25"/>
      <c r="W271" s="25"/>
    </row>
    <row r="272" spans="1:23" s="3" customFormat="1" ht="17.25" customHeight="1">
      <c r="A272" s="182" t="s">
        <v>138</v>
      </c>
      <c r="B272" s="181"/>
      <c r="C272" s="183"/>
      <c r="D272" s="50"/>
      <c r="E272" s="50"/>
      <c r="F272" s="50"/>
      <c r="G272" s="50"/>
      <c r="H272" s="53">
        <f>H274</f>
        <v>68403</v>
      </c>
      <c r="I272" s="164"/>
      <c r="J272" s="52"/>
      <c r="K272" s="44"/>
      <c r="L272" s="52"/>
      <c r="M272" s="52"/>
      <c r="N272" s="51"/>
      <c r="O272" s="51"/>
      <c r="P272" s="51"/>
      <c r="Q272" s="51"/>
      <c r="R272" s="51"/>
      <c r="S272" s="51"/>
      <c r="T272" s="51"/>
      <c r="U272" s="51"/>
      <c r="V272" s="51"/>
      <c r="W272" s="51"/>
    </row>
    <row r="273" spans="1:23" s="3" customFormat="1" ht="16.5" customHeight="1">
      <c r="A273" s="70" t="s">
        <v>127</v>
      </c>
      <c r="B273" s="184"/>
      <c r="C273" s="185"/>
      <c r="D273" s="22"/>
      <c r="E273" s="16"/>
      <c r="F273" s="27"/>
      <c r="G273" s="27"/>
      <c r="H273" s="51"/>
      <c r="I273" s="164"/>
      <c r="J273" s="40"/>
      <c r="K273" s="44"/>
      <c r="L273" s="40"/>
      <c r="M273" s="40"/>
      <c r="N273" s="25"/>
      <c r="O273" s="25"/>
      <c r="P273" s="25"/>
      <c r="Q273" s="25"/>
      <c r="R273" s="25"/>
      <c r="S273" s="25"/>
      <c r="T273" s="25"/>
      <c r="U273" s="25"/>
      <c r="V273" s="25"/>
      <c r="W273" s="25"/>
    </row>
    <row r="274" spans="1:23" s="3" customFormat="1" ht="16.5" customHeight="1">
      <c r="A274" s="135" t="s">
        <v>362</v>
      </c>
      <c r="B274" s="184"/>
      <c r="C274" s="185"/>
      <c r="D274" s="22"/>
      <c r="E274" s="16"/>
      <c r="F274" s="27"/>
      <c r="G274" s="27"/>
      <c r="H274" s="25">
        <f>H277+H280+H282</f>
        <v>68403</v>
      </c>
      <c r="I274" s="164"/>
      <c r="J274" s="40"/>
      <c r="K274" s="44"/>
      <c r="L274" s="40"/>
      <c r="M274" s="40"/>
      <c r="N274" s="25"/>
      <c r="O274" s="25"/>
      <c r="P274" s="25"/>
      <c r="Q274" s="25"/>
      <c r="R274" s="25"/>
      <c r="S274" s="25"/>
      <c r="T274" s="25"/>
      <c r="U274" s="25"/>
      <c r="V274" s="25"/>
      <c r="W274" s="25"/>
    </row>
    <row r="275" spans="1:23" s="3" customFormat="1" ht="16.5" customHeight="1">
      <c r="A275" s="70" t="s">
        <v>127</v>
      </c>
      <c r="B275" s="184"/>
      <c r="C275" s="185"/>
      <c r="D275" s="22"/>
      <c r="E275" s="16"/>
      <c r="F275" s="27"/>
      <c r="G275" s="27"/>
      <c r="H275" s="51"/>
      <c r="I275" s="164"/>
      <c r="J275" s="40"/>
      <c r="K275" s="44"/>
      <c r="L275" s="40"/>
      <c r="M275" s="40"/>
      <c r="N275" s="25"/>
      <c r="O275" s="25"/>
      <c r="P275" s="25"/>
      <c r="Q275" s="25"/>
      <c r="R275" s="25"/>
      <c r="S275" s="25"/>
      <c r="T275" s="25"/>
      <c r="U275" s="25"/>
      <c r="V275" s="25"/>
      <c r="W275" s="25"/>
    </row>
    <row r="276" spans="1:23" s="3" customFormat="1" ht="16.5" customHeight="1">
      <c r="A276" s="70"/>
      <c r="B276" s="28" t="s">
        <v>364</v>
      </c>
      <c r="C276" s="649"/>
      <c r="D276" s="650"/>
      <c r="E276" s="15"/>
      <c r="F276" s="27"/>
      <c r="G276" s="27"/>
      <c r="H276" s="51"/>
      <c r="I276" s="164"/>
      <c r="J276" s="40"/>
      <c r="K276" s="44"/>
      <c r="L276" s="40"/>
      <c r="M276" s="40"/>
      <c r="N276" s="25"/>
      <c r="O276" s="25"/>
      <c r="P276" s="25"/>
      <c r="Q276" s="25"/>
      <c r="R276" s="25"/>
      <c r="S276" s="25"/>
      <c r="T276" s="25"/>
      <c r="U276" s="25"/>
      <c r="V276" s="25"/>
      <c r="W276" s="25"/>
    </row>
    <row r="277" spans="1:23" s="3" customFormat="1" ht="16.5" customHeight="1">
      <c r="A277" s="70"/>
      <c r="B277" s="28" t="s">
        <v>365</v>
      </c>
      <c r="C277" s="649"/>
      <c r="D277" s="650"/>
      <c r="E277" s="15"/>
      <c r="F277" s="27"/>
      <c r="G277" s="27"/>
      <c r="H277" s="51">
        <f>15000</f>
        <v>15000</v>
      </c>
      <c r="I277" s="164"/>
      <c r="J277" s="40"/>
      <c r="K277" s="44"/>
      <c r="L277" s="40"/>
      <c r="M277" s="40"/>
      <c r="N277" s="25"/>
      <c r="O277" s="25"/>
      <c r="P277" s="25"/>
      <c r="Q277" s="25"/>
      <c r="R277" s="25"/>
      <c r="S277" s="25"/>
      <c r="T277" s="25"/>
      <c r="U277" s="25"/>
      <c r="V277" s="25"/>
      <c r="W277" s="25"/>
    </row>
    <row r="278" spans="1:23" s="3" customFormat="1" ht="16.5" customHeight="1">
      <c r="A278" s="70"/>
      <c r="B278" s="28"/>
      <c r="C278" s="649"/>
      <c r="D278" s="650"/>
      <c r="E278" s="15"/>
      <c r="F278" s="27"/>
      <c r="G278" s="27"/>
      <c r="H278" s="51"/>
      <c r="I278" s="164"/>
      <c r="J278" s="40"/>
      <c r="K278" s="44"/>
      <c r="L278" s="40"/>
      <c r="M278" s="40"/>
      <c r="N278" s="25"/>
      <c r="O278" s="25"/>
      <c r="P278" s="25"/>
      <c r="Q278" s="25"/>
      <c r="R278" s="25"/>
      <c r="S278" s="25"/>
      <c r="T278" s="25"/>
      <c r="U278" s="25"/>
      <c r="V278" s="25"/>
      <c r="W278" s="25"/>
    </row>
    <row r="279" spans="1:23" s="3" customFormat="1" ht="16.5" customHeight="1">
      <c r="A279" s="70"/>
      <c r="B279" s="28" t="s">
        <v>361</v>
      </c>
      <c r="C279" s="649"/>
      <c r="D279" s="650"/>
      <c r="E279" s="15"/>
      <c r="F279" s="27"/>
      <c r="G279" s="27"/>
      <c r="H279" s="51"/>
      <c r="I279" s="164"/>
      <c r="J279" s="40"/>
      <c r="K279" s="44"/>
      <c r="L279" s="40"/>
      <c r="M279" s="40"/>
      <c r="N279" s="25"/>
      <c r="O279" s="25"/>
      <c r="P279" s="25"/>
      <c r="Q279" s="25"/>
      <c r="R279" s="25"/>
      <c r="S279" s="25"/>
      <c r="T279" s="25"/>
      <c r="U279" s="25"/>
      <c r="V279" s="25"/>
      <c r="W279" s="25"/>
    </row>
    <row r="280" spans="1:23" s="3" customFormat="1" ht="16.5" customHeight="1">
      <c r="A280" s="70"/>
      <c r="B280" s="28" t="s">
        <v>360</v>
      </c>
      <c r="C280" s="649"/>
      <c r="D280" s="650"/>
      <c r="E280" s="15"/>
      <c r="F280" s="27"/>
      <c r="G280" s="27"/>
      <c r="H280" s="51">
        <f>69000-27597</f>
        <v>41403</v>
      </c>
      <c r="I280" s="164"/>
      <c r="J280" s="40"/>
      <c r="K280" s="44"/>
      <c r="L280" s="40"/>
      <c r="M280" s="40"/>
      <c r="N280" s="25"/>
      <c r="O280" s="25"/>
      <c r="P280" s="25"/>
      <c r="Q280" s="25"/>
      <c r="R280" s="25"/>
      <c r="S280" s="25"/>
      <c r="T280" s="25"/>
      <c r="U280" s="25"/>
      <c r="V280" s="25"/>
      <c r="W280" s="25"/>
    </row>
    <row r="281" spans="1:23" s="3" customFormat="1" ht="16.5" customHeight="1">
      <c r="A281" s="70"/>
      <c r="B281" s="28"/>
      <c r="C281" s="649"/>
      <c r="D281" s="650"/>
      <c r="E281" s="15"/>
      <c r="F281" s="27"/>
      <c r="G281" s="27"/>
      <c r="H281" s="51"/>
      <c r="I281" s="164"/>
      <c r="J281" s="40"/>
      <c r="K281" s="44"/>
      <c r="L281" s="40"/>
      <c r="M281" s="40"/>
      <c r="N281" s="25"/>
      <c r="O281" s="25"/>
      <c r="P281" s="25"/>
      <c r="Q281" s="25"/>
      <c r="R281" s="25"/>
      <c r="S281" s="25"/>
      <c r="T281" s="25"/>
      <c r="U281" s="25"/>
      <c r="V281" s="25"/>
      <c r="W281" s="25"/>
    </row>
    <row r="282" spans="1:23" s="3" customFormat="1" ht="16.5" customHeight="1">
      <c r="A282" s="70"/>
      <c r="B282" s="28" t="s">
        <v>383</v>
      </c>
      <c r="C282" s="649"/>
      <c r="D282" s="650"/>
      <c r="E282" s="15"/>
      <c r="F282" s="27"/>
      <c r="G282" s="27"/>
      <c r="H282" s="51">
        <v>12000</v>
      </c>
      <c r="I282" s="164"/>
      <c r="J282" s="40"/>
      <c r="K282" s="44"/>
      <c r="L282" s="40"/>
      <c r="M282" s="40"/>
      <c r="N282" s="25"/>
      <c r="O282" s="25"/>
      <c r="P282" s="25"/>
      <c r="Q282" s="25"/>
      <c r="R282" s="25"/>
      <c r="S282" s="25"/>
      <c r="T282" s="25"/>
      <c r="U282" s="25"/>
      <c r="V282" s="25"/>
      <c r="W282" s="25"/>
    </row>
    <row r="283" spans="1:23" s="3" customFormat="1" ht="16.5" customHeight="1">
      <c r="A283" s="70"/>
      <c r="B283" s="28"/>
      <c r="C283" s="649"/>
      <c r="D283" s="650"/>
      <c r="E283" s="15"/>
      <c r="F283" s="27"/>
      <c r="G283" s="27"/>
      <c r="H283" s="51"/>
      <c r="I283" s="164"/>
      <c r="J283" s="40"/>
      <c r="K283" s="44"/>
      <c r="L283" s="40"/>
      <c r="M283" s="40"/>
      <c r="N283" s="25"/>
      <c r="O283" s="25"/>
      <c r="P283" s="25"/>
      <c r="Q283" s="25"/>
      <c r="R283" s="25"/>
      <c r="S283" s="25"/>
      <c r="T283" s="25"/>
      <c r="U283" s="25"/>
      <c r="V283" s="25"/>
      <c r="W283" s="25"/>
    </row>
    <row r="284" spans="1:23" s="3" customFormat="1" ht="16.5" customHeight="1">
      <c r="A284" s="70"/>
      <c r="B284" s="28"/>
      <c r="C284" s="649"/>
      <c r="D284" s="650"/>
      <c r="E284" s="15"/>
      <c r="F284" s="27"/>
      <c r="G284" s="27"/>
      <c r="H284" s="51"/>
      <c r="I284" s="164"/>
      <c r="J284" s="40"/>
      <c r="K284" s="44"/>
      <c r="L284" s="40"/>
      <c r="M284" s="40"/>
      <c r="N284" s="25"/>
      <c r="O284" s="25"/>
      <c r="P284" s="25"/>
      <c r="Q284" s="25"/>
      <c r="R284" s="25"/>
      <c r="S284" s="25"/>
      <c r="T284" s="25"/>
      <c r="U284" s="25"/>
      <c r="V284" s="25"/>
      <c r="W284" s="25"/>
    </row>
    <row r="285" spans="1:23" s="3" customFormat="1" ht="16.5" customHeight="1">
      <c r="A285" s="155"/>
      <c r="B285" s="70"/>
      <c r="C285" s="167"/>
      <c r="D285" s="50"/>
      <c r="E285" s="50"/>
      <c r="F285" s="50"/>
      <c r="G285" s="50"/>
      <c r="H285" s="51"/>
      <c r="I285" s="520"/>
      <c r="J285" s="52"/>
      <c r="K285" s="521"/>
      <c r="L285" s="52"/>
      <c r="M285" s="52"/>
      <c r="N285" s="51"/>
      <c r="O285" s="51"/>
      <c r="P285" s="51"/>
      <c r="Q285" s="51"/>
      <c r="R285" s="51"/>
      <c r="S285" s="51"/>
      <c r="T285" s="51"/>
      <c r="U285" s="51"/>
      <c r="V285" s="51"/>
      <c r="W285" s="51"/>
    </row>
    <row r="286" spans="1:23" s="3" customFormat="1" ht="17.25" customHeight="1">
      <c r="A286" s="186" t="s">
        <v>172</v>
      </c>
      <c r="B286" s="186"/>
      <c r="C286" s="179"/>
      <c r="D286" s="22"/>
      <c r="E286" s="16"/>
      <c r="F286" s="50"/>
      <c r="G286" s="50"/>
      <c r="H286" s="51"/>
      <c r="I286" s="164"/>
      <c r="J286" s="52"/>
      <c r="K286" s="44"/>
      <c r="L286" s="52"/>
      <c r="M286" s="52"/>
      <c r="N286" s="51"/>
      <c r="O286" s="51"/>
      <c r="P286" s="51"/>
      <c r="Q286" s="51"/>
      <c r="R286" s="51"/>
      <c r="S286" s="51"/>
      <c r="T286" s="51"/>
      <c r="U286" s="51"/>
      <c r="V286" s="51"/>
      <c r="W286" s="51"/>
    </row>
    <row r="287" spans="1:23" s="3" customFormat="1" ht="17.25" customHeight="1">
      <c r="A287" s="186" t="s">
        <v>173</v>
      </c>
      <c r="B287" s="186"/>
      <c r="C287" s="179"/>
      <c r="D287" s="22"/>
      <c r="E287" s="16"/>
      <c r="F287" s="50"/>
      <c r="G287" s="50"/>
      <c r="H287" s="51"/>
      <c r="I287" s="164"/>
      <c r="J287" s="52"/>
      <c r="K287" s="44"/>
      <c r="L287" s="52"/>
      <c r="M287" s="52"/>
      <c r="N287" s="51"/>
      <c r="O287" s="51"/>
      <c r="P287" s="51"/>
      <c r="Q287" s="51"/>
      <c r="R287" s="51"/>
      <c r="S287" s="51"/>
      <c r="T287" s="51"/>
      <c r="U287" s="51"/>
      <c r="V287" s="51"/>
      <c r="W287" s="51"/>
    </row>
    <row r="288" spans="1:23" s="3" customFormat="1" ht="17.25" customHeight="1">
      <c r="A288" s="186"/>
      <c r="B288" s="186"/>
      <c r="C288" s="179"/>
      <c r="D288" s="22"/>
      <c r="E288" s="16"/>
      <c r="F288" s="50"/>
      <c r="G288" s="50"/>
      <c r="H288" s="51"/>
      <c r="I288" s="164"/>
      <c r="J288" s="52"/>
      <c r="K288" s="44"/>
      <c r="L288" s="52"/>
      <c r="M288" s="52"/>
      <c r="N288" s="51"/>
      <c r="O288" s="51"/>
      <c r="P288" s="51"/>
      <c r="Q288" s="51"/>
      <c r="R288" s="51"/>
      <c r="S288" s="51"/>
      <c r="T288" s="51"/>
      <c r="U288" s="51"/>
      <c r="V288" s="51"/>
      <c r="W288" s="51"/>
    </row>
    <row r="289" spans="1:23" s="3" customFormat="1" ht="17.25" customHeight="1">
      <c r="A289" s="540" t="s">
        <v>643</v>
      </c>
      <c r="B289" s="67"/>
      <c r="C289" s="67"/>
      <c r="D289" s="16"/>
      <c r="E289" s="16"/>
      <c r="F289" s="50"/>
      <c r="G289" s="50"/>
      <c r="H289" s="51"/>
      <c r="I289" s="164"/>
      <c r="J289" s="52"/>
      <c r="K289" s="44"/>
      <c r="L289" s="52"/>
      <c r="M289" s="52"/>
      <c r="N289" s="51"/>
      <c r="O289" s="51"/>
      <c r="P289" s="51"/>
      <c r="Q289" s="51"/>
      <c r="R289" s="51"/>
      <c r="S289" s="51"/>
      <c r="T289" s="51"/>
      <c r="U289" s="51"/>
      <c r="V289" s="51"/>
      <c r="W289" s="51"/>
    </row>
    <row r="290" spans="1:23" s="3" customFormat="1" ht="17.25" customHeight="1">
      <c r="A290" s="540"/>
      <c r="B290" s="67"/>
      <c r="C290" s="67"/>
      <c r="D290" s="16"/>
      <c r="E290" s="16"/>
      <c r="F290" s="50"/>
      <c r="G290" s="50"/>
      <c r="H290" s="51"/>
      <c r="I290" s="164"/>
      <c r="J290" s="52"/>
      <c r="K290" s="44"/>
      <c r="L290" s="52"/>
      <c r="M290" s="52"/>
      <c r="N290" s="51"/>
      <c r="O290" s="51"/>
      <c r="P290" s="51"/>
      <c r="Q290" s="51"/>
      <c r="R290" s="51"/>
      <c r="S290" s="51"/>
      <c r="T290" s="51"/>
      <c r="U290" s="51"/>
      <c r="V290" s="51"/>
      <c r="W290" s="51"/>
    </row>
    <row r="291" spans="1:23" s="3" customFormat="1" ht="17.25" customHeight="1">
      <c r="A291" s="540" t="s">
        <v>473</v>
      </c>
      <c r="B291" s="67"/>
      <c r="C291" s="67"/>
      <c r="D291" s="16"/>
      <c r="E291" s="16"/>
      <c r="F291" s="50"/>
      <c r="G291" s="50"/>
      <c r="H291" s="51"/>
      <c r="I291" s="164"/>
      <c r="J291" s="52"/>
      <c r="K291" s="44"/>
      <c r="L291" s="52"/>
      <c r="M291" s="52"/>
      <c r="N291" s="51"/>
      <c r="O291" s="51"/>
      <c r="P291" s="51"/>
      <c r="Q291" s="51"/>
      <c r="R291" s="51"/>
      <c r="S291" s="51"/>
      <c r="T291" s="51"/>
      <c r="U291" s="51"/>
      <c r="V291" s="51"/>
      <c r="W291" s="51"/>
    </row>
    <row r="292" spans="1:23" s="3" customFormat="1" ht="17.25" customHeight="1">
      <c r="A292" s="187"/>
      <c r="B292" s="67"/>
      <c r="C292" s="67"/>
      <c r="D292" s="16"/>
      <c r="E292" s="16"/>
      <c r="F292" s="50"/>
      <c r="G292" s="50"/>
      <c r="H292" s="51"/>
      <c r="I292" s="164"/>
      <c r="J292" s="52"/>
      <c r="K292" s="44"/>
      <c r="L292" s="52"/>
      <c r="M292" s="52"/>
      <c r="N292" s="51"/>
      <c r="O292" s="51"/>
      <c r="P292" s="51"/>
      <c r="Q292" s="51"/>
      <c r="R292" s="51"/>
      <c r="S292" s="51"/>
      <c r="T292" s="51"/>
      <c r="U292" s="51"/>
      <c r="V292" s="51"/>
      <c r="W292" s="51"/>
    </row>
    <row r="293" spans="1:23" s="3" customFormat="1" ht="17.25" customHeight="1">
      <c r="A293" s="540" t="s">
        <v>474</v>
      </c>
      <c r="B293" s="469"/>
      <c r="C293" s="469"/>
      <c r="D293" s="470"/>
      <c r="E293" s="470"/>
      <c r="F293" s="50"/>
      <c r="G293" s="50"/>
      <c r="H293" s="51"/>
      <c r="I293" s="164"/>
      <c r="J293" s="52"/>
      <c r="K293" s="44"/>
      <c r="L293" s="52"/>
      <c r="M293" s="52"/>
      <c r="N293" s="51"/>
      <c r="O293" s="51"/>
      <c r="P293" s="51"/>
      <c r="Q293" s="51"/>
      <c r="R293" s="51"/>
      <c r="S293" s="51"/>
      <c r="T293" s="51"/>
      <c r="U293" s="51"/>
      <c r="V293" s="51"/>
      <c r="W293" s="51"/>
    </row>
    <row r="294" spans="1:23" s="3" customFormat="1" ht="17.25" customHeight="1">
      <c r="A294" s="541" t="s">
        <v>510</v>
      </c>
      <c r="B294" s="469"/>
      <c r="C294" s="469"/>
      <c r="D294" s="470"/>
      <c r="E294" s="470"/>
      <c r="F294" s="50"/>
      <c r="G294" s="50"/>
      <c r="H294" s="51"/>
      <c r="I294" s="164"/>
      <c r="J294" s="52"/>
      <c r="K294" s="44"/>
      <c r="L294" s="52"/>
      <c r="M294" s="52"/>
      <c r="N294" s="51"/>
      <c r="O294" s="51"/>
      <c r="P294" s="51"/>
      <c r="Q294" s="51"/>
      <c r="R294" s="51"/>
      <c r="S294" s="51"/>
      <c r="T294" s="51"/>
      <c r="U294" s="51"/>
      <c r="V294" s="51"/>
      <c r="W294" s="51"/>
    </row>
    <row r="295" spans="1:23" s="3" customFormat="1" ht="17.25" customHeight="1">
      <c r="A295" s="540" t="s">
        <v>376</v>
      </c>
      <c r="B295" s="127"/>
      <c r="C295" s="67"/>
      <c r="D295" s="16"/>
      <c r="E295" s="16"/>
      <c r="F295" s="50"/>
      <c r="G295" s="50"/>
      <c r="H295" s="51"/>
      <c r="I295" s="164"/>
      <c r="J295" s="52"/>
      <c r="K295" s="44"/>
      <c r="L295" s="52"/>
      <c r="M295" s="52"/>
      <c r="N295" s="51"/>
      <c r="O295" s="51"/>
      <c r="P295" s="51"/>
      <c r="Q295" s="51"/>
      <c r="R295" s="51"/>
      <c r="S295" s="51"/>
      <c r="T295" s="51"/>
      <c r="U295" s="51"/>
      <c r="V295" s="51"/>
      <c r="W295" s="51"/>
    </row>
    <row r="296" spans="1:23" s="3" customFormat="1" ht="17.25" customHeight="1">
      <c r="A296" s="540"/>
      <c r="B296" s="67"/>
      <c r="C296" s="67"/>
      <c r="D296" s="16"/>
      <c r="E296" s="16"/>
      <c r="F296" s="50"/>
      <c r="G296" s="50"/>
      <c r="H296" s="51"/>
      <c r="I296" s="164"/>
      <c r="J296" s="52"/>
      <c r="K296" s="44"/>
      <c r="L296" s="52"/>
      <c r="M296" s="52"/>
      <c r="N296" s="51"/>
      <c r="O296" s="51"/>
      <c r="P296" s="51"/>
      <c r="Q296" s="51"/>
      <c r="R296" s="51"/>
      <c r="S296" s="51"/>
      <c r="T296" s="51"/>
      <c r="U296" s="51"/>
      <c r="V296" s="51"/>
      <c r="W296" s="51"/>
    </row>
    <row r="297" spans="1:23" s="3" customFormat="1" ht="17.25" customHeight="1">
      <c r="A297" s="467"/>
      <c r="B297" s="468"/>
      <c r="C297" s="469"/>
      <c r="D297" s="470"/>
      <c r="E297" s="470"/>
      <c r="F297" s="470"/>
      <c r="G297" s="470"/>
      <c r="H297" s="471"/>
      <c r="I297" s="164"/>
      <c r="J297" s="52"/>
      <c r="K297" s="44"/>
      <c r="L297" s="52"/>
      <c r="M297" s="52"/>
      <c r="N297" s="51"/>
      <c r="O297" s="51"/>
      <c r="P297" s="51"/>
      <c r="Q297" s="51"/>
      <c r="R297" s="51"/>
      <c r="S297" s="51"/>
      <c r="T297" s="51"/>
      <c r="U297" s="51"/>
      <c r="V297" s="51"/>
      <c r="W297" s="51"/>
    </row>
    <row r="298" spans="1:23" s="3" customFormat="1" ht="17.25" customHeight="1">
      <c r="A298" s="540" t="s">
        <v>524</v>
      </c>
      <c r="B298" s="67"/>
      <c r="C298" s="67"/>
      <c r="D298" s="470"/>
      <c r="E298" s="470"/>
      <c r="F298" s="470"/>
      <c r="G298" s="470"/>
      <c r="H298" s="471"/>
      <c r="I298" s="164"/>
      <c r="J298" s="52"/>
      <c r="K298" s="44"/>
      <c r="L298" s="52"/>
      <c r="M298" s="52"/>
      <c r="N298" s="51"/>
      <c r="O298" s="51"/>
      <c r="P298" s="51"/>
      <c r="Q298" s="51"/>
      <c r="R298" s="51"/>
      <c r="S298" s="51"/>
      <c r="T298" s="51"/>
      <c r="U298" s="51"/>
      <c r="V298" s="51"/>
      <c r="W298" s="51"/>
    </row>
    <row r="299" spans="1:23" s="3" customFormat="1" ht="17.25" customHeight="1">
      <c r="A299" s="187"/>
      <c r="B299" s="67"/>
      <c r="C299" s="67"/>
      <c r="D299" s="470"/>
      <c r="E299" s="470"/>
      <c r="F299" s="470"/>
      <c r="G299" s="470"/>
      <c r="H299" s="471"/>
      <c r="I299" s="164"/>
      <c r="J299" s="52"/>
      <c r="K299" s="44"/>
      <c r="L299" s="52"/>
      <c r="M299" s="52"/>
      <c r="N299" s="51"/>
      <c r="O299" s="51"/>
      <c r="P299" s="51"/>
      <c r="Q299" s="51"/>
      <c r="R299" s="51"/>
      <c r="S299" s="51"/>
      <c r="T299" s="51"/>
      <c r="U299" s="51"/>
      <c r="V299" s="51"/>
      <c r="W299" s="51"/>
    </row>
    <row r="300" spans="1:23" s="3" customFormat="1" ht="17.25" customHeight="1">
      <c r="A300" s="540" t="s">
        <v>511</v>
      </c>
      <c r="B300" s="469"/>
      <c r="C300" s="469"/>
      <c r="D300" s="470"/>
      <c r="E300" s="470"/>
      <c r="F300" s="470"/>
      <c r="G300" s="470"/>
      <c r="H300" s="471"/>
      <c r="I300" s="164"/>
      <c r="J300" s="52"/>
      <c r="K300" s="44"/>
      <c r="L300" s="52"/>
      <c r="M300" s="52"/>
      <c r="N300" s="51"/>
      <c r="O300" s="51"/>
      <c r="P300" s="51"/>
      <c r="Q300" s="51"/>
      <c r="R300" s="51"/>
      <c r="S300" s="51"/>
      <c r="T300" s="51"/>
      <c r="U300" s="51"/>
      <c r="V300" s="51"/>
      <c r="W300" s="51"/>
    </row>
    <row r="301" spans="1:23" s="3" customFormat="1" ht="17.25" customHeight="1">
      <c r="A301" s="541" t="s">
        <v>510</v>
      </c>
      <c r="B301" s="469"/>
      <c r="C301" s="469"/>
      <c r="D301" s="470"/>
      <c r="E301" s="470"/>
      <c r="F301" s="470"/>
      <c r="G301" s="470"/>
      <c r="H301" s="471"/>
      <c r="I301" s="164"/>
      <c r="J301" s="52"/>
      <c r="K301" s="44"/>
      <c r="L301" s="52"/>
      <c r="M301" s="52"/>
      <c r="N301" s="51"/>
      <c r="O301" s="51"/>
      <c r="P301" s="51"/>
      <c r="Q301" s="51"/>
      <c r="R301" s="51"/>
      <c r="S301" s="51"/>
      <c r="T301" s="51"/>
      <c r="U301" s="51"/>
      <c r="V301" s="51"/>
      <c r="W301" s="51"/>
    </row>
    <row r="302" spans="1:23" s="3" customFormat="1" ht="17.25" customHeight="1">
      <c r="A302" s="540" t="s">
        <v>475</v>
      </c>
      <c r="B302" s="127"/>
      <c r="C302" s="67"/>
      <c r="D302" s="470"/>
      <c r="E302" s="470"/>
      <c r="F302" s="470"/>
      <c r="G302" s="470"/>
      <c r="H302" s="471"/>
      <c r="I302" s="164"/>
      <c r="J302" s="52"/>
      <c r="K302" s="44"/>
      <c r="L302" s="52"/>
      <c r="M302" s="52"/>
      <c r="N302" s="51"/>
      <c r="O302" s="51"/>
      <c r="P302" s="51"/>
      <c r="Q302" s="51"/>
      <c r="R302" s="51"/>
      <c r="S302" s="51"/>
      <c r="T302" s="51"/>
      <c r="U302" s="51"/>
      <c r="V302" s="51"/>
      <c r="W302" s="51"/>
    </row>
    <row r="303" spans="1:23" s="3" customFormat="1" ht="17.25" customHeight="1">
      <c r="A303" s="467"/>
      <c r="B303" s="468"/>
      <c r="C303" s="469"/>
      <c r="D303" s="470"/>
      <c r="E303" s="470"/>
      <c r="F303" s="470"/>
      <c r="G303" s="470"/>
      <c r="H303" s="471"/>
      <c r="I303" s="164"/>
      <c r="J303" s="52"/>
      <c r="K303" s="44"/>
      <c r="L303" s="52"/>
      <c r="M303" s="52"/>
      <c r="N303" s="51"/>
      <c r="O303" s="51"/>
      <c r="P303" s="51"/>
      <c r="Q303" s="51"/>
      <c r="R303" s="51"/>
      <c r="S303" s="51"/>
      <c r="T303" s="51"/>
      <c r="U303" s="51"/>
      <c r="V303" s="51"/>
      <c r="W303" s="51"/>
    </row>
    <row r="304" spans="1:23" s="3" customFormat="1" ht="17.25" customHeight="1">
      <c r="A304" s="467"/>
      <c r="B304" s="468"/>
      <c r="C304" s="469"/>
      <c r="D304" s="470"/>
      <c r="E304" s="470"/>
      <c r="F304" s="470"/>
      <c r="G304" s="470"/>
      <c r="H304" s="471"/>
      <c r="I304" s="164"/>
      <c r="J304" s="52"/>
      <c r="K304" s="44"/>
      <c r="L304" s="52"/>
      <c r="M304" s="52"/>
      <c r="N304" s="51"/>
      <c r="O304" s="51"/>
      <c r="P304" s="51"/>
      <c r="Q304" s="51"/>
      <c r="R304" s="51"/>
      <c r="S304" s="51"/>
      <c r="T304" s="51"/>
      <c r="U304" s="51"/>
      <c r="V304" s="51"/>
      <c r="W304" s="51"/>
    </row>
    <row r="305" spans="1:23" ht="18.75">
      <c r="A305" s="552" t="s">
        <v>644</v>
      </c>
      <c r="B305" s="472"/>
      <c r="C305" s="472"/>
      <c r="D305" s="19"/>
      <c r="E305" s="19"/>
      <c r="F305" s="19"/>
      <c r="G305" s="148"/>
      <c r="H305" s="17"/>
      <c r="I305" s="138"/>
      <c r="J305" s="37"/>
      <c r="K305" s="131"/>
      <c r="L305" s="36"/>
      <c r="M305" s="36"/>
      <c r="N305" s="16"/>
      <c r="O305" s="16"/>
      <c r="P305" s="16"/>
      <c r="Q305" s="132"/>
      <c r="R305" s="132"/>
      <c r="S305" s="132"/>
      <c r="T305" s="132"/>
      <c r="U305" s="132"/>
      <c r="V305" s="132"/>
      <c r="W305" s="132"/>
    </row>
    <row r="306" spans="1:23" ht="18.75">
      <c r="A306" s="552"/>
      <c r="B306" s="472"/>
      <c r="C306" s="472"/>
      <c r="D306" s="19"/>
      <c r="E306" s="19"/>
      <c r="F306" s="19"/>
      <c r="G306" s="148"/>
      <c r="H306" s="17"/>
      <c r="I306" s="138"/>
      <c r="J306" s="37"/>
      <c r="K306" s="131"/>
      <c r="L306" s="36"/>
      <c r="M306" s="36"/>
      <c r="N306" s="16"/>
      <c r="O306" s="16"/>
      <c r="P306" s="16"/>
      <c r="Q306" s="132"/>
      <c r="R306" s="132"/>
      <c r="S306" s="132"/>
      <c r="T306" s="132"/>
      <c r="U306" s="132"/>
      <c r="V306" s="132"/>
      <c r="W306" s="132"/>
    </row>
    <row r="307" spans="1:23" s="661" customFormat="1" ht="16.5">
      <c r="A307" s="472" t="s">
        <v>374</v>
      </c>
      <c r="B307" s="155"/>
      <c r="C307" s="553"/>
      <c r="D307" s="19"/>
      <c r="E307" s="19"/>
      <c r="F307" s="19"/>
      <c r="G307" s="656"/>
      <c r="H307" s="140">
        <v>350441.27</v>
      </c>
      <c r="I307" s="657"/>
      <c r="J307" s="658"/>
      <c r="K307" s="659"/>
      <c r="L307" s="658"/>
      <c r="M307" s="658"/>
      <c r="N307" s="19"/>
      <c r="O307" s="19"/>
      <c r="P307" s="19"/>
      <c r="Q307" s="660"/>
      <c r="R307" s="660"/>
      <c r="S307" s="660"/>
      <c r="T307" s="660"/>
      <c r="U307" s="660"/>
      <c r="V307" s="660"/>
      <c r="W307" s="660"/>
    </row>
    <row r="308" spans="1:23" ht="16.5">
      <c r="A308" s="155" t="s">
        <v>174</v>
      </c>
      <c r="B308" s="155"/>
      <c r="C308" s="553"/>
      <c r="D308" s="19"/>
      <c r="E308" s="16"/>
      <c r="F308" s="16"/>
      <c r="G308" s="140"/>
      <c r="H308" s="140">
        <f>H307+11597</f>
        <v>362038.27</v>
      </c>
      <c r="I308" s="138"/>
      <c r="J308" s="37"/>
      <c r="K308" s="131"/>
      <c r="L308" s="36"/>
      <c r="M308" s="36"/>
      <c r="N308" s="16"/>
      <c r="O308" s="16"/>
      <c r="P308" s="16"/>
      <c r="Q308" s="132"/>
      <c r="R308" s="132"/>
      <c r="S308" s="132"/>
      <c r="T308" s="132"/>
      <c r="U308" s="132"/>
      <c r="V308" s="132"/>
      <c r="W308" s="132"/>
    </row>
    <row r="309" spans="1:23" ht="16.5">
      <c r="A309" s="155"/>
      <c r="B309" s="155" t="s">
        <v>127</v>
      </c>
      <c r="C309" s="553"/>
      <c r="D309" s="19"/>
      <c r="E309" s="16"/>
      <c r="F309" s="16"/>
      <c r="G309" s="140"/>
      <c r="H309" s="140"/>
      <c r="I309" s="138"/>
      <c r="J309" s="37"/>
      <c r="K309" s="131"/>
      <c r="L309" s="36"/>
      <c r="M309" s="36"/>
      <c r="N309" s="16"/>
      <c r="O309" s="16"/>
      <c r="P309" s="16"/>
      <c r="Q309" s="132"/>
      <c r="R309" s="132"/>
      <c r="S309" s="132"/>
      <c r="T309" s="132"/>
      <c r="U309" s="132"/>
      <c r="V309" s="132"/>
      <c r="W309" s="132"/>
    </row>
    <row r="310" spans="1:23" ht="16.5">
      <c r="A310" s="155"/>
      <c r="B310" s="155"/>
      <c r="C310" s="156"/>
      <c r="D310" s="19"/>
      <c r="E310" s="16"/>
      <c r="F310" s="16"/>
      <c r="G310" s="140"/>
      <c r="H310" s="140"/>
      <c r="I310" s="138"/>
      <c r="J310" s="37"/>
      <c r="K310" s="131"/>
      <c r="L310" s="36"/>
      <c r="M310" s="36"/>
      <c r="N310" s="16"/>
      <c r="O310" s="16"/>
      <c r="P310" s="16"/>
      <c r="Q310" s="132"/>
      <c r="R310" s="132"/>
      <c r="S310" s="132"/>
      <c r="T310" s="132"/>
      <c r="U310" s="132"/>
      <c r="V310" s="132"/>
      <c r="W310" s="132"/>
    </row>
    <row r="311" spans="1:23" ht="16.5">
      <c r="A311" s="155"/>
      <c r="B311" s="155" t="s">
        <v>176</v>
      </c>
      <c r="C311" s="553"/>
      <c r="D311" s="554"/>
      <c r="E311" s="16"/>
      <c r="F311" s="16"/>
      <c r="G311" s="140"/>
      <c r="H311" s="140">
        <v>203511.69</v>
      </c>
      <c r="I311" s="138"/>
      <c r="J311" s="37"/>
      <c r="K311" s="131"/>
      <c r="L311" s="36"/>
      <c r="M311" s="36"/>
      <c r="N311" s="16"/>
      <c r="O311" s="16"/>
      <c r="P311" s="16"/>
      <c r="Q311" s="132"/>
      <c r="R311" s="132"/>
      <c r="S311" s="132"/>
      <c r="T311" s="132"/>
      <c r="U311" s="132"/>
      <c r="V311" s="132"/>
      <c r="W311" s="132"/>
    </row>
    <row r="312" spans="1:23" ht="16.5">
      <c r="A312" s="155"/>
      <c r="B312" s="155" t="s">
        <v>177</v>
      </c>
      <c r="C312" s="553"/>
      <c r="D312" s="554"/>
      <c r="E312" s="16"/>
      <c r="F312" s="16"/>
      <c r="G312" s="140"/>
      <c r="H312" s="140">
        <f>H311+11597</f>
        <v>215108.69</v>
      </c>
      <c r="I312" s="138"/>
      <c r="J312" s="37"/>
      <c r="K312" s="131"/>
      <c r="L312" s="36"/>
      <c r="M312" s="36"/>
      <c r="N312" s="16"/>
      <c r="O312" s="16"/>
      <c r="P312" s="16"/>
      <c r="Q312" s="132"/>
      <c r="R312" s="132"/>
      <c r="S312" s="132"/>
      <c r="T312" s="132"/>
      <c r="U312" s="132"/>
      <c r="V312" s="132"/>
      <c r="W312" s="132"/>
    </row>
    <row r="313" spans="1:23" ht="16.5">
      <c r="A313" s="155"/>
      <c r="B313" s="155"/>
      <c r="C313" s="156"/>
      <c r="D313" s="19"/>
      <c r="E313" s="16"/>
      <c r="F313" s="16"/>
      <c r="G313" s="140"/>
      <c r="H313" s="140"/>
      <c r="I313" s="138"/>
      <c r="J313" s="37"/>
      <c r="K313" s="131"/>
      <c r="L313" s="36"/>
      <c r="M313" s="36"/>
      <c r="N313" s="16"/>
      <c r="O313" s="16"/>
      <c r="P313" s="16"/>
      <c r="Q313" s="132"/>
      <c r="R313" s="132"/>
      <c r="S313" s="132"/>
      <c r="T313" s="132"/>
      <c r="U313" s="132"/>
      <c r="V313" s="132"/>
      <c r="W313" s="132"/>
    </row>
    <row r="314" spans="1:23" ht="16.5">
      <c r="A314" s="155" t="s">
        <v>119</v>
      </c>
      <c r="B314" s="155"/>
      <c r="C314" s="156"/>
      <c r="D314" s="19"/>
      <c r="E314" s="16"/>
      <c r="F314" s="16"/>
      <c r="G314" s="140"/>
      <c r="H314" s="140">
        <f>H318+H321</f>
        <v>453210.01</v>
      </c>
      <c r="I314" s="138"/>
      <c r="J314" s="37"/>
      <c r="K314" s="131"/>
      <c r="L314" s="36"/>
      <c r="M314" s="36"/>
      <c r="N314" s="16"/>
      <c r="O314" s="16"/>
      <c r="P314" s="16"/>
      <c r="Q314" s="132"/>
      <c r="R314" s="132"/>
      <c r="S314" s="132"/>
      <c r="T314" s="132"/>
      <c r="U314" s="132"/>
      <c r="V314" s="132"/>
      <c r="W314" s="132"/>
    </row>
    <row r="315" spans="1:23" ht="16.5">
      <c r="A315" s="155" t="s">
        <v>174</v>
      </c>
      <c r="B315" s="155"/>
      <c r="C315" s="156"/>
      <c r="D315" s="19"/>
      <c r="E315" s="16"/>
      <c r="F315" s="16"/>
      <c r="G315" s="140"/>
      <c r="H315" s="140">
        <f>H319+H322</f>
        <v>333010.01</v>
      </c>
      <c r="I315" s="138"/>
      <c r="J315" s="37"/>
      <c r="K315" s="131"/>
      <c r="L315" s="36"/>
      <c r="M315" s="36"/>
      <c r="N315" s="16"/>
      <c r="O315" s="16"/>
      <c r="P315" s="16"/>
      <c r="Q315" s="132"/>
      <c r="R315" s="132"/>
      <c r="S315" s="132"/>
      <c r="T315" s="132"/>
      <c r="U315" s="132"/>
      <c r="V315" s="132"/>
      <c r="W315" s="132"/>
    </row>
    <row r="316" spans="1:23" ht="16.5">
      <c r="A316" s="155" t="s">
        <v>175</v>
      </c>
      <c r="B316" s="155"/>
      <c r="C316" s="156"/>
      <c r="D316" s="19"/>
      <c r="E316" s="16"/>
      <c r="F316" s="16"/>
      <c r="G316" s="140"/>
      <c r="H316" s="140"/>
      <c r="I316" s="138"/>
      <c r="J316" s="37"/>
      <c r="K316" s="131"/>
      <c r="L316" s="36"/>
      <c r="M316" s="36"/>
      <c r="N316" s="16"/>
      <c r="O316" s="16"/>
      <c r="P316" s="16"/>
      <c r="Q316" s="132"/>
      <c r="R316" s="132"/>
      <c r="S316" s="132"/>
      <c r="T316" s="132"/>
      <c r="U316" s="132"/>
      <c r="V316" s="132"/>
      <c r="W316" s="132"/>
    </row>
    <row r="317" spans="1:23" ht="16.5">
      <c r="A317" s="155"/>
      <c r="B317" s="155"/>
      <c r="C317" s="156"/>
      <c r="D317" s="19"/>
      <c r="E317" s="16"/>
      <c r="F317" s="16"/>
      <c r="G317" s="140"/>
      <c r="H317" s="140"/>
      <c r="I317" s="138"/>
      <c r="J317" s="37"/>
      <c r="K317" s="131"/>
      <c r="L317" s="36"/>
      <c r="M317" s="36"/>
      <c r="N317" s="16"/>
      <c r="O317" s="16"/>
      <c r="P317" s="16"/>
      <c r="Q317" s="132"/>
      <c r="R317" s="132"/>
      <c r="S317" s="132"/>
      <c r="T317" s="132"/>
      <c r="U317" s="132"/>
      <c r="V317" s="132"/>
      <c r="W317" s="132"/>
    </row>
    <row r="318" spans="1:23" ht="16.5">
      <c r="A318" s="155"/>
      <c r="B318" s="155" t="s">
        <v>176</v>
      </c>
      <c r="C318" s="553"/>
      <c r="D318" s="554"/>
      <c r="E318" s="16"/>
      <c r="F318" s="16"/>
      <c r="G318" s="140"/>
      <c r="H318" s="140">
        <v>84682.59</v>
      </c>
      <c r="I318" s="138"/>
      <c r="J318" s="37"/>
      <c r="K318" s="131"/>
      <c r="L318" s="36"/>
      <c r="M318" s="36"/>
      <c r="N318" s="16"/>
      <c r="O318" s="16"/>
      <c r="P318" s="16"/>
      <c r="Q318" s="132"/>
      <c r="R318" s="132"/>
      <c r="S318" s="132"/>
      <c r="T318" s="132"/>
      <c r="U318" s="132"/>
      <c r="V318" s="132"/>
      <c r="W318" s="132"/>
    </row>
    <row r="319" spans="1:23" ht="16.5">
      <c r="A319" s="155"/>
      <c r="B319" s="155" t="s">
        <v>177</v>
      </c>
      <c r="C319" s="553"/>
      <c r="D319" s="554"/>
      <c r="E319" s="16"/>
      <c r="F319" s="16"/>
      <c r="G319" s="140"/>
      <c r="H319" s="140">
        <f>H318+10000</f>
        <v>94682.59</v>
      </c>
      <c r="I319" s="138"/>
      <c r="J319" s="37"/>
      <c r="K319" s="131"/>
      <c r="L319" s="36"/>
      <c r="M319" s="36"/>
      <c r="N319" s="16"/>
      <c r="O319" s="16"/>
      <c r="P319" s="16"/>
      <c r="Q319" s="132"/>
      <c r="R319" s="132"/>
      <c r="S319" s="132"/>
      <c r="T319" s="132"/>
      <c r="U319" s="132"/>
      <c r="V319" s="132"/>
      <c r="W319" s="132"/>
    </row>
    <row r="320" spans="1:23" ht="16.5">
      <c r="A320" s="155"/>
      <c r="B320" s="155"/>
      <c r="C320" s="553"/>
      <c r="D320" s="554"/>
      <c r="E320" s="16"/>
      <c r="F320" s="16"/>
      <c r="G320" s="140"/>
      <c r="H320" s="140"/>
      <c r="I320" s="138"/>
      <c r="J320" s="37"/>
      <c r="K320" s="131"/>
      <c r="L320" s="36"/>
      <c r="M320" s="36"/>
      <c r="N320" s="16"/>
      <c r="O320" s="16"/>
      <c r="P320" s="16"/>
      <c r="Q320" s="132"/>
      <c r="R320" s="132"/>
      <c r="S320" s="132"/>
      <c r="T320" s="132"/>
      <c r="U320" s="132"/>
      <c r="V320" s="132"/>
      <c r="W320" s="132"/>
    </row>
    <row r="321" spans="1:23" ht="16.5">
      <c r="A321" s="155"/>
      <c r="B321" s="155" t="s">
        <v>611</v>
      </c>
      <c r="C321" s="553"/>
      <c r="D321" s="554"/>
      <c r="E321" s="16"/>
      <c r="F321" s="16"/>
      <c r="G321" s="140"/>
      <c r="H321" s="140">
        <f>85000+283527.42</f>
        <v>368527.42</v>
      </c>
      <c r="I321" s="138"/>
      <c r="J321" s="37"/>
      <c r="K321" s="131"/>
      <c r="L321" s="36"/>
      <c r="M321" s="36"/>
      <c r="N321" s="16"/>
      <c r="O321" s="16"/>
      <c r="P321" s="16"/>
      <c r="Q321" s="132"/>
      <c r="R321" s="132"/>
      <c r="S321" s="132"/>
      <c r="T321" s="132"/>
      <c r="U321" s="132"/>
      <c r="V321" s="132"/>
      <c r="W321" s="132"/>
    </row>
    <row r="322" spans="1:23" ht="16.5">
      <c r="A322" s="155"/>
      <c r="B322" s="155" t="s">
        <v>177</v>
      </c>
      <c r="C322" s="553"/>
      <c r="D322" s="554"/>
      <c r="E322" s="16"/>
      <c r="F322" s="16"/>
      <c r="G322" s="140"/>
      <c r="H322" s="140">
        <f>H321-40000-85000-5200</f>
        <v>238327.41999999998</v>
      </c>
      <c r="I322" s="138"/>
      <c r="J322" s="37"/>
      <c r="K322" s="131"/>
      <c r="L322" s="36"/>
      <c r="M322" s="36"/>
      <c r="N322" s="16"/>
      <c r="O322" s="16"/>
      <c r="P322" s="16"/>
      <c r="Q322" s="132"/>
      <c r="R322" s="132"/>
      <c r="S322" s="132"/>
      <c r="T322" s="132"/>
      <c r="U322" s="132"/>
      <c r="V322" s="132"/>
      <c r="W322" s="132"/>
    </row>
    <row r="323" spans="1:23" ht="16.5">
      <c r="A323" s="155"/>
      <c r="B323" s="155"/>
      <c r="C323" s="156"/>
      <c r="D323" s="19"/>
      <c r="E323" s="16"/>
      <c r="F323" s="16"/>
      <c r="G323" s="140"/>
      <c r="H323" s="140"/>
      <c r="I323" s="138"/>
      <c r="J323" s="37"/>
      <c r="K323" s="131"/>
      <c r="L323" s="36"/>
      <c r="M323" s="36"/>
      <c r="N323" s="16"/>
      <c r="O323" s="16"/>
      <c r="P323" s="16"/>
      <c r="Q323" s="132"/>
      <c r="R323" s="132"/>
      <c r="S323" s="132"/>
      <c r="T323" s="132"/>
      <c r="U323" s="132"/>
      <c r="V323" s="132"/>
      <c r="W323" s="132"/>
    </row>
    <row r="324" spans="1:23" s="661" customFormat="1" ht="16.5">
      <c r="A324" s="472" t="s">
        <v>13</v>
      </c>
      <c r="B324" s="155"/>
      <c r="C324" s="553"/>
      <c r="D324" s="19"/>
      <c r="E324" s="19"/>
      <c r="F324" s="19"/>
      <c r="G324" s="656"/>
      <c r="H324" s="140">
        <v>332303.05</v>
      </c>
      <c r="I324" s="657"/>
      <c r="J324" s="658"/>
      <c r="K324" s="659"/>
      <c r="L324" s="658"/>
      <c r="M324" s="658"/>
      <c r="N324" s="19"/>
      <c r="O324" s="19"/>
      <c r="P324" s="19"/>
      <c r="Q324" s="660"/>
      <c r="R324" s="660"/>
      <c r="S324" s="660"/>
      <c r="T324" s="660"/>
      <c r="U324" s="660"/>
      <c r="V324" s="660"/>
      <c r="W324" s="660"/>
    </row>
    <row r="325" spans="1:23" ht="16.5">
      <c r="A325" s="155" t="s">
        <v>174</v>
      </c>
      <c r="B325" s="155"/>
      <c r="C325" s="553"/>
      <c r="D325" s="19"/>
      <c r="E325" s="16"/>
      <c r="F325" s="16"/>
      <c r="G325" s="140"/>
      <c r="H325" s="140">
        <f>H324+85035</f>
        <v>417338.05</v>
      </c>
      <c r="I325" s="138"/>
      <c r="J325" s="37"/>
      <c r="K325" s="131"/>
      <c r="L325" s="36"/>
      <c r="M325" s="36"/>
      <c r="N325" s="16"/>
      <c r="O325" s="16"/>
      <c r="P325" s="16"/>
      <c r="Q325" s="132"/>
      <c r="R325" s="132"/>
      <c r="S325" s="132"/>
      <c r="T325" s="132"/>
      <c r="U325" s="132"/>
      <c r="V325" s="132"/>
      <c r="W325" s="132"/>
    </row>
    <row r="326" spans="1:23" ht="16.5">
      <c r="A326" s="155"/>
      <c r="B326" s="155" t="s">
        <v>127</v>
      </c>
      <c r="C326" s="553"/>
      <c r="D326" s="19"/>
      <c r="E326" s="16"/>
      <c r="F326" s="16"/>
      <c r="G326" s="140"/>
      <c r="H326" s="140"/>
      <c r="I326" s="138"/>
      <c r="J326" s="37"/>
      <c r="K326" s="131"/>
      <c r="L326" s="36"/>
      <c r="M326" s="36"/>
      <c r="N326" s="16"/>
      <c r="O326" s="16"/>
      <c r="P326" s="16"/>
      <c r="Q326" s="132"/>
      <c r="R326" s="132"/>
      <c r="S326" s="132"/>
      <c r="T326" s="132"/>
      <c r="U326" s="132"/>
      <c r="V326" s="132"/>
      <c r="W326" s="132"/>
    </row>
    <row r="327" spans="1:23" ht="16.5">
      <c r="A327" s="155"/>
      <c r="B327" s="155"/>
      <c r="C327" s="156"/>
      <c r="D327" s="19"/>
      <c r="E327" s="16"/>
      <c r="F327" s="16"/>
      <c r="G327" s="140"/>
      <c r="H327" s="140"/>
      <c r="I327" s="138"/>
      <c r="J327" s="37"/>
      <c r="K327" s="131"/>
      <c r="L327" s="36"/>
      <c r="M327" s="36"/>
      <c r="N327" s="16"/>
      <c r="O327" s="16"/>
      <c r="P327" s="16"/>
      <c r="Q327" s="132"/>
      <c r="R327" s="132"/>
      <c r="S327" s="132"/>
      <c r="T327" s="132"/>
      <c r="U327" s="132"/>
      <c r="V327" s="132"/>
      <c r="W327" s="132"/>
    </row>
    <row r="328" spans="1:23" ht="16.5">
      <c r="A328" s="155"/>
      <c r="B328" s="155" t="s">
        <v>176</v>
      </c>
      <c r="C328" s="553"/>
      <c r="D328" s="554"/>
      <c r="E328" s="16"/>
      <c r="F328" s="16"/>
      <c r="G328" s="140"/>
      <c r="H328" s="140">
        <v>91767</v>
      </c>
      <c r="I328" s="138"/>
      <c r="J328" s="37"/>
      <c r="K328" s="131"/>
      <c r="L328" s="36"/>
      <c r="M328" s="36"/>
      <c r="N328" s="16"/>
      <c r="O328" s="16"/>
      <c r="P328" s="16"/>
      <c r="Q328" s="132"/>
      <c r="R328" s="132"/>
      <c r="S328" s="132"/>
      <c r="T328" s="132"/>
      <c r="U328" s="132"/>
      <c r="V328" s="132"/>
      <c r="W328" s="132"/>
    </row>
    <row r="329" spans="1:23" ht="16.5">
      <c r="A329" s="155"/>
      <c r="B329" s="155" t="s">
        <v>177</v>
      </c>
      <c r="C329" s="553"/>
      <c r="D329" s="554"/>
      <c r="E329" s="16"/>
      <c r="F329" s="16"/>
      <c r="G329" s="140"/>
      <c r="H329" s="140">
        <f>H328+85035</f>
        <v>176802</v>
      </c>
      <c r="I329" s="138"/>
      <c r="J329" s="37"/>
      <c r="K329" s="131"/>
      <c r="L329" s="36"/>
      <c r="M329" s="36"/>
      <c r="N329" s="16"/>
      <c r="O329" s="16"/>
      <c r="P329" s="16"/>
      <c r="Q329" s="132"/>
      <c r="R329" s="132"/>
      <c r="S329" s="132"/>
      <c r="T329" s="132"/>
      <c r="U329" s="132"/>
      <c r="V329" s="132"/>
      <c r="W329" s="132"/>
    </row>
    <row r="330" spans="1:23" ht="16.5">
      <c r="A330" s="155"/>
      <c r="B330" s="155"/>
      <c r="C330" s="156"/>
      <c r="D330" s="19"/>
      <c r="E330" s="16"/>
      <c r="F330" s="16"/>
      <c r="G330" s="140"/>
      <c r="H330" s="140"/>
      <c r="I330" s="138"/>
      <c r="J330" s="37"/>
      <c r="K330" s="131"/>
      <c r="L330" s="36"/>
      <c r="M330" s="36"/>
      <c r="N330" s="16"/>
      <c r="O330" s="16"/>
      <c r="P330" s="16"/>
      <c r="Q330" s="132"/>
      <c r="R330" s="132"/>
      <c r="S330" s="132"/>
      <c r="T330" s="132"/>
      <c r="U330" s="132"/>
      <c r="V330" s="132"/>
      <c r="W330" s="132"/>
    </row>
    <row r="331" spans="1:23" ht="16.5">
      <c r="A331" s="155"/>
      <c r="B331" s="155"/>
      <c r="C331" s="156"/>
      <c r="D331" s="19"/>
      <c r="E331" s="16"/>
      <c r="F331" s="16"/>
      <c r="G331" s="140"/>
      <c r="H331" s="140"/>
      <c r="I331" s="138"/>
      <c r="J331" s="37"/>
      <c r="K331" s="131"/>
      <c r="L331" s="36"/>
      <c r="M331" s="36"/>
      <c r="N331" s="16"/>
      <c r="O331" s="16"/>
      <c r="P331" s="16"/>
      <c r="Q331" s="132"/>
      <c r="R331" s="132"/>
      <c r="S331" s="132"/>
      <c r="T331" s="132"/>
      <c r="U331" s="132"/>
      <c r="V331" s="132"/>
      <c r="W331" s="132"/>
    </row>
    <row r="332" spans="1:23" ht="16.5">
      <c r="A332" s="155" t="s">
        <v>379</v>
      </c>
      <c r="B332" s="139"/>
      <c r="C332" s="188"/>
      <c r="D332" s="189"/>
      <c r="E332" s="16"/>
      <c r="F332" s="16"/>
      <c r="G332" s="140"/>
      <c r="H332" s="140"/>
      <c r="I332" s="138"/>
      <c r="J332" s="37"/>
      <c r="K332" s="131"/>
      <c r="L332" s="36"/>
      <c r="M332" s="36"/>
      <c r="N332" s="16"/>
      <c r="O332" s="16"/>
      <c r="P332" s="16"/>
      <c r="Q332" s="132"/>
      <c r="R332" s="132"/>
      <c r="S332" s="132"/>
      <c r="T332" s="132"/>
      <c r="U332" s="132"/>
      <c r="V332" s="132"/>
      <c r="W332" s="132"/>
    </row>
    <row r="333" spans="1:23" ht="15.75">
      <c r="A333" s="139"/>
      <c r="B333" s="139"/>
      <c r="C333" s="188"/>
      <c r="D333" s="189"/>
      <c r="E333" s="16"/>
      <c r="F333" s="16"/>
      <c r="G333" s="140"/>
      <c r="H333" s="140"/>
      <c r="I333" s="138"/>
      <c r="J333" s="37"/>
      <c r="K333" s="131"/>
      <c r="L333" s="36"/>
      <c r="M333" s="36"/>
      <c r="N333" s="16"/>
      <c r="O333" s="16"/>
      <c r="P333" s="16"/>
      <c r="Q333" s="132"/>
      <c r="R333" s="132"/>
      <c r="S333" s="132"/>
      <c r="T333" s="132"/>
      <c r="U333" s="132"/>
      <c r="V333" s="132"/>
      <c r="W333" s="132"/>
    </row>
    <row r="334" spans="1:23" ht="15.75">
      <c r="A334" s="139"/>
      <c r="B334" s="139"/>
      <c r="C334" s="188"/>
      <c r="D334" s="189"/>
      <c r="E334" s="16"/>
      <c r="F334" s="16"/>
      <c r="G334" s="140"/>
      <c r="H334" s="140"/>
      <c r="I334" s="138"/>
      <c r="J334" s="37"/>
      <c r="K334" s="131"/>
      <c r="L334" s="36"/>
      <c r="M334" s="36"/>
      <c r="N334" s="16"/>
      <c r="O334" s="16"/>
      <c r="P334" s="16"/>
      <c r="Q334" s="132"/>
      <c r="R334" s="132"/>
      <c r="S334" s="132"/>
      <c r="T334" s="132"/>
      <c r="U334" s="132"/>
      <c r="V334" s="132"/>
      <c r="W334" s="132"/>
    </row>
    <row r="335" spans="1:23" ht="16.5">
      <c r="A335" s="540" t="s">
        <v>377</v>
      </c>
      <c r="B335" s="469"/>
      <c r="C335" s="469"/>
      <c r="D335" s="470"/>
      <c r="E335" s="470"/>
      <c r="F335" s="470"/>
      <c r="G335" s="140"/>
      <c r="H335" s="140"/>
      <c r="I335" s="138"/>
      <c r="J335" s="37"/>
      <c r="K335" s="131"/>
      <c r="L335" s="36"/>
      <c r="M335" s="36"/>
      <c r="N335" s="16"/>
      <c r="O335" s="16"/>
      <c r="P335" s="16"/>
      <c r="Q335" s="132"/>
      <c r="R335" s="132"/>
      <c r="S335" s="132"/>
      <c r="T335" s="132"/>
      <c r="U335" s="132"/>
      <c r="V335" s="132"/>
      <c r="W335" s="132"/>
    </row>
    <row r="336" spans="1:23" ht="16.5">
      <c r="A336" s="541" t="s">
        <v>378</v>
      </c>
      <c r="B336" s="469"/>
      <c r="C336" s="469"/>
      <c r="D336" s="470"/>
      <c r="E336" s="470"/>
      <c r="F336" s="470"/>
      <c r="G336" s="140"/>
      <c r="H336" s="140"/>
      <c r="I336" s="138"/>
      <c r="J336" s="37"/>
      <c r="K336" s="131"/>
      <c r="L336" s="36"/>
      <c r="M336" s="36"/>
      <c r="N336" s="16"/>
      <c r="O336" s="16"/>
      <c r="P336" s="16"/>
      <c r="Q336" s="132"/>
      <c r="R336" s="132"/>
      <c r="S336" s="132"/>
      <c r="T336" s="132"/>
      <c r="U336" s="132"/>
      <c r="V336" s="132"/>
      <c r="W336" s="132"/>
    </row>
    <row r="337" spans="1:23" ht="16.5">
      <c r="A337" s="540" t="s">
        <v>476</v>
      </c>
      <c r="B337" s="127"/>
      <c r="C337" s="67"/>
      <c r="D337" s="470"/>
      <c r="E337" s="470"/>
      <c r="F337" s="470"/>
      <c r="G337" s="140"/>
      <c r="H337" s="140"/>
      <c r="I337" s="138"/>
      <c r="J337" s="37"/>
      <c r="K337" s="131"/>
      <c r="L337" s="36"/>
      <c r="M337" s="36"/>
      <c r="N337" s="16"/>
      <c r="O337" s="16"/>
      <c r="P337" s="16"/>
      <c r="Q337" s="132"/>
      <c r="R337" s="132"/>
      <c r="S337" s="132"/>
      <c r="T337" s="132"/>
      <c r="U337" s="132"/>
      <c r="V337" s="132"/>
      <c r="W337" s="132"/>
    </row>
    <row r="338" spans="1:23" ht="15.75">
      <c r="A338" s="139"/>
      <c r="B338" s="139"/>
      <c r="C338" s="188"/>
      <c r="D338" s="189"/>
      <c r="E338" s="16"/>
      <c r="F338" s="16"/>
      <c r="G338" s="140"/>
      <c r="H338" s="140"/>
      <c r="I338" s="138"/>
      <c r="J338" s="37"/>
      <c r="K338" s="131"/>
      <c r="L338" s="36"/>
      <c r="M338" s="36"/>
      <c r="N338" s="16"/>
      <c r="O338" s="16"/>
      <c r="P338" s="16"/>
      <c r="Q338" s="132"/>
      <c r="R338" s="132"/>
      <c r="S338" s="132"/>
      <c r="T338" s="132"/>
      <c r="U338" s="132"/>
      <c r="V338" s="132"/>
      <c r="W338" s="132"/>
    </row>
    <row r="339" spans="1:23" ht="15.75">
      <c r="A339" s="139"/>
      <c r="B339" s="139"/>
      <c r="C339" s="188"/>
      <c r="D339" s="189"/>
      <c r="E339" s="16"/>
      <c r="F339" s="16"/>
      <c r="G339" s="140"/>
      <c r="H339" s="140"/>
      <c r="I339" s="138"/>
      <c r="J339" s="37"/>
      <c r="K339" s="131"/>
      <c r="L339" s="36"/>
      <c r="M339" s="36"/>
      <c r="N339" s="16"/>
      <c r="O339" s="16"/>
      <c r="P339" s="16"/>
      <c r="Q339" s="132"/>
      <c r="R339" s="132"/>
      <c r="S339" s="132"/>
      <c r="T339" s="132"/>
      <c r="U339" s="132"/>
      <c r="V339" s="132"/>
      <c r="W339" s="132"/>
    </row>
    <row r="340" spans="1:13" ht="16.5" customHeight="1">
      <c r="A340" s="97" t="s">
        <v>178</v>
      </c>
      <c r="B340" s="97"/>
      <c r="C340" s="190"/>
      <c r="D340" s="191"/>
      <c r="E340" s="191"/>
      <c r="F340" s="192"/>
      <c r="G340" s="191"/>
      <c r="H340" s="140"/>
      <c r="I340" s="71"/>
      <c r="J340" s="1"/>
      <c r="K340" s="193"/>
      <c r="L340" s="4"/>
      <c r="M340" s="4"/>
    </row>
    <row r="341" spans="1:13" ht="16.5" customHeight="1">
      <c r="A341" s="97"/>
      <c r="B341" s="97"/>
      <c r="C341" s="190"/>
      <c r="D341" s="191"/>
      <c r="E341" s="191"/>
      <c r="F341" s="192"/>
      <c r="G341" s="191"/>
      <c r="H341" s="140"/>
      <c r="I341" s="71"/>
      <c r="J341" s="1"/>
      <c r="K341" s="193"/>
      <c r="L341" s="4"/>
      <c r="M341" s="4"/>
    </row>
    <row r="342" spans="1:13" ht="16.5" customHeight="1">
      <c r="A342" s="97"/>
      <c r="B342" s="97"/>
      <c r="C342" s="190"/>
      <c r="D342" s="191"/>
      <c r="E342" s="191"/>
      <c r="F342" s="192"/>
      <c r="G342" s="191"/>
      <c r="H342" s="140"/>
      <c r="I342" s="71"/>
      <c r="J342" s="1"/>
      <c r="K342" s="193"/>
      <c r="L342" s="4"/>
      <c r="M342" s="4"/>
    </row>
    <row r="343" spans="1:13" ht="18" customHeight="1">
      <c r="A343" s="194" t="s">
        <v>179</v>
      </c>
      <c r="B343" s="194"/>
      <c r="C343" s="195"/>
      <c r="D343" s="196"/>
      <c r="E343" s="196"/>
      <c r="F343" s="197"/>
      <c r="G343" s="196"/>
      <c r="H343" s="17"/>
      <c r="I343" s="71"/>
      <c r="J343" s="1"/>
      <c r="K343" s="193"/>
      <c r="L343" s="4"/>
      <c r="M343" s="4"/>
    </row>
    <row r="344" spans="1:13" ht="18" customHeight="1">
      <c r="A344" s="194"/>
      <c r="B344" s="194"/>
      <c r="C344" s="195"/>
      <c r="D344" s="196"/>
      <c r="E344" s="196"/>
      <c r="F344" s="197"/>
      <c r="G344" s="196"/>
      <c r="H344" s="17"/>
      <c r="I344" s="71"/>
      <c r="J344" s="1"/>
      <c r="K344" s="193"/>
      <c r="L344" s="4"/>
      <c r="M344" s="4"/>
    </row>
    <row r="345" spans="1:13" ht="18" customHeight="1">
      <c r="A345" s="80"/>
      <c r="B345" s="139"/>
      <c r="C345" s="188"/>
      <c r="D345" s="189"/>
      <c r="E345" s="15"/>
      <c r="F345" s="15"/>
      <c r="G345" s="15"/>
      <c r="H345" s="17"/>
      <c r="I345" s="71"/>
      <c r="J345" s="1"/>
      <c r="K345" s="193"/>
      <c r="L345" s="4"/>
      <c r="M345" s="4"/>
    </row>
    <row r="346" spans="1:13" ht="16.5" customHeight="1">
      <c r="A346" s="97" t="s">
        <v>180</v>
      </c>
      <c r="B346" s="97"/>
      <c r="C346" s="190"/>
      <c r="D346" s="191"/>
      <c r="E346" s="191"/>
      <c r="F346" s="192"/>
      <c r="G346" s="191"/>
      <c r="H346" s="140"/>
      <c r="I346" s="71"/>
      <c r="J346" s="1"/>
      <c r="K346" s="193"/>
      <c r="L346" s="4"/>
      <c r="M346" s="4"/>
    </row>
    <row r="347" spans="1:13" ht="18.75">
      <c r="A347" s="194"/>
      <c r="B347" s="194"/>
      <c r="C347" s="195"/>
      <c r="D347" s="196"/>
      <c r="E347" s="196"/>
      <c r="F347" s="197"/>
      <c r="G347" s="196"/>
      <c r="H347" s="17"/>
      <c r="I347" s="198"/>
      <c r="J347" s="1"/>
      <c r="K347" s="193"/>
      <c r="L347" s="2"/>
      <c r="M347" s="2"/>
    </row>
    <row r="348" spans="1:13" ht="18.75">
      <c r="A348" s="194" t="s">
        <v>181</v>
      </c>
      <c r="B348" s="194"/>
      <c r="C348" s="195"/>
      <c r="D348" s="196"/>
      <c r="E348" s="196"/>
      <c r="F348" s="197"/>
      <c r="G348" s="196"/>
      <c r="I348" s="198"/>
      <c r="J348" s="1"/>
      <c r="K348" s="193"/>
      <c r="L348" s="2"/>
      <c r="M348" s="2"/>
    </row>
    <row r="349" spans="1:13" ht="18.75">
      <c r="A349" s="194"/>
      <c r="B349" s="194"/>
      <c r="C349" s="195"/>
      <c r="D349" s="196"/>
      <c r="E349" s="196"/>
      <c r="F349" s="197"/>
      <c r="G349" s="196"/>
      <c r="I349" s="198"/>
      <c r="J349" s="1"/>
      <c r="K349" s="193"/>
      <c r="L349" s="2"/>
      <c r="M349" s="2"/>
    </row>
    <row r="350" spans="1:13" ht="18.75">
      <c r="A350" s="194"/>
      <c r="B350" s="194"/>
      <c r="C350" s="195"/>
      <c r="D350" s="196"/>
      <c r="E350" s="196"/>
      <c r="F350" s="197"/>
      <c r="G350" s="196"/>
      <c r="I350" s="198"/>
      <c r="J350" s="1"/>
      <c r="K350" s="193"/>
      <c r="L350" s="2"/>
      <c r="M350" s="2"/>
    </row>
    <row r="351" spans="1:13" ht="18.75">
      <c r="A351" s="194"/>
      <c r="B351" s="194"/>
      <c r="C351" s="195"/>
      <c r="D351" s="196"/>
      <c r="E351" s="196"/>
      <c r="F351" s="197"/>
      <c r="G351" s="196"/>
      <c r="I351" s="198"/>
      <c r="J351" s="1"/>
      <c r="K351" s="193"/>
      <c r="L351" s="2"/>
      <c r="M351" s="2"/>
    </row>
    <row r="352" spans="1:11" ht="18.75">
      <c r="A352" s="94"/>
      <c r="B352" s="94"/>
      <c r="C352" s="95"/>
      <c r="D352" s="199"/>
      <c r="E352" s="199"/>
      <c r="F352" s="200" t="s">
        <v>182</v>
      </c>
      <c r="G352" s="199"/>
      <c r="I352" s="71"/>
      <c r="K352" s="73"/>
    </row>
    <row r="353" spans="1:11" ht="18.75">
      <c r="A353" s="94"/>
      <c r="B353" s="94"/>
      <c r="C353" s="95"/>
      <c r="D353" s="199"/>
      <c r="E353" s="199"/>
      <c r="F353" s="200" t="s">
        <v>183</v>
      </c>
      <c r="G353" s="199"/>
      <c r="I353" s="71"/>
      <c r="K353" s="73"/>
    </row>
    <row r="354" spans="1:11" ht="18.75">
      <c r="A354" s="94"/>
      <c r="B354" s="94"/>
      <c r="C354" s="95"/>
      <c r="D354" s="199"/>
      <c r="E354" s="199"/>
      <c r="F354" s="200"/>
      <c r="G354" s="199"/>
      <c r="I354" s="71"/>
      <c r="K354" s="73"/>
    </row>
    <row r="355" spans="1:11" ht="19.5">
      <c r="A355" s="94"/>
      <c r="B355" s="94"/>
      <c r="C355" s="95"/>
      <c r="D355" s="199"/>
      <c r="E355" s="199"/>
      <c r="F355" s="201" t="s">
        <v>606</v>
      </c>
      <c r="G355" s="199"/>
      <c r="I355" s="71"/>
      <c r="K355" s="73"/>
    </row>
    <row r="356" spans="1:11" ht="18.75">
      <c r="A356" s="67"/>
      <c r="B356" s="67"/>
      <c r="C356" s="67"/>
      <c r="I356" s="71"/>
      <c r="K356" s="73"/>
    </row>
    <row r="357" spans="1:11" ht="18.75">
      <c r="A357" s="67"/>
      <c r="B357" s="67"/>
      <c r="C357" s="67"/>
      <c r="I357" s="71"/>
      <c r="K357" s="73"/>
    </row>
    <row r="358" spans="1:11" ht="18.75">
      <c r="A358" s="67"/>
      <c r="B358" s="67"/>
      <c r="C358" s="67"/>
      <c r="I358" s="71"/>
      <c r="K358" s="73"/>
    </row>
  </sheetData>
  <printOptions/>
  <pageMargins left="0.1968503937007874" right="0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236"/>
  <sheetViews>
    <sheetView workbookViewId="0" topLeftCell="A1">
      <selection activeCell="G202" sqref="G202"/>
    </sheetView>
  </sheetViews>
  <sheetFormatPr defaultColWidth="9.140625" defaultRowHeight="12.75"/>
  <cols>
    <col min="1" max="1" width="3.7109375" style="62" customWidth="1"/>
    <col min="2" max="2" width="5.140625" style="62" customWidth="1"/>
    <col min="3" max="3" width="6.57421875" style="62" customWidth="1"/>
    <col min="4" max="4" width="5.28125" style="62" customWidth="1"/>
    <col min="5" max="5" width="26.28125" style="62" customWidth="1"/>
    <col min="6" max="6" width="14.7109375" style="62" customWidth="1"/>
    <col min="7" max="7" width="13.421875" style="62" customWidth="1"/>
    <col min="8" max="8" width="23.28125" style="62" customWidth="1"/>
    <col min="9" max="9" width="12.421875" style="62" customWidth="1"/>
    <col min="10" max="10" width="12.28125" style="62" customWidth="1"/>
    <col min="11" max="11" width="8.421875" style="62" customWidth="1"/>
    <col min="12" max="12" width="8.140625" style="62" customWidth="1"/>
    <col min="13" max="13" width="15.140625" style="62" customWidth="1"/>
    <col min="14" max="14" width="20.8515625" style="62" customWidth="1"/>
    <col min="15" max="15" width="14.7109375" style="62" customWidth="1"/>
    <col min="16" max="16384" width="9.140625" style="62" customWidth="1"/>
  </cols>
  <sheetData>
    <row r="1" spans="1:12" ht="20.25">
      <c r="A1" s="211"/>
      <c r="B1" s="212"/>
      <c r="C1" s="212"/>
      <c r="D1" s="211"/>
      <c r="E1" s="213"/>
      <c r="F1" s="213"/>
      <c r="G1" s="213"/>
      <c r="H1" s="214" t="s">
        <v>191</v>
      </c>
      <c r="I1" s="2"/>
      <c r="J1" s="2"/>
      <c r="K1" s="215"/>
      <c r="L1" s="215"/>
    </row>
    <row r="2" spans="1:12" ht="18.75">
      <c r="A2" s="211"/>
      <c r="B2" s="212"/>
      <c r="C2" s="212"/>
      <c r="D2" s="211"/>
      <c r="E2" s="213"/>
      <c r="F2" s="213"/>
      <c r="G2" s="213"/>
      <c r="H2" s="216" t="s">
        <v>74</v>
      </c>
      <c r="I2" s="2"/>
      <c r="J2" s="2"/>
      <c r="K2" s="215"/>
      <c r="L2" s="215"/>
    </row>
    <row r="3" spans="1:12" ht="18.75">
      <c r="A3" s="211"/>
      <c r="B3" s="212"/>
      <c r="C3" s="212"/>
      <c r="D3" s="211"/>
      <c r="E3" s="213"/>
      <c r="F3" s="213"/>
      <c r="G3" s="213"/>
      <c r="H3" s="216" t="s">
        <v>183</v>
      </c>
      <c r="I3" s="2"/>
      <c r="J3" s="217"/>
      <c r="K3" s="215"/>
      <c r="L3" s="215"/>
    </row>
    <row r="4" spans="1:12" ht="18.75">
      <c r="A4" s="211"/>
      <c r="B4" s="212"/>
      <c r="C4" s="212"/>
      <c r="D4" s="211"/>
      <c r="E4" s="213"/>
      <c r="F4" s="213"/>
      <c r="G4" s="213"/>
      <c r="H4" s="216" t="s">
        <v>506</v>
      </c>
      <c r="I4" s="2"/>
      <c r="J4" s="218"/>
      <c r="K4" s="215"/>
      <c r="L4" s="215"/>
    </row>
    <row r="5" spans="1:12" ht="12.75">
      <c r="A5" s="211"/>
      <c r="B5" s="212"/>
      <c r="C5" s="212"/>
      <c r="D5" s="211"/>
      <c r="E5" s="213"/>
      <c r="F5" s="213"/>
      <c r="G5" s="213"/>
      <c r="H5" s="219"/>
      <c r="I5" s="2"/>
      <c r="J5" s="2"/>
      <c r="K5" s="215"/>
      <c r="L5" s="215"/>
    </row>
    <row r="6" spans="1:12" ht="19.5">
      <c r="A6" s="211"/>
      <c r="B6" s="220"/>
      <c r="C6" s="221" t="s">
        <v>192</v>
      </c>
      <c r="D6" s="222"/>
      <c r="E6" s="223"/>
      <c r="F6" s="223"/>
      <c r="G6" s="223"/>
      <c r="H6" s="224"/>
      <c r="I6" s="225"/>
      <c r="J6" s="225"/>
      <c r="K6" s="226"/>
      <c r="L6" s="226"/>
    </row>
    <row r="7" spans="1:12" ht="19.5">
      <c r="A7" s="211"/>
      <c r="B7" s="220"/>
      <c r="C7" s="221"/>
      <c r="D7" s="222"/>
      <c r="E7" s="223"/>
      <c r="F7" s="223"/>
      <c r="G7" s="223"/>
      <c r="H7" s="224"/>
      <c r="I7" s="225"/>
      <c r="J7" s="227"/>
      <c r="K7" s="226"/>
      <c r="L7" s="226"/>
    </row>
    <row r="8" spans="1:12" ht="18.75">
      <c r="A8" s="211"/>
      <c r="B8" s="220"/>
      <c r="C8" s="228"/>
      <c r="D8" s="222"/>
      <c r="E8" s="223"/>
      <c r="F8" s="223"/>
      <c r="G8" s="223"/>
      <c r="H8" s="224"/>
      <c r="I8" s="225"/>
      <c r="J8" s="225"/>
      <c r="K8" s="226"/>
      <c r="L8" s="226"/>
    </row>
    <row r="9" spans="1:12" ht="12.75">
      <c r="A9" s="211"/>
      <c r="B9" s="220" t="s">
        <v>128</v>
      </c>
      <c r="C9" s="229"/>
      <c r="D9" s="230"/>
      <c r="E9" s="223"/>
      <c r="F9" s="223"/>
      <c r="G9" s="223"/>
      <c r="H9" s="231"/>
      <c r="I9" s="232" t="s">
        <v>193</v>
      </c>
      <c r="J9" s="232"/>
      <c r="K9" s="233"/>
      <c r="L9" s="233"/>
    </row>
    <row r="10" spans="1:12" ht="18.75" customHeight="1">
      <c r="A10" s="234"/>
      <c r="B10" s="235"/>
      <c r="C10" s="236"/>
      <c r="D10" s="236"/>
      <c r="E10" s="237"/>
      <c r="F10" s="238"/>
      <c r="G10" s="239"/>
      <c r="H10" s="237"/>
      <c r="I10" s="240" t="s">
        <v>194</v>
      </c>
      <c r="J10" s="239"/>
      <c r="K10" s="241" t="s">
        <v>128</v>
      </c>
      <c r="L10" s="241"/>
    </row>
    <row r="11" spans="1:12" ht="48" customHeight="1">
      <c r="A11" s="242" t="s">
        <v>195</v>
      </c>
      <c r="B11" s="243" t="s">
        <v>196</v>
      </c>
      <c r="C11" s="244" t="s">
        <v>136</v>
      </c>
      <c r="D11" s="244" t="s">
        <v>131</v>
      </c>
      <c r="E11" s="245" t="s">
        <v>197</v>
      </c>
      <c r="F11" s="246" t="s">
        <v>198</v>
      </c>
      <c r="G11" s="247" t="s">
        <v>199</v>
      </c>
      <c r="H11" s="248" t="s">
        <v>201</v>
      </c>
      <c r="I11" s="249"/>
      <c r="J11" s="250" t="s">
        <v>127</v>
      </c>
      <c r="K11" s="251" t="s">
        <v>202</v>
      </c>
      <c r="L11" s="251" t="s">
        <v>203</v>
      </c>
    </row>
    <row r="12" spans="1:15" ht="36.75" customHeight="1">
      <c r="A12" s="252"/>
      <c r="B12" s="253"/>
      <c r="C12" s="254"/>
      <c r="D12" s="254"/>
      <c r="E12" s="255"/>
      <c r="F12" s="256"/>
      <c r="G12" s="257" t="s">
        <v>204</v>
      </c>
      <c r="H12" s="256"/>
      <c r="I12" s="258" t="s">
        <v>204</v>
      </c>
      <c r="J12" s="259" t="s">
        <v>205</v>
      </c>
      <c r="K12" s="260"/>
      <c r="L12" s="260"/>
      <c r="N12" s="548"/>
      <c r="O12" s="548"/>
    </row>
    <row r="13" spans="1:15" ht="21" customHeight="1">
      <c r="A13" s="261"/>
      <c r="B13" s="262" t="s">
        <v>206</v>
      </c>
      <c r="C13" s="263"/>
      <c r="D13" s="264"/>
      <c r="E13" s="265"/>
      <c r="F13" s="266">
        <f>F14+F46+F60+F57+F70+F77+F80+F111+F116+F130+F157+F161</f>
        <v>52517705.010000005</v>
      </c>
      <c r="G13" s="266">
        <f>G14+G46+G60+G57+G70+G77+G80+G111+G116+G130+G157+G161</f>
        <v>4994337.02</v>
      </c>
      <c r="H13" s="266"/>
      <c r="I13" s="266">
        <f>I14+I46+I60+I57+I70+I77+I80+I111+I116+I130+I157+I161</f>
        <v>34256299.16</v>
      </c>
      <c r="J13" s="266">
        <f>J14+J46+J60+J57+J70+J77+J80+J111+J116+J130+J157+J161</f>
        <v>5056420.48</v>
      </c>
      <c r="K13" s="267"/>
      <c r="L13" s="268"/>
      <c r="N13" s="549"/>
      <c r="O13" s="549"/>
    </row>
    <row r="14" spans="1:15" ht="19.5" customHeight="1">
      <c r="A14" s="234"/>
      <c r="B14" s="270">
        <v>600</v>
      </c>
      <c r="C14" s="271"/>
      <c r="D14" s="272"/>
      <c r="E14" s="273" t="s">
        <v>207</v>
      </c>
      <c r="F14" s="274">
        <f>F15+F17</f>
        <v>22367280.05</v>
      </c>
      <c r="G14" s="274">
        <f>G15+G17</f>
        <v>726010.05</v>
      </c>
      <c r="H14" s="274"/>
      <c r="I14" s="274">
        <f>I15+I17</f>
        <v>13926412.95</v>
      </c>
      <c r="J14" s="274">
        <f>J15+J17</f>
        <v>2845420.48</v>
      </c>
      <c r="K14" s="268"/>
      <c r="L14" s="268"/>
      <c r="N14" s="550"/>
      <c r="O14" s="550"/>
    </row>
    <row r="15" spans="1:15" s="407" customFormat="1" ht="19.5" customHeight="1">
      <c r="A15" s="311"/>
      <c r="B15" s="312"/>
      <c r="C15" s="277">
        <v>60004</v>
      </c>
      <c r="D15" s="278"/>
      <c r="E15" s="608" t="s">
        <v>54</v>
      </c>
      <c r="F15" s="609">
        <f>F16</f>
        <v>20000</v>
      </c>
      <c r="G15" s="609">
        <f>G16</f>
        <v>0</v>
      </c>
      <c r="H15" s="609"/>
      <c r="I15" s="609">
        <f>I16</f>
        <v>20000</v>
      </c>
      <c r="J15" s="609">
        <f>J16</f>
        <v>0</v>
      </c>
      <c r="K15" s="281"/>
      <c r="L15" s="281"/>
      <c r="N15" s="610"/>
      <c r="O15" s="610"/>
    </row>
    <row r="16" spans="1:15" s="542" customFormat="1" ht="29.25" customHeight="1">
      <c r="A16" s="242">
        <v>1</v>
      </c>
      <c r="B16" s="308"/>
      <c r="C16" s="252"/>
      <c r="D16" s="301">
        <v>6050</v>
      </c>
      <c r="E16" s="630" t="s">
        <v>53</v>
      </c>
      <c r="F16" s="293">
        <v>20000</v>
      </c>
      <c r="G16" s="293"/>
      <c r="H16" s="293" t="s">
        <v>55</v>
      </c>
      <c r="I16" s="293">
        <v>20000</v>
      </c>
      <c r="J16" s="293"/>
      <c r="K16" s="268" t="s">
        <v>246</v>
      </c>
      <c r="L16" s="268">
        <v>2013</v>
      </c>
      <c r="N16" s="607"/>
      <c r="O16" s="607"/>
    </row>
    <row r="17" spans="1:12" ht="18" customHeight="1">
      <c r="A17" s="252"/>
      <c r="B17" s="276"/>
      <c r="C17" s="277">
        <v>60016</v>
      </c>
      <c r="D17" s="278"/>
      <c r="E17" s="279" t="s">
        <v>208</v>
      </c>
      <c r="F17" s="280">
        <f>SUM(F18:F45)</f>
        <v>22347280.05</v>
      </c>
      <c r="G17" s="280">
        <f>SUM(G18:G45)</f>
        <v>726010.05</v>
      </c>
      <c r="H17" s="280"/>
      <c r="I17" s="280">
        <f>SUM(I18:I45)</f>
        <v>13906412.95</v>
      </c>
      <c r="J17" s="280">
        <f>SUM(J18:J45)</f>
        <v>2845420.48</v>
      </c>
      <c r="K17" s="281"/>
      <c r="L17" s="281"/>
    </row>
    <row r="18" spans="1:14" s="290" customFormat="1" ht="30" customHeight="1">
      <c r="A18" s="282">
        <v>2</v>
      </c>
      <c r="B18" s="283"/>
      <c r="C18" s="284"/>
      <c r="D18" s="285">
        <v>6050</v>
      </c>
      <c r="E18" s="286" t="s">
        <v>209</v>
      </c>
      <c r="F18" s="639">
        <f>1530000-121577</f>
        <v>1408423</v>
      </c>
      <c r="G18" s="287">
        <v>220000</v>
      </c>
      <c r="H18" s="288" t="s">
        <v>225</v>
      </c>
      <c r="I18" s="639">
        <f>1310000-121577</f>
        <v>1188423</v>
      </c>
      <c r="J18" s="639">
        <f>585000-288000-88150-121577</f>
        <v>87273</v>
      </c>
      <c r="K18" s="268" t="s">
        <v>226</v>
      </c>
      <c r="L18" s="268" t="s">
        <v>227</v>
      </c>
      <c r="M18" s="289"/>
      <c r="N18" s="289"/>
    </row>
    <row r="19" spans="1:14" s="290" customFormat="1" ht="27.75" customHeight="1">
      <c r="A19" s="282">
        <v>3</v>
      </c>
      <c r="B19" s="283"/>
      <c r="C19" s="284"/>
      <c r="D19" s="285">
        <v>6050</v>
      </c>
      <c r="E19" s="286" t="s">
        <v>228</v>
      </c>
      <c r="F19" s="287">
        <f>1500000-100000-13000-65543.95</f>
        <v>1321456.05</v>
      </c>
      <c r="G19" s="287">
        <f>1000000-13000-359457.92-163032.03</f>
        <v>464510.05000000005</v>
      </c>
      <c r="H19" s="288" t="s">
        <v>229</v>
      </c>
      <c r="I19" s="287">
        <f>500000-100000+163032.03+359457.92-65543.95</f>
        <v>856946</v>
      </c>
      <c r="J19" s="287">
        <f>480000-100000-314456.05-65543.95</f>
        <v>0</v>
      </c>
      <c r="K19" s="268" t="s">
        <v>226</v>
      </c>
      <c r="L19" s="268" t="s">
        <v>227</v>
      </c>
      <c r="M19" s="289"/>
      <c r="N19" s="289"/>
    </row>
    <row r="20" spans="1:13" s="290" customFormat="1" ht="24" customHeight="1">
      <c r="A20" s="282">
        <v>4</v>
      </c>
      <c r="B20" s="283"/>
      <c r="C20" s="284"/>
      <c r="D20" s="285">
        <v>6050</v>
      </c>
      <c r="E20" s="286" t="s">
        <v>230</v>
      </c>
      <c r="F20" s="287">
        <f>1500000+601000</f>
        <v>2101000</v>
      </c>
      <c r="G20" s="287">
        <v>0</v>
      </c>
      <c r="H20" s="288" t="s">
        <v>231</v>
      </c>
      <c r="I20" s="287">
        <f>601000+1500000</f>
        <v>2101000</v>
      </c>
      <c r="J20" s="287">
        <f>120000+119110</f>
        <v>239110</v>
      </c>
      <c r="K20" s="268" t="s">
        <v>226</v>
      </c>
      <c r="L20" s="268" t="s">
        <v>227</v>
      </c>
      <c r="M20" s="289"/>
    </row>
    <row r="21" spans="1:14" s="290" customFormat="1" ht="26.25" customHeight="1">
      <c r="A21" s="282">
        <v>5</v>
      </c>
      <c r="B21" s="283"/>
      <c r="C21" s="284"/>
      <c r="D21" s="285">
        <v>6050</v>
      </c>
      <c r="E21" s="286" t="s">
        <v>232</v>
      </c>
      <c r="F21" s="287">
        <v>4500000</v>
      </c>
      <c r="G21" s="287">
        <v>0</v>
      </c>
      <c r="H21" s="288" t="s">
        <v>231</v>
      </c>
      <c r="I21" s="287">
        <f>1500000-1400000-13000+1400000</f>
        <v>1487000</v>
      </c>
      <c r="J21" s="287">
        <f>200000+683800-6500-23500-753800-13000+753800-182000</f>
        <v>658800</v>
      </c>
      <c r="K21" s="268" t="s">
        <v>226</v>
      </c>
      <c r="L21" s="268" t="s">
        <v>233</v>
      </c>
      <c r="M21" s="289"/>
      <c r="N21" s="289"/>
    </row>
    <row r="22" spans="1:14" s="290" customFormat="1" ht="28.5" customHeight="1">
      <c r="A22" s="282">
        <v>6</v>
      </c>
      <c r="B22" s="283"/>
      <c r="C22" s="284"/>
      <c r="D22" s="285">
        <v>6050</v>
      </c>
      <c r="E22" s="286" t="s">
        <v>234</v>
      </c>
      <c r="F22" s="287">
        <f>150000+82043.95+78175</f>
        <v>310218.95</v>
      </c>
      <c r="G22" s="287">
        <v>26500</v>
      </c>
      <c r="H22" s="288" t="s">
        <v>235</v>
      </c>
      <c r="I22" s="287">
        <f>123500+82043.95+78175</f>
        <v>283718.95</v>
      </c>
      <c r="J22" s="287">
        <f>23500+82043.95</f>
        <v>105543.95</v>
      </c>
      <c r="K22" s="268" t="s">
        <v>226</v>
      </c>
      <c r="L22" s="268" t="s">
        <v>227</v>
      </c>
      <c r="M22" s="289"/>
      <c r="N22" s="289"/>
    </row>
    <row r="23" spans="1:13" s="290" customFormat="1" ht="37.5" customHeight="1">
      <c r="A23" s="282">
        <v>7</v>
      </c>
      <c r="B23" s="283"/>
      <c r="C23" s="284"/>
      <c r="D23" s="285">
        <v>6050</v>
      </c>
      <c r="E23" s="286" t="s">
        <v>236</v>
      </c>
      <c r="F23" s="287">
        <f>100000-3000</f>
        <v>97000</v>
      </c>
      <c r="G23" s="287">
        <v>10000</v>
      </c>
      <c r="H23" s="288" t="s">
        <v>237</v>
      </c>
      <c r="I23" s="287">
        <f>90000-3000</f>
        <v>87000</v>
      </c>
      <c r="J23" s="287">
        <v>0</v>
      </c>
      <c r="K23" s="268" t="s">
        <v>226</v>
      </c>
      <c r="L23" s="268" t="s">
        <v>227</v>
      </c>
      <c r="M23" s="289"/>
    </row>
    <row r="24" spans="1:13" s="290" customFormat="1" ht="49.5" customHeight="1">
      <c r="A24" s="282">
        <v>8</v>
      </c>
      <c r="B24" s="283"/>
      <c r="C24" s="284"/>
      <c r="D24" s="285">
        <v>6050</v>
      </c>
      <c r="E24" s="291" t="s">
        <v>238</v>
      </c>
      <c r="F24" s="287">
        <f>30000+3000</f>
        <v>33000</v>
      </c>
      <c r="G24" s="287">
        <v>5000</v>
      </c>
      <c r="H24" s="288" t="s">
        <v>239</v>
      </c>
      <c r="I24" s="287">
        <f>25000+3000</f>
        <v>28000</v>
      </c>
      <c r="J24" s="287">
        <v>0</v>
      </c>
      <c r="K24" s="268" t="s">
        <v>226</v>
      </c>
      <c r="L24" s="268" t="s">
        <v>227</v>
      </c>
      <c r="M24" s="289"/>
    </row>
    <row r="25" spans="1:13" s="290" customFormat="1" ht="31.5" customHeight="1">
      <c r="A25" s="282">
        <v>9</v>
      </c>
      <c r="B25" s="283"/>
      <c r="C25" s="284"/>
      <c r="D25" s="285">
        <v>6050</v>
      </c>
      <c r="E25" s="292" t="s">
        <v>240</v>
      </c>
      <c r="F25" s="293">
        <f>570000-106000-1291-4500</f>
        <v>458209</v>
      </c>
      <c r="G25" s="293">
        <v>0</v>
      </c>
      <c r="H25" s="294" t="s">
        <v>241</v>
      </c>
      <c r="I25" s="293">
        <f>570000-106000-1291-4500</f>
        <v>458209</v>
      </c>
      <c r="J25" s="293">
        <f>100000-30960</f>
        <v>69040</v>
      </c>
      <c r="K25" s="268" t="s">
        <v>226</v>
      </c>
      <c r="L25" s="268">
        <v>2013</v>
      </c>
      <c r="M25" s="289"/>
    </row>
    <row r="26" spans="1:13" s="290" customFormat="1" ht="66" customHeight="1">
      <c r="A26" s="282">
        <v>10</v>
      </c>
      <c r="B26" s="283"/>
      <c r="C26" s="284"/>
      <c r="D26" s="285">
        <v>6050</v>
      </c>
      <c r="E26" s="292" t="s">
        <v>242</v>
      </c>
      <c r="F26" s="293">
        <f>1500000+1857.05</f>
        <v>1501857.05</v>
      </c>
      <c r="G26" s="293">
        <v>0</v>
      </c>
      <c r="H26" s="294" t="s">
        <v>243</v>
      </c>
      <c r="I26" s="293">
        <f>1500000-600000+600000</f>
        <v>1500000</v>
      </c>
      <c r="J26" s="293">
        <v>200000</v>
      </c>
      <c r="K26" s="268" t="s">
        <v>226</v>
      </c>
      <c r="L26" s="268" t="s">
        <v>602</v>
      </c>
      <c r="M26" s="289"/>
    </row>
    <row r="27" spans="1:14" s="290" customFormat="1" ht="39" customHeight="1">
      <c r="A27" s="282">
        <v>11</v>
      </c>
      <c r="B27" s="295"/>
      <c r="C27" s="296"/>
      <c r="D27" s="285">
        <v>6050</v>
      </c>
      <c r="E27" s="297" t="s">
        <v>244</v>
      </c>
      <c r="F27" s="522">
        <f>100000+100000</f>
        <v>200000</v>
      </c>
      <c r="G27" s="298">
        <v>0</v>
      </c>
      <c r="H27" s="294" t="s">
        <v>245</v>
      </c>
      <c r="I27" s="714">
        <f>100000+100000</f>
        <v>200000</v>
      </c>
      <c r="J27" s="293">
        <v>0</v>
      </c>
      <c r="K27" s="268" t="s">
        <v>246</v>
      </c>
      <c r="L27" s="268">
        <v>2013</v>
      </c>
      <c r="M27" s="289"/>
      <c r="N27" s="289"/>
    </row>
    <row r="28" spans="1:13" s="290" customFormat="1" ht="35.25" customHeight="1">
      <c r="A28" s="282">
        <v>12</v>
      </c>
      <c r="B28" s="295"/>
      <c r="C28" s="296"/>
      <c r="D28" s="285">
        <v>6050</v>
      </c>
      <c r="E28" s="297" t="s">
        <v>247</v>
      </c>
      <c r="F28" s="522">
        <f>800000-15000-16500-73675-130000</f>
        <v>564825</v>
      </c>
      <c r="G28" s="298"/>
      <c r="H28" s="294" t="s">
        <v>248</v>
      </c>
      <c r="I28" s="714">
        <f>800000-15000-16500-73675-130000</f>
        <v>564825</v>
      </c>
      <c r="J28" s="714">
        <f>500000-300000-16500-130000</f>
        <v>53500</v>
      </c>
      <c r="K28" s="268" t="s">
        <v>226</v>
      </c>
      <c r="L28" s="268">
        <v>2013</v>
      </c>
      <c r="M28" s="289"/>
    </row>
    <row r="29" spans="1:12" s="290" customFormat="1" ht="42.75" customHeight="1">
      <c r="A29" s="282">
        <v>13</v>
      </c>
      <c r="B29" s="295"/>
      <c r="C29" s="296"/>
      <c r="D29" s="285">
        <v>6050</v>
      </c>
      <c r="E29" s="297" t="s">
        <v>249</v>
      </c>
      <c r="F29" s="298">
        <f>100000-50000</f>
        <v>50000</v>
      </c>
      <c r="G29" s="298"/>
      <c r="H29" s="294" t="s">
        <v>250</v>
      </c>
      <c r="I29" s="293">
        <f>100000-50000</f>
        <v>50000</v>
      </c>
      <c r="J29" s="293"/>
      <c r="K29" s="268" t="s">
        <v>226</v>
      </c>
      <c r="L29" s="268">
        <v>2013</v>
      </c>
    </row>
    <row r="30" spans="1:14" s="290" customFormat="1" ht="53.25" customHeight="1">
      <c r="A30" s="282">
        <v>14</v>
      </c>
      <c r="B30" s="295"/>
      <c r="C30" s="296"/>
      <c r="D30" s="285">
        <v>6050</v>
      </c>
      <c r="E30" s="297" t="s">
        <v>251</v>
      </c>
      <c r="F30" s="298">
        <f>50000+1291</f>
        <v>51291</v>
      </c>
      <c r="G30" s="298"/>
      <c r="H30" s="294" t="s">
        <v>250</v>
      </c>
      <c r="I30" s="293">
        <f>1291+50000</f>
        <v>51291</v>
      </c>
      <c r="J30" s="293"/>
      <c r="K30" s="268" t="s">
        <v>226</v>
      </c>
      <c r="L30" s="268">
        <v>2013</v>
      </c>
      <c r="N30" s="289"/>
    </row>
    <row r="31" spans="1:14" s="290" customFormat="1" ht="42" customHeight="1">
      <c r="A31" s="282">
        <v>15</v>
      </c>
      <c r="B31" s="295"/>
      <c r="C31" s="296"/>
      <c r="D31" s="285">
        <v>6050</v>
      </c>
      <c r="E31" s="297" t="s">
        <v>69</v>
      </c>
      <c r="F31" s="298">
        <v>2500000</v>
      </c>
      <c r="G31" s="298"/>
      <c r="H31" s="294"/>
      <c r="I31" s="293">
        <v>1000000</v>
      </c>
      <c r="J31" s="293">
        <v>500000</v>
      </c>
      <c r="K31" s="268" t="s">
        <v>226</v>
      </c>
      <c r="L31" s="268" t="s">
        <v>602</v>
      </c>
      <c r="N31" s="289"/>
    </row>
    <row r="32" spans="1:12" s="290" customFormat="1" ht="37.5" customHeight="1">
      <c r="A32" s="282">
        <v>16</v>
      </c>
      <c r="B32" s="295"/>
      <c r="C32" s="296"/>
      <c r="D32" s="285">
        <v>6050</v>
      </c>
      <c r="E32" s="297" t="s">
        <v>70</v>
      </c>
      <c r="F32" s="298">
        <v>100000</v>
      </c>
      <c r="G32" s="298"/>
      <c r="H32" s="294"/>
      <c r="I32" s="293">
        <v>100000</v>
      </c>
      <c r="J32" s="293"/>
      <c r="K32" s="268" t="s">
        <v>226</v>
      </c>
      <c r="L32" s="268">
        <v>2013</v>
      </c>
    </row>
    <row r="33" spans="1:12" s="290" customFormat="1" ht="27.75" customHeight="1">
      <c r="A33" s="282">
        <v>17</v>
      </c>
      <c r="B33" s="295"/>
      <c r="C33" s="296"/>
      <c r="D33" s="285">
        <v>6050</v>
      </c>
      <c r="E33" s="297" t="s">
        <v>71</v>
      </c>
      <c r="F33" s="298">
        <v>50000</v>
      </c>
      <c r="G33" s="298"/>
      <c r="H33" s="294"/>
      <c r="I33" s="293">
        <v>50000</v>
      </c>
      <c r="J33" s="293"/>
      <c r="K33" s="268" t="s">
        <v>226</v>
      </c>
      <c r="L33" s="268">
        <v>2013</v>
      </c>
    </row>
    <row r="34" spans="1:12" s="290" customFormat="1" ht="33" customHeight="1">
      <c r="A34" s="282">
        <v>18</v>
      </c>
      <c r="B34" s="295"/>
      <c r="C34" s="296"/>
      <c r="D34" s="285">
        <v>6050</v>
      </c>
      <c r="E34" s="297" t="s">
        <v>81</v>
      </c>
      <c r="F34" s="298">
        <v>2900000</v>
      </c>
      <c r="G34" s="298"/>
      <c r="H34" s="294"/>
      <c r="I34" s="293">
        <v>900000</v>
      </c>
      <c r="J34" s="293">
        <v>500000</v>
      </c>
      <c r="K34" s="268" t="s">
        <v>226</v>
      </c>
      <c r="L34" s="268" t="s">
        <v>602</v>
      </c>
    </row>
    <row r="35" spans="1:12" s="290" customFormat="1" ht="57.75" customHeight="1">
      <c r="A35" s="282">
        <v>19</v>
      </c>
      <c r="B35" s="295"/>
      <c r="C35" s="296"/>
      <c r="D35" s="285">
        <v>6050</v>
      </c>
      <c r="E35" s="297" t="s">
        <v>6</v>
      </c>
      <c r="F35" s="298">
        <v>20000</v>
      </c>
      <c r="G35" s="298"/>
      <c r="H35" s="294" t="s">
        <v>250</v>
      </c>
      <c r="I35" s="293">
        <v>20000</v>
      </c>
      <c r="J35" s="293"/>
      <c r="K35" s="268" t="s">
        <v>226</v>
      </c>
      <c r="L35" s="268">
        <v>2013</v>
      </c>
    </row>
    <row r="36" spans="1:12" s="290" customFormat="1" ht="61.5" customHeight="1">
      <c r="A36" s="282">
        <v>20</v>
      </c>
      <c r="B36" s="295"/>
      <c r="C36" s="296"/>
      <c r="D36" s="285">
        <v>6050</v>
      </c>
      <c r="E36" s="297" t="s">
        <v>24</v>
      </c>
      <c r="F36" s="298">
        <v>85000</v>
      </c>
      <c r="G36" s="298"/>
      <c r="H36" s="294" t="s">
        <v>250</v>
      </c>
      <c r="I36" s="293">
        <v>85000</v>
      </c>
      <c r="J36" s="293"/>
      <c r="K36" s="268" t="s">
        <v>246</v>
      </c>
      <c r="L36" s="268">
        <v>2013</v>
      </c>
    </row>
    <row r="37" spans="1:12" s="290" customFormat="1" ht="33.75" customHeight="1">
      <c r="A37" s="282">
        <v>21</v>
      </c>
      <c r="B37" s="295"/>
      <c r="C37" s="296"/>
      <c r="D37" s="285">
        <v>6050</v>
      </c>
      <c r="E37" s="297" t="s">
        <v>5</v>
      </c>
      <c r="F37" s="298">
        <v>900000</v>
      </c>
      <c r="G37" s="298"/>
      <c r="H37" s="294"/>
      <c r="I37" s="293">
        <v>900000</v>
      </c>
      <c r="J37" s="293">
        <f>432154.48-0.95</f>
        <v>432153.52999999997</v>
      </c>
      <c r="K37" s="268" t="s">
        <v>246</v>
      </c>
      <c r="L37" s="268">
        <v>2013</v>
      </c>
    </row>
    <row r="38" spans="1:12" s="290" customFormat="1" ht="41.25" customHeight="1">
      <c r="A38" s="282">
        <v>22</v>
      </c>
      <c r="B38" s="295"/>
      <c r="C38" s="296"/>
      <c r="D38" s="285">
        <v>6050</v>
      </c>
      <c r="E38" s="297" t="s">
        <v>513</v>
      </c>
      <c r="F38" s="298">
        <v>50000</v>
      </c>
      <c r="G38" s="298"/>
      <c r="H38" s="294" t="s">
        <v>250</v>
      </c>
      <c r="I38" s="293">
        <v>50000</v>
      </c>
      <c r="J38" s="293"/>
      <c r="K38" s="268" t="s">
        <v>226</v>
      </c>
      <c r="L38" s="268">
        <v>2013</v>
      </c>
    </row>
    <row r="39" spans="1:12" s="290" customFormat="1" ht="58.5" customHeight="1">
      <c r="A39" s="282">
        <v>23</v>
      </c>
      <c r="B39" s="295"/>
      <c r="C39" s="296"/>
      <c r="D39" s="285">
        <v>6050</v>
      </c>
      <c r="E39" s="297" t="s">
        <v>66</v>
      </c>
      <c r="F39" s="298">
        <v>350000</v>
      </c>
      <c r="G39" s="298"/>
      <c r="H39" s="294" t="s">
        <v>250</v>
      </c>
      <c r="I39" s="293">
        <v>350000</v>
      </c>
      <c r="J39" s="293"/>
      <c r="K39" s="268" t="s">
        <v>58</v>
      </c>
      <c r="L39" s="268">
        <v>2013</v>
      </c>
    </row>
    <row r="40" spans="1:12" s="290" customFormat="1" ht="51" customHeight="1">
      <c r="A40" s="282">
        <v>24</v>
      </c>
      <c r="B40" s="295"/>
      <c r="C40" s="296"/>
      <c r="D40" s="285">
        <v>6050</v>
      </c>
      <c r="E40" s="297" t="s">
        <v>120</v>
      </c>
      <c r="F40" s="298">
        <v>2200000</v>
      </c>
      <c r="G40" s="298"/>
      <c r="H40" s="294"/>
      <c r="I40" s="293">
        <v>1000000</v>
      </c>
      <c r="J40" s="293"/>
      <c r="K40" s="268" t="s">
        <v>226</v>
      </c>
      <c r="L40" s="268" t="s">
        <v>602</v>
      </c>
    </row>
    <row r="41" spans="1:12" s="290" customFormat="1" ht="74.25" customHeight="1">
      <c r="A41" s="282">
        <v>25</v>
      </c>
      <c r="B41" s="295"/>
      <c r="C41" s="296"/>
      <c r="D41" s="285">
        <v>6050</v>
      </c>
      <c r="E41" s="297" t="s">
        <v>533</v>
      </c>
      <c r="F41" s="298">
        <v>100000</v>
      </c>
      <c r="G41" s="298"/>
      <c r="H41" s="294" t="s">
        <v>250</v>
      </c>
      <c r="I41" s="293">
        <v>100000</v>
      </c>
      <c r="J41" s="293"/>
      <c r="K41" s="268" t="s">
        <v>226</v>
      </c>
      <c r="L41" s="268">
        <v>2013</v>
      </c>
    </row>
    <row r="42" spans="1:12" s="290" customFormat="1" ht="36" customHeight="1">
      <c r="A42" s="282">
        <v>26</v>
      </c>
      <c r="B42" s="295"/>
      <c r="C42" s="296"/>
      <c r="D42" s="285">
        <v>6050</v>
      </c>
      <c r="E42" s="297" t="s">
        <v>96</v>
      </c>
      <c r="F42" s="298">
        <v>300000</v>
      </c>
      <c r="G42" s="298"/>
      <c r="H42" s="294" t="s">
        <v>521</v>
      </c>
      <c r="I42" s="293">
        <v>300000</v>
      </c>
      <c r="J42" s="293"/>
      <c r="K42" s="268" t="s">
        <v>246</v>
      </c>
      <c r="L42" s="268">
        <v>2013</v>
      </c>
    </row>
    <row r="43" spans="1:12" s="290" customFormat="1" ht="50.25" customHeight="1">
      <c r="A43" s="282">
        <v>27</v>
      </c>
      <c r="B43" s="295"/>
      <c r="C43" s="296"/>
      <c r="D43" s="285">
        <v>6050</v>
      </c>
      <c r="E43" s="297" t="s">
        <v>14</v>
      </c>
      <c r="F43" s="298">
        <v>30000</v>
      </c>
      <c r="G43" s="298"/>
      <c r="H43" s="294" t="s">
        <v>250</v>
      </c>
      <c r="I43" s="293">
        <v>30000</v>
      </c>
      <c r="J43" s="293"/>
      <c r="K43" s="268" t="s">
        <v>226</v>
      </c>
      <c r="L43" s="268">
        <v>2013</v>
      </c>
    </row>
    <row r="44" spans="1:12" s="290" customFormat="1" ht="50.25" customHeight="1">
      <c r="A44" s="282"/>
      <c r="B44" s="295"/>
      <c r="C44" s="296"/>
      <c r="D44" s="713">
        <v>6050</v>
      </c>
      <c r="E44" s="605" t="s">
        <v>504</v>
      </c>
      <c r="F44" s="522">
        <v>15000</v>
      </c>
      <c r="G44" s="522"/>
      <c r="H44" s="612"/>
      <c r="I44" s="714">
        <v>15000</v>
      </c>
      <c r="J44" s="714"/>
      <c r="K44" s="547" t="s">
        <v>226</v>
      </c>
      <c r="L44" s="547">
        <v>2013</v>
      </c>
    </row>
    <row r="45" spans="1:12" ht="38.25" customHeight="1">
      <c r="A45" s="299">
        <v>28</v>
      </c>
      <c r="B45" s="300"/>
      <c r="C45" s="242"/>
      <c r="D45" s="301">
        <v>6050</v>
      </c>
      <c r="E45" s="297" t="s">
        <v>252</v>
      </c>
      <c r="F45" s="298">
        <f>85000+65000</f>
        <v>150000</v>
      </c>
      <c r="G45" s="298">
        <v>0</v>
      </c>
      <c r="H45" s="294" t="s">
        <v>253</v>
      </c>
      <c r="I45" s="302">
        <f>65000+85000</f>
        <v>150000</v>
      </c>
      <c r="J45" s="302">
        <v>0</v>
      </c>
      <c r="K45" s="268" t="s">
        <v>246</v>
      </c>
      <c r="L45" s="268">
        <v>2013</v>
      </c>
    </row>
    <row r="46" spans="1:12" ht="21.75" customHeight="1">
      <c r="A46" s="303"/>
      <c r="B46" s="271">
        <v>700</v>
      </c>
      <c r="C46" s="271"/>
      <c r="D46" s="272"/>
      <c r="E46" s="304" t="s">
        <v>254</v>
      </c>
      <c r="F46" s="305">
        <f>F47+F50</f>
        <v>2981915.1</v>
      </c>
      <c r="G46" s="305">
        <f>G47+G50</f>
        <v>190433.05</v>
      </c>
      <c r="H46" s="305"/>
      <c r="I46" s="305">
        <f>I47+I50</f>
        <v>2461482.05</v>
      </c>
      <c r="J46" s="305">
        <f>J47+J50</f>
        <v>285000</v>
      </c>
      <c r="K46" s="268"/>
      <c r="L46" s="268"/>
    </row>
    <row r="47" spans="1:12" ht="27" customHeight="1">
      <c r="A47" s="299"/>
      <c r="B47" s="306"/>
      <c r="C47" s="307">
        <v>70005</v>
      </c>
      <c r="D47" s="278"/>
      <c r="E47" s="279" t="s">
        <v>255</v>
      </c>
      <c r="F47" s="280">
        <f>SUM(F48:F49)</f>
        <v>1680982.1</v>
      </c>
      <c r="G47" s="280">
        <f>SUM(G48:G49)</f>
        <v>190433.05</v>
      </c>
      <c r="H47" s="280"/>
      <c r="I47" s="280">
        <f>SUM(I48:I49)</f>
        <v>1160549.05</v>
      </c>
      <c r="J47" s="280">
        <f>SUM(J48:J49)</f>
        <v>0</v>
      </c>
      <c r="K47" s="281"/>
      <c r="L47" s="281"/>
    </row>
    <row r="48" spans="1:12" s="542" customFormat="1" ht="32.25" customHeight="1">
      <c r="A48" s="299">
        <v>29</v>
      </c>
      <c r="B48" s="242"/>
      <c r="C48" s="308"/>
      <c r="D48" s="301">
        <v>6050</v>
      </c>
      <c r="E48" s="297" t="s">
        <v>51</v>
      </c>
      <c r="F48" s="298">
        <v>15000</v>
      </c>
      <c r="G48" s="298"/>
      <c r="H48" s="298" t="s">
        <v>57</v>
      </c>
      <c r="I48" s="298">
        <v>15000</v>
      </c>
      <c r="J48" s="298"/>
      <c r="K48" s="268" t="s">
        <v>56</v>
      </c>
      <c r="L48" s="268">
        <v>2013</v>
      </c>
    </row>
    <row r="49" spans="1:12" ht="109.5" customHeight="1">
      <c r="A49" s="299">
        <v>30</v>
      </c>
      <c r="B49" s="242"/>
      <c r="C49" s="308"/>
      <c r="D49" s="301">
        <v>6060</v>
      </c>
      <c r="E49" s="297" t="s">
        <v>256</v>
      </c>
      <c r="F49" s="298">
        <f>1611982.1+550000+4000-500000</f>
        <v>1665982.1</v>
      </c>
      <c r="G49" s="298">
        <v>190433.05</v>
      </c>
      <c r="H49" s="288" t="s">
        <v>514</v>
      </c>
      <c r="I49" s="309">
        <f>1091549.05+550000+4000-500000</f>
        <v>1145549.05</v>
      </c>
      <c r="J49" s="309">
        <v>0</v>
      </c>
      <c r="K49" s="310" t="s">
        <v>257</v>
      </c>
      <c r="L49" s="310" t="s">
        <v>258</v>
      </c>
    </row>
    <row r="50" spans="1:12" ht="24.75" customHeight="1">
      <c r="A50" s="299"/>
      <c r="B50" s="311"/>
      <c r="C50" s="312">
        <v>70095</v>
      </c>
      <c r="D50" s="313"/>
      <c r="E50" s="279" t="s">
        <v>259</v>
      </c>
      <c r="F50" s="280">
        <f>SUM(F51:F56)</f>
        <v>1300933</v>
      </c>
      <c r="G50" s="280">
        <f>SUM(G51:G56)</f>
        <v>0</v>
      </c>
      <c r="H50" s="280"/>
      <c r="I50" s="280">
        <f>SUM(I51:I56)</f>
        <v>1300933</v>
      </c>
      <c r="J50" s="280">
        <f>SUM(J51:J56)</f>
        <v>285000</v>
      </c>
      <c r="K50" s="281"/>
      <c r="L50" s="281"/>
    </row>
    <row r="51" spans="1:12" s="386" customFormat="1" ht="42.75" customHeight="1">
      <c r="A51" s="299">
        <v>31</v>
      </c>
      <c r="B51" s="242"/>
      <c r="C51" s="308"/>
      <c r="D51" s="299">
        <v>6050</v>
      </c>
      <c r="E51" s="286" t="s">
        <v>260</v>
      </c>
      <c r="F51" s="298">
        <v>65000</v>
      </c>
      <c r="G51" s="298">
        <v>0</v>
      </c>
      <c r="H51" s="288" t="s">
        <v>261</v>
      </c>
      <c r="I51" s="309">
        <v>65000</v>
      </c>
      <c r="J51" s="309">
        <v>0</v>
      </c>
      <c r="K51" s="310" t="s">
        <v>190</v>
      </c>
      <c r="L51" s="310">
        <v>2013</v>
      </c>
    </row>
    <row r="52" spans="1:12" s="386" customFormat="1" ht="64.5" customHeight="1">
      <c r="A52" s="252">
        <v>32</v>
      </c>
      <c r="B52" s="242"/>
      <c r="C52" s="308"/>
      <c r="D52" s="299">
        <v>6050</v>
      </c>
      <c r="E52" s="339" t="s">
        <v>603</v>
      </c>
      <c r="F52" s="340">
        <v>155000</v>
      </c>
      <c r="G52" s="340"/>
      <c r="H52" s="339" t="s">
        <v>605</v>
      </c>
      <c r="I52" s="397">
        <v>155000</v>
      </c>
      <c r="J52" s="397">
        <v>155000</v>
      </c>
      <c r="K52" s="310" t="s">
        <v>190</v>
      </c>
      <c r="L52" s="310">
        <v>2013</v>
      </c>
    </row>
    <row r="53" spans="1:12" s="386" customFormat="1" ht="54" customHeight="1">
      <c r="A53" s="252">
        <v>33</v>
      </c>
      <c r="B53" s="242"/>
      <c r="C53" s="308"/>
      <c r="D53" s="299">
        <v>6050</v>
      </c>
      <c r="E53" s="810" t="s">
        <v>421</v>
      </c>
      <c r="F53" s="340">
        <f>23233+550000</f>
        <v>573233</v>
      </c>
      <c r="G53" s="340"/>
      <c r="H53" s="396"/>
      <c r="I53" s="397">
        <f>23233+550000</f>
        <v>573233</v>
      </c>
      <c r="J53" s="397"/>
      <c r="K53" s="310" t="s">
        <v>226</v>
      </c>
      <c r="L53" s="310">
        <v>2013</v>
      </c>
    </row>
    <row r="54" spans="1:12" s="386" customFormat="1" ht="58.5" customHeight="1">
      <c r="A54" s="299">
        <v>34</v>
      </c>
      <c r="B54" s="242"/>
      <c r="C54" s="308"/>
      <c r="D54" s="299">
        <v>6050</v>
      </c>
      <c r="E54" s="286" t="s">
        <v>18</v>
      </c>
      <c r="F54" s="404">
        <v>185000</v>
      </c>
      <c r="G54" s="340"/>
      <c r="H54" s="396" t="s">
        <v>487</v>
      </c>
      <c r="I54" s="397">
        <v>185000</v>
      </c>
      <c r="J54" s="397"/>
      <c r="K54" s="310" t="s">
        <v>226</v>
      </c>
      <c r="L54" s="310">
        <v>2013</v>
      </c>
    </row>
    <row r="55" spans="1:12" s="386" customFormat="1" ht="56.25" customHeight="1">
      <c r="A55" s="299">
        <v>35</v>
      </c>
      <c r="B55" s="242"/>
      <c r="C55" s="308"/>
      <c r="D55" s="299">
        <v>6050</v>
      </c>
      <c r="E55" s="806" t="s">
        <v>423</v>
      </c>
      <c r="F55" s="809">
        <f>50000+130000</f>
        <v>180000</v>
      </c>
      <c r="G55" s="340"/>
      <c r="H55" s="807" t="s">
        <v>435</v>
      </c>
      <c r="I55" s="808">
        <f>50000+130000</f>
        <v>180000</v>
      </c>
      <c r="J55" s="808">
        <v>130000</v>
      </c>
      <c r="K55" s="310" t="s">
        <v>226</v>
      </c>
      <c r="L55" s="310">
        <v>2013</v>
      </c>
    </row>
    <row r="56" spans="1:12" s="386" customFormat="1" ht="57" customHeight="1">
      <c r="A56" s="299">
        <v>36</v>
      </c>
      <c r="B56" s="242"/>
      <c r="C56" s="308"/>
      <c r="D56" s="234">
        <v>6050</v>
      </c>
      <c r="E56" s="425" t="s">
        <v>604</v>
      </c>
      <c r="F56" s="662">
        <v>142700</v>
      </c>
      <c r="G56" s="340"/>
      <c r="H56" s="294" t="s">
        <v>250</v>
      </c>
      <c r="I56" s="397">
        <v>142700</v>
      </c>
      <c r="J56" s="397"/>
      <c r="K56" s="310" t="s">
        <v>226</v>
      </c>
      <c r="L56" s="310">
        <v>2013</v>
      </c>
    </row>
    <row r="57" spans="1:12" s="672" customFormat="1" ht="30" customHeight="1">
      <c r="A57" s="668"/>
      <c r="B57" s="669">
        <v>710</v>
      </c>
      <c r="C57" s="668"/>
      <c r="D57" s="668"/>
      <c r="E57" s="670" t="s">
        <v>558</v>
      </c>
      <c r="F57" s="678">
        <f>F58</f>
        <v>20000</v>
      </c>
      <c r="G57" s="678">
        <f>G58</f>
        <v>0</v>
      </c>
      <c r="H57" s="678"/>
      <c r="I57" s="678">
        <f>I58</f>
        <v>20000</v>
      </c>
      <c r="J57" s="678">
        <f>J58</f>
        <v>0</v>
      </c>
      <c r="K57" s="671"/>
      <c r="L57" s="671"/>
    </row>
    <row r="58" spans="1:12" s="677" customFormat="1" ht="23.25" customHeight="1">
      <c r="A58" s="673"/>
      <c r="B58" s="673"/>
      <c r="C58" s="674">
        <v>71035</v>
      </c>
      <c r="D58" s="674"/>
      <c r="E58" s="675" t="s">
        <v>15</v>
      </c>
      <c r="F58" s="679">
        <f>F59</f>
        <v>20000</v>
      </c>
      <c r="G58" s="679">
        <f>G59</f>
        <v>0</v>
      </c>
      <c r="H58" s="679"/>
      <c r="I58" s="679">
        <f>I59</f>
        <v>20000</v>
      </c>
      <c r="J58" s="679">
        <f>J59</f>
        <v>0</v>
      </c>
      <c r="K58" s="676"/>
      <c r="L58" s="676"/>
    </row>
    <row r="59" spans="1:12" s="664" customFormat="1" ht="57" customHeight="1">
      <c r="A59" s="708">
        <v>37</v>
      </c>
      <c r="B59" s="665"/>
      <c r="C59" s="666"/>
      <c r="D59" s="667">
        <v>6050</v>
      </c>
      <c r="E59" s="709" t="s">
        <v>16</v>
      </c>
      <c r="F59" s="681">
        <v>20000</v>
      </c>
      <c r="G59" s="680"/>
      <c r="H59" s="682" t="s">
        <v>17</v>
      </c>
      <c r="I59" s="681">
        <v>20000</v>
      </c>
      <c r="J59" s="640"/>
      <c r="K59" s="663" t="s">
        <v>536</v>
      </c>
      <c r="L59" s="699">
        <v>2013</v>
      </c>
    </row>
    <row r="60" spans="1:12" ht="23.25" customHeight="1">
      <c r="A60" s="329"/>
      <c r="B60" s="271">
        <v>750</v>
      </c>
      <c r="C60" s="271"/>
      <c r="D60" s="272"/>
      <c r="E60" s="350" t="s">
        <v>262</v>
      </c>
      <c r="F60" s="316">
        <f>F61+F66</f>
        <v>4492600</v>
      </c>
      <c r="G60" s="316">
        <f>G61+G66</f>
        <v>540000</v>
      </c>
      <c r="H60" s="316"/>
      <c r="I60" s="316">
        <f>I61+I66</f>
        <v>3002600</v>
      </c>
      <c r="J60" s="316">
        <f>J61+J66</f>
        <v>0</v>
      </c>
      <c r="K60" s="267"/>
      <c r="L60" s="268"/>
    </row>
    <row r="61" spans="1:12" ht="30.75" customHeight="1">
      <c r="A61" s="317"/>
      <c r="B61" s="306"/>
      <c r="C61" s="276">
        <v>75023</v>
      </c>
      <c r="D61" s="313"/>
      <c r="E61" s="319" t="s">
        <v>263</v>
      </c>
      <c r="F61" s="320">
        <f>SUM(F62:F65)</f>
        <v>312600</v>
      </c>
      <c r="G61" s="320">
        <f>SUM(G62:G65)</f>
        <v>0</v>
      </c>
      <c r="H61" s="320"/>
      <c r="I61" s="320">
        <f>SUM(I62:I65)</f>
        <v>312600</v>
      </c>
      <c r="J61" s="320">
        <f>SUM(J62:J65)</f>
        <v>0</v>
      </c>
      <c r="K61" s="281"/>
      <c r="L61" s="281"/>
    </row>
    <row r="62" spans="1:14" s="542" customFormat="1" ht="120.75" customHeight="1">
      <c r="A62" s="242">
        <v>38</v>
      </c>
      <c r="C62" s="234"/>
      <c r="D62" s="370">
        <v>6050</v>
      </c>
      <c r="E62" s="286" t="s">
        <v>83</v>
      </c>
      <c r="F62" s="404">
        <f>165000-20000</f>
        <v>145000</v>
      </c>
      <c r="G62" s="404"/>
      <c r="H62" s="404" t="s">
        <v>78</v>
      </c>
      <c r="I62" s="404">
        <f>165000-20000</f>
        <v>145000</v>
      </c>
      <c r="J62" s="404"/>
      <c r="K62" s="268" t="s">
        <v>266</v>
      </c>
      <c r="L62" s="268">
        <v>2013</v>
      </c>
      <c r="N62" s="631"/>
    </row>
    <row r="63" spans="1:12" s="542" customFormat="1" ht="50.25" customHeight="1">
      <c r="A63" s="242">
        <v>39</v>
      </c>
      <c r="C63" s="242"/>
      <c r="D63" s="370">
        <v>6050</v>
      </c>
      <c r="E63" s="546" t="s">
        <v>151</v>
      </c>
      <c r="F63" s="324">
        <v>20000</v>
      </c>
      <c r="G63" s="324"/>
      <c r="H63" s="324" t="s">
        <v>79</v>
      </c>
      <c r="I63" s="324">
        <v>20000</v>
      </c>
      <c r="J63" s="324"/>
      <c r="K63" s="268" t="s">
        <v>266</v>
      </c>
      <c r="L63" s="268">
        <v>2013</v>
      </c>
    </row>
    <row r="64" spans="1:12" s="542" customFormat="1" ht="50.25" customHeight="1">
      <c r="A64" s="242">
        <v>40</v>
      </c>
      <c r="C64" s="242"/>
      <c r="D64" s="370">
        <v>6050</v>
      </c>
      <c r="E64" s="546" t="s">
        <v>121</v>
      </c>
      <c r="F64" s="324">
        <v>72000</v>
      </c>
      <c r="G64" s="324"/>
      <c r="H64" s="324" t="s">
        <v>488</v>
      </c>
      <c r="I64" s="324">
        <v>72000</v>
      </c>
      <c r="J64" s="324"/>
      <c r="K64" s="268" t="s">
        <v>226</v>
      </c>
      <c r="L64" s="268">
        <v>2013</v>
      </c>
    </row>
    <row r="65" spans="1:12" ht="38.25" customHeight="1">
      <c r="A65" s="317">
        <v>41</v>
      </c>
      <c r="B65" s="523"/>
      <c r="C65" s="463"/>
      <c r="D65" s="370">
        <v>6060</v>
      </c>
      <c r="E65" s="323" t="s">
        <v>264</v>
      </c>
      <c r="F65" s="811">
        <f>175000+3800+4800-80000+12000-40000</f>
        <v>75600</v>
      </c>
      <c r="G65" s="324">
        <v>0</v>
      </c>
      <c r="H65" s="325" t="s">
        <v>265</v>
      </c>
      <c r="I65" s="811">
        <f>175000+3800+4800-80000+12000-40000</f>
        <v>75600</v>
      </c>
      <c r="J65" s="326">
        <v>0</v>
      </c>
      <c r="K65" s="268" t="s">
        <v>266</v>
      </c>
      <c r="L65" s="327">
        <v>2013</v>
      </c>
    </row>
    <row r="66" spans="1:12" ht="26.25" customHeight="1">
      <c r="A66" s="317"/>
      <c r="B66" s="321"/>
      <c r="C66" s="277">
        <v>75095</v>
      </c>
      <c r="D66" s="313"/>
      <c r="E66" s="319" t="s">
        <v>259</v>
      </c>
      <c r="F66" s="320">
        <f>SUM(F67:F69)</f>
        <v>4180000</v>
      </c>
      <c r="G66" s="320">
        <f>SUM(G67:G69)</f>
        <v>540000</v>
      </c>
      <c r="H66" s="320"/>
      <c r="I66" s="320">
        <f>SUM(I67:I69)</f>
        <v>2690000</v>
      </c>
      <c r="J66" s="320">
        <f>SUM(J67:J69)</f>
        <v>0</v>
      </c>
      <c r="K66" s="281"/>
      <c r="L66" s="281"/>
    </row>
    <row r="67" spans="1:12" ht="38.25" customHeight="1">
      <c r="A67" s="317">
        <v>42</v>
      </c>
      <c r="B67" s="321"/>
      <c r="C67" s="276"/>
      <c r="D67" s="328">
        <v>6050</v>
      </c>
      <c r="E67" s="314" t="s">
        <v>268</v>
      </c>
      <c r="F67" s="298">
        <v>2440000</v>
      </c>
      <c r="G67" s="298">
        <v>540000</v>
      </c>
      <c r="H67" s="288" t="s">
        <v>269</v>
      </c>
      <c r="I67" s="309">
        <v>950000</v>
      </c>
      <c r="J67" s="309">
        <v>0</v>
      </c>
      <c r="K67" s="310" t="s">
        <v>226</v>
      </c>
      <c r="L67" s="310" t="s">
        <v>270</v>
      </c>
    </row>
    <row r="68" spans="1:12" ht="38.25" customHeight="1">
      <c r="A68" s="317">
        <v>43</v>
      </c>
      <c r="B68" s="321"/>
      <c r="C68" s="276"/>
      <c r="D68" s="328">
        <v>6050</v>
      </c>
      <c r="E68" s="314" t="s">
        <v>10</v>
      </c>
      <c r="F68" s="298">
        <v>70000</v>
      </c>
      <c r="G68" s="298"/>
      <c r="H68" s="294" t="s">
        <v>250</v>
      </c>
      <c r="I68" s="309">
        <v>70000</v>
      </c>
      <c r="J68" s="309"/>
      <c r="K68" s="310" t="s">
        <v>226</v>
      </c>
      <c r="L68" s="310">
        <v>2013</v>
      </c>
    </row>
    <row r="69" spans="1:12" ht="41.25" customHeight="1">
      <c r="A69" s="317">
        <v>44</v>
      </c>
      <c r="B69" s="321"/>
      <c r="C69" s="276"/>
      <c r="D69" s="328">
        <v>6050</v>
      </c>
      <c r="E69" s="314" t="s">
        <v>271</v>
      </c>
      <c r="F69" s="298">
        <f>1500000+170000</f>
        <v>1670000</v>
      </c>
      <c r="G69" s="298">
        <v>0</v>
      </c>
      <c r="H69" s="288" t="s">
        <v>272</v>
      </c>
      <c r="I69" s="309">
        <f>500000+1000000+170000</f>
        <v>1670000</v>
      </c>
      <c r="J69" s="309">
        <v>0</v>
      </c>
      <c r="K69" s="310" t="s">
        <v>226</v>
      </c>
      <c r="L69" s="310">
        <v>2013</v>
      </c>
    </row>
    <row r="70" spans="1:12" ht="33.75" customHeight="1">
      <c r="A70" s="329"/>
      <c r="B70" s="271">
        <v>754</v>
      </c>
      <c r="C70" s="271"/>
      <c r="D70" s="271"/>
      <c r="E70" s="330" t="s">
        <v>273</v>
      </c>
      <c r="F70" s="331">
        <f>F71+F73+F75</f>
        <v>71000</v>
      </c>
      <c r="G70" s="331">
        <f>G71+G73+G75</f>
        <v>0</v>
      </c>
      <c r="H70" s="331"/>
      <c r="I70" s="331">
        <f>I71+I73+I75</f>
        <v>71000</v>
      </c>
      <c r="J70" s="331">
        <f>J71+J73+J75</f>
        <v>0</v>
      </c>
      <c r="K70" s="268"/>
      <c r="L70" s="268"/>
    </row>
    <row r="71" spans="1:12" ht="21.75" customHeight="1">
      <c r="A71" s="317"/>
      <c r="B71" s="332"/>
      <c r="C71" s="312">
        <v>75412</v>
      </c>
      <c r="D71" s="312"/>
      <c r="E71" s="333" t="s">
        <v>274</v>
      </c>
      <c r="F71" s="334">
        <f>SUM(F72)</f>
        <v>5000</v>
      </c>
      <c r="G71" s="334">
        <f>SUM(G72)</f>
        <v>0</v>
      </c>
      <c r="H71" s="334"/>
      <c r="I71" s="334">
        <f>SUM(I72)</f>
        <v>5000</v>
      </c>
      <c r="J71" s="334">
        <f>SUM(J72)</f>
        <v>0</v>
      </c>
      <c r="K71" s="281"/>
      <c r="L71" s="281"/>
    </row>
    <row r="72" spans="1:12" ht="31.5" customHeight="1">
      <c r="A72" s="317">
        <v>45</v>
      </c>
      <c r="B72" s="335"/>
      <c r="C72" s="336"/>
      <c r="D72" s="328">
        <v>6060</v>
      </c>
      <c r="E72" s="297" t="s">
        <v>275</v>
      </c>
      <c r="F72" s="298">
        <v>5000</v>
      </c>
      <c r="G72" s="298"/>
      <c r="H72" s="294" t="s">
        <v>276</v>
      </c>
      <c r="I72" s="309">
        <v>5000</v>
      </c>
      <c r="J72" s="309"/>
      <c r="K72" s="268" t="s">
        <v>277</v>
      </c>
      <c r="L72" s="268">
        <v>2013</v>
      </c>
    </row>
    <row r="73" spans="1:12" ht="22.5" customHeight="1">
      <c r="A73" s="317"/>
      <c r="B73" s="332"/>
      <c r="C73" s="312">
        <v>75414</v>
      </c>
      <c r="D73" s="312"/>
      <c r="E73" s="333" t="s">
        <v>278</v>
      </c>
      <c r="F73" s="320">
        <f>SUM(F74)</f>
        <v>16000</v>
      </c>
      <c r="G73" s="320">
        <f>SUM(G74)</f>
        <v>0</v>
      </c>
      <c r="H73" s="320"/>
      <c r="I73" s="320">
        <f>SUM(I74)</f>
        <v>16000</v>
      </c>
      <c r="J73" s="320">
        <f>SUM(J74)</f>
        <v>0</v>
      </c>
      <c r="K73" s="281"/>
      <c r="L73" s="281"/>
    </row>
    <row r="74" spans="1:12" ht="48.75" customHeight="1">
      <c r="A74" s="317">
        <v>46</v>
      </c>
      <c r="B74" s="242"/>
      <c r="C74" s="336"/>
      <c r="D74" s="328">
        <v>6060</v>
      </c>
      <c r="E74" s="297" t="s">
        <v>275</v>
      </c>
      <c r="F74" s="298">
        <v>16000</v>
      </c>
      <c r="G74" s="298">
        <v>0</v>
      </c>
      <c r="H74" s="288" t="s">
        <v>279</v>
      </c>
      <c r="I74" s="337">
        <v>16000</v>
      </c>
      <c r="J74" s="337">
        <v>0</v>
      </c>
      <c r="K74" s="268" t="s">
        <v>277</v>
      </c>
      <c r="L74" s="268">
        <v>2013</v>
      </c>
    </row>
    <row r="75" spans="1:12" s="407" customFormat="1" ht="33" customHeight="1">
      <c r="A75" s="628"/>
      <c r="B75" s="311"/>
      <c r="C75" s="318">
        <v>75495</v>
      </c>
      <c r="D75" s="313"/>
      <c r="E75" s="319" t="s">
        <v>259</v>
      </c>
      <c r="F75" s="280">
        <f>F76</f>
        <v>50000</v>
      </c>
      <c r="G75" s="280">
        <f>G76</f>
        <v>0</v>
      </c>
      <c r="H75" s="280"/>
      <c r="I75" s="280">
        <f>I76</f>
        <v>50000</v>
      </c>
      <c r="J75" s="280">
        <f>J76</f>
        <v>0</v>
      </c>
      <c r="K75" s="281"/>
      <c r="L75" s="281"/>
    </row>
    <row r="76" spans="1:12" ht="48.75" customHeight="1">
      <c r="A76" s="261">
        <v>47</v>
      </c>
      <c r="B76" s="242"/>
      <c r="C76" s="336"/>
      <c r="D76" s="328">
        <v>6050</v>
      </c>
      <c r="E76" s="286" t="s">
        <v>82</v>
      </c>
      <c r="F76" s="404">
        <v>50000</v>
      </c>
      <c r="G76" s="404"/>
      <c r="H76" s="404" t="s">
        <v>25</v>
      </c>
      <c r="I76" s="404">
        <v>50000</v>
      </c>
      <c r="J76" s="404"/>
      <c r="K76" s="268" t="s">
        <v>26</v>
      </c>
      <c r="L76" s="268">
        <v>2013</v>
      </c>
    </row>
    <row r="77" spans="1:12" ht="21.75" customHeight="1">
      <c r="A77" s="524"/>
      <c r="B77" s="271">
        <v>758</v>
      </c>
      <c r="C77" s="271"/>
      <c r="D77" s="272"/>
      <c r="E77" s="304" t="s">
        <v>27</v>
      </c>
      <c r="F77" s="305">
        <f>F78</f>
        <v>176802</v>
      </c>
      <c r="G77" s="305">
        <f aca="true" t="shared" si="0" ref="G77:J78">G78</f>
        <v>0</v>
      </c>
      <c r="H77" s="305"/>
      <c r="I77" s="305">
        <f t="shared" si="0"/>
        <v>176802</v>
      </c>
      <c r="J77" s="305">
        <f t="shared" si="0"/>
        <v>0</v>
      </c>
      <c r="K77" s="268"/>
      <c r="L77" s="268"/>
    </row>
    <row r="78" spans="1:12" ht="22.5" customHeight="1">
      <c r="A78" s="525"/>
      <c r="B78" s="338"/>
      <c r="C78" s="318">
        <v>75818</v>
      </c>
      <c r="D78" s="313"/>
      <c r="E78" s="319" t="s">
        <v>28</v>
      </c>
      <c r="F78" s="320">
        <f>F79</f>
        <v>176802</v>
      </c>
      <c r="G78" s="320">
        <f t="shared" si="0"/>
        <v>0</v>
      </c>
      <c r="H78" s="320"/>
      <c r="I78" s="320">
        <f t="shared" si="0"/>
        <v>176802</v>
      </c>
      <c r="J78" s="320">
        <f t="shared" si="0"/>
        <v>0</v>
      </c>
      <c r="K78" s="281"/>
      <c r="L78" s="281"/>
    </row>
    <row r="79" spans="1:12" ht="32.25" customHeight="1">
      <c r="A79" s="525"/>
      <c r="B79" s="335"/>
      <c r="C79" s="336"/>
      <c r="D79" s="328">
        <v>6800</v>
      </c>
      <c r="E79" s="339" t="s">
        <v>280</v>
      </c>
      <c r="F79" s="707">
        <f>200000-85000-23233+23233+61802</f>
        <v>176802</v>
      </c>
      <c r="G79" s="340"/>
      <c r="H79" s="288"/>
      <c r="I79" s="700">
        <f>200000-85000-23233+23233+61802</f>
        <v>176802</v>
      </c>
      <c r="J79" s="337">
        <f>500000-500000</f>
        <v>0</v>
      </c>
      <c r="K79" s="268"/>
      <c r="L79" s="268"/>
    </row>
    <row r="80" spans="1:12" ht="24.75" customHeight="1">
      <c r="A80" s="341"/>
      <c r="B80" s="271">
        <v>801</v>
      </c>
      <c r="C80" s="336"/>
      <c r="D80" s="328"/>
      <c r="E80" s="315" t="s">
        <v>281</v>
      </c>
      <c r="F80" s="316">
        <f>F81+F92+F103+F106+F109</f>
        <v>8891790</v>
      </c>
      <c r="G80" s="316">
        <f>G81+G92+G103+G106+G109</f>
        <v>143284</v>
      </c>
      <c r="H80" s="316"/>
      <c r="I80" s="316">
        <f>I81+I92+I103+I106+I109</f>
        <v>8748506</v>
      </c>
      <c r="J80" s="316">
        <f>J81+J92+J103+J106+J109</f>
        <v>1021000</v>
      </c>
      <c r="K80" s="268"/>
      <c r="L80" s="268"/>
    </row>
    <row r="81" spans="1:12" ht="28.5" customHeight="1">
      <c r="A81" s="317"/>
      <c r="B81" s="332"/>
      <c r="C81" s="276">
        <v>80101</v>
      </c>
      <c r="D81" s="313"/>
      <c r="E81" s="319" t="s">
        <v>282</v>
      </c>
      <c r="F81" s="320">
        <f>SUM(F82:F91)</f>
        <v>1086399</v>
      </c>
      <c r="G81" s="320">
        <f>SUM(G82:G91)</f>
        <v>0</v>
      </c>
      <c r="H81" s="320"/>
      <c r="I81" s="320">
        <f>SUM(I82:I91)</f>
        <v>1086399</v>
      </c>
      <c r="J81" s="320">
        <f>SUM(J82:J91)</f>
        <v>0</v>
      </c>
      <c r="K81" s="281"/>
      <c r="L81" s="281"/>
    </row>
    <row r="82" spans="1:12" ht="55.5" customHeight="1">
      <c r="A82" s="317">
        <v>48</v>
      </c>
      <c r="B82" s="342"/>
      <c r="C82" s="234"/>
      <c r="D82" s="301">
        <v>6050</v>
      </c>
      <c r="E82" s="297" t="s">
        <v>283</v>
      </c>
      <c r="F82" s="298">
        <f>114000+1450+115450</f>
        <v>230900</v>
      </c>
      <c r="G82" s="298"/>
      <c r="H82" s="288" t="s">
        <v>284</v>
      </c>
      <c r="I82" s="298">
        <f>114000+1450+115450</f>
        <v>230900</v>
      </c>
      <c r="J82" s="337"/>
      <c r="K82" s="343" t="s">
        <v>2</v>
      </c>
      <c r="L82" s="310">
        <v>2013</v>
      </c>
    </row>
    <row r="83" spans="1:12" ht="57" customHeight="1">
      <c r="A83" s="317">
        <v>49</v>
      </c>
      <c r="B83" s="342"/>
      <c r="C83" s="242"/>
      <c r="D83" s="301">
        <v>6050</v>
      </c>
      <c r="E83" s="297" t="s">
        <v>104</v>
      </c>
      <c r="F83" s="298">
        <f>114000+1450+115450</f>
        <v>230900</v>
      </c>
      <c r="G83" s="298"/>
      <c r="H83" s="288" t="s">
        <v>284</v>
      </c>
      <c r="I83" s="298">
        <f>114000+1450+115450</f>
        <v>230900</v>
      </c>
      <c r="J83" s="302"/>
      <c r="K83" s="343" t="s">
        <v>3</v>
      </c>
      <c r="L83" s="310">
        <v>2013</v>
      </c>
    </row>
    <row r="84" spans="1:12" ht="54" customHeight="1">
      <c r="A84" s="317">
        <v>50</v>
      </c>
      <c r="B84" s="342"/>
      <c r="C84" s="242"/>
      <c r="D84" s="301">
        <v>6050</v>
      </c>
      <c r="E84" s="297" t="s">
        <v>105</v>
      </c>
      <c r="F84" s="298">
        <f>114000+1450+115450</f>
        <v>230900</v>
      </c>
      <c r="G84" s="298"/>
      <c r="H84" s="288" t="s">
        <v>284</v>
      </c>
      <c r="I84" s="298">
        <f>114000+1450+115450</f>
        <v>230900</v>
      </c>
      <c r="J84" s="302"/>
      <c r="K84" s="343" t="s">
        <v>3</v>
      </c>
      <c r="L84" s="310">
        <v>2013</v>
      </c>
    </row>
    <row r="85" spans="1:12" ht="57" customHeight="1">
      <c r="A85" s="317">
        <v>51</v>
      </c>
      <c r="B85" s="342"/>
      <c r="C85" s="242"/>
      <c r="D85" s="301">
        <v>6050</v>
      </c>
      <c r="E85" s="297" t="s">
        <v>106</v>
      </c>
      <c r="F85" s="298">
        <f>114000+1450+115450</f>
        <v>230900</v>
      </c>
      <c r="G85" s="298"/>
      <c r="H85" s="288" t="s">
        <v>284</v>
      </c>
      <c r="I85" s="298">
        <f>114000+1450+115450</f>
        <v>230900</v>
      </c>
      <c r="J85" s="302"/>
      <c r="K85" s="343" t="s">
        <v>4</v>
      </c>
      <c r="L85" s="310">
        <v>2013</v>
      </c>
    </row>
    <row r="86" spans="1:12" ht="44.25" customHeight="1">
      <c r="A86" s="317">
        <v>52</v>
      </c>
      <c r="B86" s="342"/>
      <c r="C86" s="242"/>
      <c r="D86" s="301">
        <v>6050</v>
      </c>
      <c r="E86" s="297" t="s">
        <v>285</v>
      </c>
      <c r="F86" s="522">
        <f>60000-23233</f>
        <v>36767</v>
      </c>
      <c r="G86" s="298"/>
      <c r="H86" s="294" t="s">
        <v>286</v>
      </c>
      <c r="I86" s="522">
        <f>60000-23233</f>
        <v>36767</v>
      </c>
      <c r="J86" s="302"/>
      <c r="K86" s="343" t="s">
        <v>226</v>
      </c>
      <c r="L86" s="310">
        <v>2013</v>
      </c>
    </row>
    <row r="87" spans="1:12" ht="44.25" customHeight="1">
      <c r="A87" s="317">
        <v>53</v>
      </c>
      <c r="B87" s="342"/>
      <c r="C87" s="242"/>
      <c r="D87" s="301">
        <v>6050</v>
      </c>
      <c r="E87" s="297" t="s">
        <v>515</v>
      </c>
      <c r="F87" s="298">
        <v>60000</v>
      </c>
      <c r="G87" s="298"/>
      <c r="H87" s="294" t="s">
        <v>516</v>
      </c>
      <c r="I87" s="298">
        <v>60000</v>
      </c>
      <c r="J87" s="302"/>
      <c r="K87" s="343" t="s">
        <v>313</v>
      </c>
      <c r="L87" s="310">
        <v>2013</v>
      </c>
    </row>
    <row r="88" spans="1:12" ht="44.25" customHeight="1">
      <c r="A88" s="317"/>
      <c r="B88" s="342"/>
      <c r="C88" s="242"/>
      <c r="D88" s="611">
        <v>6050</v>
      </c>
      <c r="E88" s="605" t="s">
        <v>654</v>
      </c>
      <c r="F88" s="522">
        <v>11032</v>
      </c>
      <c r="G88" s="522"/>
      <c r="H88" s="612"/>
      <c r="I88" s="522">
        <v>11032</v>
      </c>
      <c r="J88" s="632"/>
      <c r="K88" s="715" t="s">
        <v>2</v>
      </c>
      <c r="L88" s="634">
        <v>2013</v>
      </c>
    </row>
    <row r="89" spans="1:12" ht="52.5" customHeight="1">
      <c r="A89" s="317">
        <v>54</v>
      </c>
      <c r="B89" s="342"/>
      <c r="C89" s="242"/>
      <c r="D89" s="301">
        <v>6060</v>
      </c>
      <c r="E89" s="297" t="s">
        <v>29</v>
      </c>
      <c r="F89" s="298">
        <v>51000</v>
      </c>
      <c r="G89" s="298"/>
      <c r="H89" s="294" t="s">
        <v>210</v>
      </c>
      <c r="I89" s="298">
        <v>51000</v>
      </c>
      <c r="J89" s="302"/>
      <c r="K89" s="343" t="s">
        <v>30</v>
      </c>
      <c r="L89" s="310">
        <v>2013</v>
      </c>
    </row>
    <row r="90" spans="1:12" ht="39.75" customHeight="1">
      <c r="A90" s="317">
        <v>55</v>
      </c>
      <c r="B90" s="342"/>
      <c r="C90" s="242"/>
      <c r="D90" s="301">
        <v>6060</v>
      </c>
      <c r="E90" s="297" t="s">
        <v>149</v>
      </c>
      <c r="F90" s="298">
        <v>4000</v>
      </c>
      <c r="G90" s="298"/>
      <c r="H90" s="294" t="s">
        <v>80</v>
      </c>
      <c r="I90" s="298">
        <v>4000</v>
      </c>
      <c r="J90" s="302"/>
      <c r="K90" s="343" t="s">
        <v>150</v>
      </c>
      <c r="L90" s="310">
        <v>2013</v>
      </c>
    </row>
    <row r="91" spans="1:12" ht="30.75" customHeight="1">
      <c r="A91" s="317">
        <v>56</v>
      </c>
      <c r="B91" s="342"/>
      <c r="C91" s="252"/>
      <c r="D91" s="301">
        <v>6060</v>
      </c>
      <c r="E91" s="297" t="s">
        <v>287</v>
      </c>
      <c r="F91" s="522">
        <f>10000-10000</f>
        <v>0</v>
      </c>
      <c r="G91" s="298">
        <v>0</v>
      </c>
      <c r="H91" s="294" t="s">
        <v>288</v>
      </c>
      <c r="I91" s="522">
        <f>10000-10000</f>
        <v>0</v>
      </c>
      <c r="J91" s="302">
        <v>0</v>
      </c>
      <c r="K91" s="343" t="s">
        <v>289</v>
      </c>
      <c r="L91" s="310">
        <v>2013</v>
      </c>
    </row>
    <row r="92" spans="1:12" ht="25.5" customHeight="1">
      <c r="A92" s="317"/>
      <c r="B92" s="344"/>
      <c r="C92" s="277">
        <v>80104</v>
      </c>
      <c r="D92" s="278"/>
      <c r="E92" s="279" t="s">
        <v>290</v>
      </c>
      <c r="F92" s="280">
        <f>SUM(F93:F102)</f>
        <v>1215041</v>
      </c>
      <c r="G92" s="280">
        <f>SUM(G93:G102)</f>
        <v>130000</v>
      </c>
      <c r="H92" s="280"/>
      <c r="I92" s="280">
        <f>SUM(I93:I102)</f>
        <v>1085041</v>
      </c>
      <c r="J92" s="280">
        <f>SUM(J93:J102)</f>
        <v>180000</v>
      </c>
      <c r="K92" s="281"/>
      <c r="L92" s="281"/>
    </row>
    <row r="93" spans="1:12" ht="35.25" customHeight="1">
      <c r="A93" s="317">
        <v>57</v>
      </c>
      <c r="B93" s="344"/>
      <c r="C93" s="311"/>
      <c r="D93" s="301">
        <v>6050</v>
      </c>
      <c r="E93" s="297" t="s">
        <v>291</v>
      </c>
      <c r="F93" s="298">
        <f>660000+9041+9000+20000+40400</f>
        <v>738441</v>
      </c>
      <c r="G93" s="298">
        <v>130000</v>
      </c>
      <c r="H93" s="345" t="s">
        <v>292</v>
      </c>
      <c r="I93" s="298">
        <f>530000+9041+9000+20000+40400</f>
        <v>608441</v>
      </c>
      <c r="J93" s="298">
        <v>0</v>
      </c>
      <c r="K93" s="268" t="s">
        <v>226</v>
      </c>
      <c r="L93" s="268" t="s">
        <v>227</v>
      </c>
    </row>
    <row r="94" spans="1:12" ht="32.25" customHeight="1">
      <c r="A94" s="317">
        <v>58</v>
      </c>
      <c r="B94" s="342"/>
      <c r="C94" s="242"/>
      <c r="D94" s="301">
        <v>6050</v>
      </c>
      <c r="E94" s="297" t="s">
        <v>293</v>
      </c>
      <c r="F94" s="298">
        <v>50000</v>
      </c>
      <c r="G94" s="298">
        <v>0</v>
      </c>
      <c r="H94" s="294" t="s">
        <v>294</v>
      </c>
      <c r="I94" s="293">
        <v>50000</v>
      </c>
      <c r="J94" s="302">
        <v>0</v>
      </c>
      <c r="K94" s="268" t="s">
        <v>295</v>
      </c>
      <c r="L94" s="268">
        <v>2013</v>
      </c>
    </row>
    <row r="95" spans="1:12" ht="40.5" customHeight="1">
      <c r="A95" s="317">
        <v>59</v>
      </c>
      <c r="B95" s="342"/>
      <c r="C95" s="242"/>
      <c r="D95" s="301">
        <v>6050</v>
      </c>
      <c r="E95" s="297" t="s">
        <v>223</v>
      </c>
      <c r="F95" s="298">
        <v>11500</v>
      </c>
      <c r="G95" s="298">
        <v>0</v>
      </c>
      <c r="H95" s="294" t="s">
        <v>224</v>
      </c>
      <c r="I95" s="293">
        <v>11500</v>
      </c>
      <c r="J95" s="302">
        <v>0</v>
      </c>
      <c r="K95" s="268" t="s">
        <v>297</v>
      </c>
      <c r="L95" s="268">
        <v>2013</v>
      </c>
    </row>
    <row r="96" spans="1:12" ht="34.5" customHeight="1">
      <c r="A96" s="317">
        <v>60</v>
      </c>
      <c r="B96" s="342"/>
      <c r="C96" s="242"/>
      <c r="D96" s="301">
        <v>6050</v>
      </c>
      <c r="E96" s="297" t="s">
        <v>298</v>
      </c>
      <c r="F96" s="298">
        <v>11500</v>
      </c>
      <c r="G96" s="298">
        <v>0</v>
      </c>
      <c r="H96" s="294" t="s">
        <v>296</v>
      </c>
      <c r="I96" s="293">
        <v>11500</v>
      </c>
      <c r="J96" s="302">
        <v>0</v>
      </c>
      <c r="K96" s="268" t="s">
        <v>295</v>
      </c>
      <c r="L96" s="268">
        <v>2013</v>
      </c>
    </row>
    <row r="97" spans="1:12" ht="34.5" customHeight="1">
      <c r="A97" s="317">
        <v>61</v>
      </c>
      <c r="B97" s="342"/>
      <c r="C97" s="242"/>
      <c r="D97" s="301">
        <v>6050</v>
      </c>
      <c r="E97" s="286" t="s">
        <v>299</v>
      </c>
      <c r="F97" s="298">
        <v>180000</v>
      </c>
      <c r="G97" s="298"/>
      <c r="H97" s="294" t="s">
        <v>300</v>
      </c>
      <c r="I97" s="293">
        <v>180000</v>
      </c>
      <c r="J97" s="302">
        <v>180000</v>
      </c>
      <c r="K97" s="268" t="s">
        <v>301</v>
      </c>
      <c r="L97" s="268">
        <v>2013</v>
      </c>
    </row>
    <row r="98" spans="1:12" ht="34.5" customHeight="1">
      <c r="A98" s="317">
        <v>62</v>
      </c>
      <c r="B98" s="342"/>
      <c r="C98" s="242"/>
      <c r="D98" s="301">
        <v>6050</v>
      </c>
      <c r="E98" s="297" t="s">
        <v>302</v>
      </c>
      <c r="F98" s="298">
        <f>4674+185326-40400</f>
        <v>149600</v>
      </c>
      <c r="G98" s="298"/>
      <c r="H98" s="294" t="s">
        <v>303</v>
      </c>
      <c r="I98" s="298">
        <f>185326+4674-40400</f>
        <v>149600</v>
      </c>
      <c r="J98" s="302"/>
      <c r="K98" s="268" t="s">
        <v>226</v>
      </c>
      <c r="L98" s="268">
        <v>2013</v>
      </c>
    </row>
    <row r="99" spans="1:12" ht="44.25" customHeight="1">
      <c r="A99" s="317">
        <v>63</v>
      </c>
      <c r="B99" s="342"/>
      <c r="C99" s="242"/>
      <c r="D99" s="301">
        <v>6050</v>
      </c>
      <c r="E99" s="297" t="s">
        <v>84</v>
      </c>
      <c r="F99" s="298">
        <v>42000</v>
      </c>
      <c r="G99" s="298"/>
      <c r="H99" s="294" t="s">
        <v>211</v>
      </c>
      <c r="I99" s="298">
        <v>42000</v>
      </c>
      <c r="J99" s="302"/>
      <c r="K99" s="268" t="s">
        <v>325</v>
      </c>
      <c r="L99" s="268">
        <v>2013</v>
      </c>
    </row>
    <row r="100" spans="1:12" ht="41.25" customHeight="1">
      <c r="A100" s="317">
        <v>64</v>
      </c>
      <c r="B100" s="342"/>
      <c r="C100" s="242"/>
      <c r="D100" s="301">
        <v>6050</v>
      </c>
      <c r="E100" s="297" t="s">
        <v>85</v>
      </c>
      <c r="F100" s="298">
        <f>12000+4500</f>
        <v>16500</v>
      </c>
      <c r="G100" s="298"/>
      <c r="H100" s="294" t="s">
        <v>212</v>
      </c>
      <c r="I100" s="298">
        <f>12000+4500</f>
        <v>16500</v>
      </c>
      <c r="J100" s="302"/>
      <c r="K100" s="268" t="s">
        <v>325</v>
      </c>
      <c r="L100" s="268">
        <v>2013</v>
      </c>
    </row>
    <row r="101" spans="1:12" ht="41.25" customHeight="1">
      <c r="A101" s="317">
        <v>65</v>
      </c>
      <c r="B101" s="342"/>
      <c r="C101" s="242"/>
      <c r="D101" s="301">
        <v>6050</v>
      </c>
      <c r="E101" s="297" t="s">
        <v>618</v>
      </c>
      <c r="F101" s="298">
        <v>10000</v>
      </c>
      <c r="G101" s="298"/>
      <c r="H101" s="294" t="s">
        <v>75</v>
      </c>
      <c r="I101" s="298">
        <v>10000</v>
      </c>
      <c r="J101" s="302"/>
      <c r="K101" s="268" t="s">
        <v>306</v>
      </c>
      <c r="L101" s="268">
        <v>2013</v>
      </c>
    </row>
    <row r="102" spans="1:12" ht="34.5" customHeight="1">
      <c r="A102" s="317">
        <v>66</v>
      </c>
      <c r="B102" s="342"/>
      <c r="C102" s="242"/>
      <c r="D102" s="301">
        <v>6060</v>
      </c>
      <c r="E102" s="297" t="s">
        <v>304</v>
      </c>
      <c r="F102" s="298">
        <v>5500</v>
      </c>
      <c r="G102" s="298">
        <v>0</v>
      </c>
      <c r="H102" s="294" t="s">
        <v>305</v>
      </c>
      <c r="I102" s="293">
        <v>5500</v>
      </c>
      <c r="J102" s="302">
        <v>0</v>
      </c>
      <c r="K102" s="268" t="s">
        <v>306</v>
      </c>
      <c r="L102" s="268">
        <v>2013</v>
      </c>
    </row>
    <row r="103" spans="1:12" ht="27" customHeight="1">
      <c r="A103" s="317"/>
      <c r="B103" s="342"/>
      <c r="C103" s="312">
        <v>80110</v>
      </c>
      <c r="D103" s="278"/>
      <c r="E103" s="279" t="s">
        <v>307</v>
      </c>
      <c r="F103" s="280">
        <f>SUM(F104+F105)</f>
        <v>61000</v>
      </c>
      <c r="G103" s="280">
        <f>SUM(G104+G105)</f>
        <v>0</v>
      </c>
      <c r="H103" s="280"/>
      <c r="I103" s="280">
        <f>SUM(I104+I105)</f>
        <v>61000</v>
      </c>
      <c r="J103" s="280">
        <f>SUM(J104+J105)</f>
        <v>0</v>
      </c>
      <c r="K103" s="281"/>
      <c r="L103" s="281"/>
    </row>
    <row r="104" spans="1:12" s="542" customFormat="1" ht="34.5" customHeight="1">
      <c r="A104" s="317">
        <v>67</v>
      </c>
      <c r="B104" s="342"/>
      <c r="C104" s="242"/>
      <c r="D104" s="346">
        <v>6050</v>
      </c>
      <c r="E104" s="297" t="s">
        <v>31</v>
      </c>
      <c r="F104" s="298">
        <f>70000-15000</f>
        <v>55000</v>
      </c>
      <c r="G104" s="298"/>
      <c r="H104" s="298" t="s">
        <v>213</v>
      </c>
      <c r="I104" s="298">
        <f>70000-15000</f>
        <v>55000</v>
      </c>
      <c r="J104" s="298"/>
      <c r="K104" s="268" t="s">
        <v>226</v>
      </c>
      <c r="L104" s="268">
        <v>2013</v>
      </c>
    </row>
    <row r="105" spans="1:12" ht="34.5" customHeight="1">
      <c r="A105" s="317">
        <v>68</v>
      </c>
      <c r="B105" s="342"/>
      <c r="C105" s="242"/>
      <c r="D105" s="346">
        <v>6060</v>
      </c>
      <c r="E105" s="297" t="s">
        <v>308</v>
      </c>
      <c r="F105" s="298">
        <v>6000</v>
      </c>
      <c r="G105" s="298">
        <v>0</v>
      </c>
      <c r="H105" s="294" t="s">
        <v>288</v>
      </c>
      <c r="I105" s="293">
        <v>6000</v>
      </c>
      <c r="J105" s="302">
        <v>0</v>
      </c>
      <c r="K105" s="268" t="s">
        <v>309</v>
      </c>
      <c r="L105" s="268">
        <v>2013</v>
      </c>
    </row>
    <row r="106" spans="1:12" ht="27" customHeight="1">
      <c r="A106" s="317"/>
      <c r="B106" s="272"/>
      <c r="C106" s="312">
        <v>80148</v>
      </c>
      <c r="D106" s="278"/>
      <c r="E106" s="279" t="s">
        <v>310</v>
      </c>
      <c r="F106" s="298">
        <f>F107+F108</f>
        <v>12150</v>
      </c>
      <c r="G106" s="298">
        <f>G107+G108</f>
        <v>0</v>
      </c>
      <c r="H106" s="298"/>
      <c r="I106" s="298">
        <f>I107+I108</f>
        <v>12150</v>
      </c>
      <c r="J106" s="298">
        <f>J107+J108</f>
        <v>0</v>
      </c>
      <c r="K106" s="268"/>
      <c r="L106" s="268"/>
    </row>
    <row r="107" spans="1:12" ht="39.75" customHeight="1">
      <c r="A107" s="317"/>
      <c r="B107" s="342"/>
      <c r="C107" s="242"/>
      <c r="D107" s="611">
        <v>6060</v>
      </c>
      <c r="E107" s="605" t="s">
        <v>657</v>
      </c>
      <c r="F107" s="522">
        <v>5650</v>
      </c>
      <c r="G107" s="522"/>
      <c r="H107" s="612"/>
      <c r="I107" s="522">
        <v>5650</v>
      </c>
      <c r="J107" s="632"/>
      <c r="K107" s="715" t="s">
        <v>505</v>
      </c>
      <c r="L107" s="634">
        <v>2013</v>
      </c>
    </row>
    <row r="108" spans="1:12" ht="27.75" customHeight="1">
      <c r="A108" s="317">
        <v>69</v>
      </c>
      <c r="B108" s="342"/>
      <c r="C108" s="242"/>
      <c r="D108" s="301">
        <v>6060</v>
      </c>
      <c r="E108" s="297" t="s">
        <v>311</v>
      </c>
      <c r="F108" s="298">
        <v>6500</v>
      </c>
      <c r="G108" s="298"/>
      <c r="H108" s="297" t="s">
        <v>312</v>
      </c>
      <c r="I108" s="298">
        <v>6500</v>
      </c>
      <c r="J108" s="302"/>
      <c r="K108" s="343" t="s">
        <v>313</v>
      </c>
      <c r="L108" s="310">
        <v>2013</v>
      </c>
    </row>
    <row r="109" spans="1:12" ht="23.25" customHeight="1">
      <c r="A109" s="317"/>
      <c r="B109" s="342"/>
      <c r="C109" s="312">
        <v>80195</v>
      </c>
      <c r="D109" s="278"/>
      <c r="E109" s="279" t="s">
        <v>259</v>
      </c>
      <c r="F109" s="280">
        <f>SUM(F110)</f>
        <v>6517200</v>
      </c>
      <c r="G109" s="280">
        <f>SUM(G110:G110)</f>
        <v>13284</v>
      </c>
      <c r="H109" s="347"/>
      <c r="I109" s="280">
        <f>SUM(I110)</f>
        <v>6503916</v>
      </c>
      <c r="J109" s="280">
        <f>SUM(J110:J110)</f>
        <v>841000</v>
      </c>
      <c r="K109" s="268"/>
      <c r="L109" s="268"/>
    </row>
    <row r="110" spans="1:12" ht="33.75" customHeight="1">
      <c r="A110" s="317">
        <v>70</v>
      </c>
      <c r="B110" s="342"/>
      <c r="C110" s="242"/>
      <c r="D110" s="346">
        <v>6050</v>
      </c>
      <c r="E110" s="286" t="s">
        <v>314</v>
      </c>
      <c r="F110" s="522">
        <f>5676200+13000+828000</f>
        <v>6517200</v>
      </c>
      <c r="G110" s="298">
        <f>5034600-5021316</f>
        <v>13284</v>
      </c>
      <c r="H110" s="288" t="s">
        <v>315</v>
      </c>
      <c r="I110" s="632">
        <f>641600+5021316+13000+828000</f>
        <v>6503916</v>
      </c>
      <c r="J110" s="632">
        <f>828000+13000</f>
        <v>841000</v>
      </c>
      <c r="K110" s="268" t="s">
        <v>226</v>
      </c>
      <c r="L110" s="268" t="s">
        <v>227</v>
      </c>
    </row>
    <row r="111" spans="1:12" s="353" customFormat="1" ht="24.75" customHeight="1">
      <c r="A111" s="348"/>
      <c r="B111" s="272">
        <v>851</v>
      </c>
      <c r="C111" s="271"/>
      <c r="D111" s="349"/>
      <c r="E111" s="350" t="s">
        <v>316</v>
      </c>
      <c r="F111" s="305">
        <f>F112+F114</f>
        <v>106099</v>
      </c>
      <c r="G111" s="305">
        <f>G112+G114</f>
        <v>0</v>
      </c>
      <c r="H111" s="305"/>
      <c r="I111" s="305">
        <f>I112+I114</f>
        <v>106099</v>
      </c>
      <c r="J111" s="305">
        <f>J112+J114</f>
        <v>0</v>
      </c>
      <c r="K111" s="352"/>
      <c r="L111" s="352"/>
    </row>
    <row r="112" spans="1:12" s="542" customFormat="1" ht="24.75" customHeight="1">
      <c r="A112" s="354"/>
      <c r="B112" s="369"/>
      <c r="C112" s="299">
        <v>85111</v>
      </c>
      <c r="D112" s="300"/>
      <c r="E112" s="286" t="s">
        <v>32</v>
      </c>
      <c r="F112" s="298">
        <f>F113</f>
        <v>100000</v>
      </c>
      <c r="G112" s="298">
        <f>G113</f>
        <v>0</v>
      </c>
      <c r="H112" s="298"/>
      <c r="I112" s="298">
        <f>I113</f>
        <v>100000</v>
      </c>
      <c r="J112" s="298">
        <f>J113</f>
        <v>0</v>
      </c>
      <c r="K112" s="268"/>
      <c r="L112" s="268"/>
    </row>
    <row r="113" spans="1:12" s="542" customFormat="1" ht="68.25" customHeight="1">
      <c r="A113" s="354">
        <v>71</v>
      </c>
      <c r="B113" s="369"/>
      <c r="C113" s="299"/>
      <c r="D113" s="300">
        <v>6220</v>
      </c>
      <c r="E113" s="286" t="s">
        <v>68</v>
      </c>
      <c r="F113" s="298">
        <v>100000</v>
      </c>
      <c r="G113" s="298"/>
      <c r="H113" s="294" t="s">
        <v>214</v>
      </c>
      <c r="I113" s="298">
        <v>100000</v>
      </c>
      <c r="J113" s="302"/>
      <c r="K113" s="268" t="s">
        <v>33</v>
      </c>
      <c r="L113" s="268">
        <v>2013</v>
      </c>
    </row>
    <row r="114" spans="1:12" ht="29.25" customHeight="1">
      <c r="A114" s="354"/>
      <c r="B114" s="342"/>
      <c r="C114" s="299">
        <v>85158</v>
      </c>
      <c r="D114" s="299"/>
      <c r="E114" s="355" t="s">
        <v>317</v>
      </c>
      <c r="F114" s="298">
        <f>F115</f>
        <v>6099</v>
      </c>
      <c r="G114" s="298"/>
      <c r="H114" s="294"/>
      <c r="I114" s="298">
        <f>I115</f>
        <v>6099</v>
      </c>
      <c r="J114" s="302"/>
      <c r="K114" s="268"/>
      <c r="L114" s="268"/>
    </row>
    <row r="115" spans="1:12" ht="29.25" customHeight="1">
      <c r="A115" s="354">
        <v>72</v>
      </c>
      <c r="B115" s="342"/>
      <c r="C115" s="242"/>
      <c r="D115" s="301">
        <v>6060</v>
      </c>
      <c r="E115" s="297" t="s">
        <v>318</v>
      </c>
      <c r="F115" s="298">
        <f>20000-13901</f>
        <v>6099</v>
      </c>
      <c r="G115" s="298"/>
      <c r="H115" s="294" t="s">
        <v>319</v>
      </c>
      <c r="I115" s="302">
        <f>20000-13901</f>
        <v>6099</v>
      </c>
      <c r="J115" s="302"/>
      <c r="K115" s="268" t="s">
        <v>320</v>
      </c>
      <c r="L115" s="268">
        <v>2013</v>
      </c>
    </row>
    <row r="116" spans="1:12" ht="31.5" customHeight="1">
      <c r="A116" s="317"/>
      <c r="B116" s="271">
        <v>853</v>
      </c>
      <c r="C116" s="299"/>
      <c r="D116" s="346"/>
      <c r="E116" s="351" t="s">
        <v>321</v>
      </c>
      <c r="F116" s="305">
        <f>F117</f>
        <v>3472669.92</v>
      </c>
      <c r="G116" s="305">
        <f>G117</f>
        <v>3163369.92</v>
      </c>
      <c r="H116" s="305"/>
      <c r="I116" s="305">
        <f>I117</f>
        <v>1909300</v>
      </c>
      <c r="J116" s="305">
        <f>J117</f>
        <v>0</v>
      </c>
      <c r="K116" s="352"/>
      <c r="L116" s="352"/>
    </row>
    <row r="117" spans="1:12" ht="27" customHeight="1">
      <c r="A117" s="317"/>
      <c r="B117" s="271"/>
      <c r="C117" s="312">
        <v>85395</v>
      </c>
      <c r="D117" s="356"/>
      <c r="E117" s="279" t="s">
        <v>322</v>
      </c>
      <c r="F117" s="280">
        <f>SUM(F118:F129)</f>
        <v>3472669.92</v>
      </c>
      <c r="G117" s="280">
        <f>SUM(G118:G129)</f>
        <v>3163369.92</v>
      </c>
      <c r="H117" s="280"/>
      <c r="I117" s="280">
        <f>SUM(I118:I129)</f>
        <v>1909300</v>
      </c>
      <c r="J117" s="280">
        <f>SUM(J118:J129)</f>
        <v>0</v>
      </c>
      <c r="K117" s="281"/>
      <c r="L117" s="281"/>
    </row>
    <row r="118" spans="1:14" s="542" customFormat="1" ht="40.5" customHeight="1">
      <c r="A118" s="317">
        <v>73</v>
      </c>
      <c r="B118" s="271"/>
      <c r="C118" s="308"/>
      <c r="D118" s="346">
        <v>6057</v>
      </c>
      <c r="E118" s="297" t="s">
        <v>85</v>
      </c>
      <c r="F118" s="298">
        <v>13000</v>
      </c>
      <c r="G118" s="298"/>
      <c r="H118" s="294" t="s">
        <v>212</v>
      </c>
      <c r="I118" s="298">
        <v>13000</v>
      </c>
      <c r="J118" s="298"/>
      <c r="K118" s="327" t="s">
        <v>325</v>
      </c>
      <c r="L118" s="268">
        <v>2013</v>
      </c>
      <c r="N118" s="633"/>
    </row>
    <row r="119" spans="1:12" ht="38.25" customHeight="1">
      <c r="A119" s="317">
        <v>74</v>
      </c>
      <c r="B119" s="271"/>
      <c r="C119" s="276"/>
      <c r="D119" s="357">
        <v>6067</v>
      </c>
      <c r="E119" s="358" t="s">
        <v>323</v>
      </c>
      <c r="F119" s="360">
        <f>18000-1000</f>
        <v>17000</v>
      </c>
      <c r="G119" s="280"/>
      <c r="H119" s="359" t="s">
        <v>324</v>
      </c>
      <c r="I119" s="360">
        <f>18000-1000</f>
        <v>17000</v>
      </c>
      <c r="J119" s="280"/>
      <c r="K119" s="327" t="s">
        <v>325</v>
      </c>
      <c r="L119" s="268">
        <v>2013</v>
      </c>
    </row>
    <row r="120" spans="1:12" ht="40.5" customHeight="1">
      <c r="A120" s="317">
        <v>75</v>
      </c>
      <c r="B120" s="271"/>
      <c r="C120" s="276"/>
      <c r="D120" s="357">
        <v>6067</v>
      </c>
      <c r="E120" s="358" t="s">
        <v>326</v>
      </c>
      <c r="F120" s="812">
        <f>16000-6000+4000</f>
        <v>14000</v>
      </c>
      <c r="G120" s="280"/>
      <c r="H120" s="359" t="s">
        <v>327</v>
      </c>
      <c r="I120" s="812">
        <f>16000-6000+4000</f>
        <v>14000</v>
      </c>
      <c r="J120" s="280"/>
      <c r="K120" s="327" t="s">
        <v>325</v>
      </c>
      <c r="L120" s="268">
        <v>2013</v>
      </c>
    </row>
    <row r="121" spans="1:12" ht="29.25" customHeight="1">
      <c r="A121" s="317">
        <v>76</v>
      </c>
      <c r="B121" s="271"/>
      <c r="C121" s="276"/>
      <c r="D121" s="357">
        <v>6067</v>
      </c>
      <c r="E121" s="358" t="s">
        <v>328</v>
      </c>
      <c r="F121" s="812"/>
      <c r="G121" s="280"/>
      <c r="H121" s="359" t="s">
        <v>329</v>
      </c>
      <c r="I121" s="812"/>
      <c r="J121" s="280"/>
      <c r="K121" s="327" t="s">
        <v>325</v>
      </c>
      <c r="L121" s="268">
        <v>2013</v>
      </c>
    </row>
    <row r="122" spans="1:12" ht="30.75" customHeight="1">
      <c r="A122" s="261">
        <v>77</v>
      </c>
      <c r="B122" s="361"/>
      <c r="C122" s="276"/>
      <c r="D122" s="357">
        <v>6067</v>
      </c>
      <c r="E122" s="358" t="s">
        <v>107</v>
      </c>
      <c r="F122" s="360">
        <v>6300</v>
      </c>
      <c r="G122" s="280"/>
      <c r="H122" s="359" t="s">
        <v>99</v>
      </c>
      <c r="I122" s="360">
        <v>6300</v>
      </c>
      <c r="J122" s="280"/>
      <c r="K122" s="327" t="s">
        <v>110</v>
      </c>
      <c r="L122" s="268">
        <v>2013</v>
      </c>
    </row>
    <row r="123" spans="1:12" ht="31.5" customHeight="1">
      <c r="A123" s="261">
        <v>78</v>
      </c>
      <c r="B123" s="361"/>
      <c r="C123" s="276"/>
      <c r="D123" s="357">
        <v>6067</v>
      </c>
      <c r="E123" s="358" t="s">
        <v>108</v>
      </c>
      <c r="F123" s="360">
        <v>3500</v>
      </c>
      <c r="G123" s="280"/>
      <c r="H123" s="359" t="s">
        <v>109</v>
      </c>
      <c r="I123" s="360">
        <v>3500</v>
      </c>
      <c r="J123" s="280"/>
      <c r="K123" s="327" t="s">
        <v>110</v>
      </c>
      <c r="L123" s="268">
        <v>2013</v>
      </c>
    </row>
    <row r="124" spans="1:12" ht="31.5" customHeight="1">
      <c r="A124" s="261">
        <v>79</v>
      </c>
      <c r="B124" s="361"/>
      <c r="C124" s="276"/>
      <c r="D124" s="357">
        <v>6067</v>
      </c>
      <c r="E124" s="358" t="s">
        <v>219</v>
      </c>
      <c r="F124" s="360">
        <v>3500</v>
      </c>
      <c r="G124" s="280"/>
      <c r="H124" s="359" t="s">
        <v>221</v>
      </c>
      <c r="I124" s="360">
        <v>3500</v>
      </c>
      <c r="J124" s="280"/>
      <c r="K124" s="327" t="s">
        <v>301</v>
      </c>
      <c r="L124" s="268">
        <v>2013</v>
      </c>
    </row>
    <row r="125" spans="1:12" ht="31.5" customHeight="1">
      <c r="A125" s="261">
        <v>80</v>
      </c>
      <c r="B125" s="361"/>
      <c r="C125" s="276"/>
      <c r="D125" s="357">
        <v>6067</v>
      </c>
      <c r="E125" s="358" t="s">
        <v>220</v>
      </c>
      <c r="F125" s="360">
        <v>31000</v>
      </c>
      <c r="G125" s="280"/>
      <c r="H125" s="359" t="s">
        <v>222</v>
      </c>
      <c r="I125" s="360">
        <v>31000</v>
      </c>
      <c r="J125" s="280"/>
      <c r="K125" s="327" t="s">
        <v>301</v>
      </c>
      <c r="L125" s="268">
        <v>2013</v>
      </c>
    </row>
    <row r="126" spans="1:12" ht="66.75" customHeight="1">
      <c r="A126" s="821">
        <v>81</v>
      </c>
      <c r="B126" s="361"/>
      <c r="C126" s="276"/>
      <c r="D126" s="346">
        <v>6237</v>
      </c>
      <c r="E126" s="297" t="s">
        <v>330</v>
      </c>
      <c r="F126" s="298">
        <v>1360000</v>
      </c>
      <c r="G126" s="298">
        <v>1360000</v>
      </c>
      <c r="H126" s="362" t="s">
        <v>331</v>
      </c>
      <c r="I126" s="302">
        <v>1360000</v>
      </c>
      <c r="J126" s="302">
        <v>0</v>
      </c>
      <c r="K126" s="268" t="s">
        <v>332</v>
      </c>
      <c r="L126" s="268" t="s">
        <v>233</v>
      </c>
    </row>
    <row r="127" spans="1:12" ht="75" customHeight="1">
      <c r="A127" s="822"/>
      <c r="B127" s="361"/>
      <c r="C127" s="308"/>
      <c r="D127" s="346">
        <v>6239</v>
      </c>
      <c r="E127" s="297" t="s">
        <v>333</v>
      </c>
      <c r="F127" s="298">
        <v>240000</v>
      </c>
      <c r="G127" s="298">
        <v>240000</v>
      </c>
      <c r="H127" s="362" t="s">
        <v>331</v>
      </c>
      <c r="I127" s="302">
        <v>240000</v>
      </c>
      <c r="J127" s="302">
        <v>0</v>
      </c>
      <c r="K127" s="268" t="s">
        <v>332</v>
      </c>
      <c r="L127" s="268" t="s">
        <v>233</v>
      </c>
    </row>
    <row r="128" spans="1:14" ht="62.25" customHeight="1">
      <c r="A128" s="823">
        <v>82</v>
      </c>
      <c r="B128" s="361"/>
      <c r="C128" s="308"/>
      <c r="D128" s="346">
        <v>6237</v>
      </c>
      <c r="E128" s="297" t="s">
        <v>334</v>
      </c>
      <c r="F128" s="302">
        <f>G128+I128</f>
        <v>1516714.43</v>
      </c>
      <c r="G128" s="298">
        <v>1328864.43</v>
      </c>
      <c r="H128" s="294" t="s">
        <v>335</v>
      </c>
      <c r="I128" s="302">
        <v>187850</v>
      </c>
      <c r="J128" s="302"/>
      <c r="K128" s="268" t="s">
        <v>332</v>
      </c>
      <c r="L128" s="268" t="s">
        <v>227</v>
      </c>
      <c r="N128" s="269"/>
    </row>
    <row r="129" spans="1:12" ht="65.25" customHeight="1">
      <c r="A129" s="824"/>
      <c r="B129" s="361"/>
      <c r="C129" s="308"/>
      <c r="D129" s="346">
        <v>6239</v>
      </c>
      <c r="E129" s="297" t="s">
        <v>334</v>
      </c>
      <c r="F129" s="302">
        <f>G129+I129</f>
        <v>267655.49</v>
      </c>
      <c r="G129" s="298">
        <v>234505.49</v>
      </c>
      <c r="H129" s="294" t="s">
        <v>335</v>
      </c>
      <c r="I129" s="302">
        <v>33150</v>
      </c>
      <c r="J129" s="302"/>
      <c r="K129" s="268" t="s">
        <v>332</v>
      </c>
      <c r="L129" s="268" t="s">
        <v>227</v>
      </c>
    </row>
    <row r="130" spans="1:12" ht="30" customHeight="1">
      <c r="A130" s="335"/>
      <c r="B130" s="271">
        <v>900</v>
      </c>
      <c r="C130" s="271"/>
      <c r="D130" s="272"/>
      <c r="E130" s="304" t="s">
        <v>336</v>
      </c>
      <c r="F130" s="305">
        <f>F131+F134+F144</f>
        <v>8168248.94</v>
      </c>
      <c r="G130" s="305">
        <f>G131+G134+G144</f>
        <v>231240</v>
      </c>
      <c r="H130" s="305"/>
      <c r="I130" s="305">
        <f>I131+I134+I144</f>
        <v>3164797.16</v>
      </c>
      <c r="J130" s="305">
        <f>J131+J134+J144</f>
        <v>905000</v>
      </c>
      <c r="K130" s="305"/>
      <c r="L130" s="268"/>
    </row>
    <row r="131" spans="1:12" ht="30" customHeight="1">
      <c r="A131" s="335"/>
      <c r="B131" s="335"/>
      <c r="C131" s="311">
        <v>90002</v>
      </c>
      <c r="D131" s="313"/>
      <c r="E131" s="279" t="s">
        <v>337</v>
      </c>
      <c r="F131" s="280">
        <f>SUM(F132:F133)</f>
        <v>42000</v>
      </c>
      <c r="G131" s="280">
        <f>SUM(G132:G133)</f>
        <v>0</v>
      </c>
      <c r="H131" s="280"/>
      <c r="I131" s="280">
        <f>SUM(I132:I133)</f>
        <v>42000</v>
      </c>
      <c r="J131" s="280">
        <f>SUM(J132:J133)</f>
        <v>42000</v>
      </c>
      <c r="K131" s="268"/>
      <c r="L131" s="268"/>
    </row>
    <row r="132" spans="1:12" ht="42" customHeight="1">
      <c r="A132" s="242">
        <v>83</v>
      </c>
      <c r="B132" s="342"/>
      <c r="C132" s="363"/>
      <c r="D132" s="301">
        <v>6220</v>
      </c>
      <c r="E132" s="364" t="s">
        <v>338</v>
      </c>
      <c r="F132" s="365">
        <v>12000</v>
      </c>
      <c r="G132" s="366">
        <v>0</v>
      </c>
      <c r="H132" s="367" t="s">
        <v>339</v>
      </c>
      <c r="I132" s="365">
        <v>12000</v>
      </c>
      <c r="J132" s="365">
        <v>12000</v>
      </c>
      <c r="K132" s="268" t="s">
        <v>340</v>
      </c>
      <c r="L132" s="268">
        <v>2013</v>
      </c>
    </row>
    <row r="133" spans="1:12" ht="51.75" customHeight="1">
      <c r="A133" s="242">
        <v>84</v>
      </c>
      <c r="B133" s="342"/>
      <c r="C133" s="303"/>
      <c r="D133" s="301">
        <v>6230</v>
      </c>
      <c r="E133" s="368" t="s">
        <v>338</v>
      </c>
      <c r="F133" s="365">
        <v>30000</v>
      </c>
      <c r="G133" s="366">
        <v>0</v>
      </c>
      <c r="H133" s="367" t="s">
        <v>339</v>
      </c>
      <c r="I133" s="365">
        <v>30000</v>
      </c>
      <c r="J133" s="365">
        <v>30000</v>
      </c>
      <c r="K133" s="268" t="s">
        <v>340</v>
      </c>
      <c r="L133" s="268">
        <v>2013</v>
      </c>
    </row>
    <row r="134" spans="1:12" ht="27.75" customHeight="1">
      <c r="A134" s="252"/>
      <c r="B134" s="311"/>
      <c r="C134" s="312">
        <v>90015</v>
      </c>
      <c r="D134" s="313"/>
      <c r="E134" s="279" t="s">
        <v>341</v>
      </c>
      <c r="F134" s="280">
        <f>SUM(F135:F143)</f>
        <v>5109650.99</v>
      </c>
      <c r="G134" s="280">
        <f>SUM(G135:G143)</f>
        <v>0</v>
      </c>
      <c r="H134" s="280"/>
      <c r="I134" s="280">
        <f>SUM(I135:I143)</f>
        <v>1108059.21</v>
      </c>
      <c r="J134" s="280">
        <f>SUM(J135:J143)</f>
        <v>338000</v>
      </c>
      <c r="K134" s="281"/>
      <c r="L134" s="281"/>
    </row>
    <row r="135" spans="1:12" ht="34.5" customHeight="1">
      <c r="A135" s="299">
        <v>85</v>
      </c>
      <c r="B135" s="369"/>
      <c r="C135" s="234"/>
      <c r="D135" s="370">
        <v>6050</v>
      </c>
      <c r="E135" s="364" t="s">
        <v>342</v>
      </c>
      <c r="F135" s="371">
        <f>100000+160000</f>
        <v>260000</v>
      </c>
      <c r="G135" s="372">
        <v>0</v>
      </c>
      <c r="H135" s="373" t="s">
        <v>615</v>
      </c>
      <c r="I135" s="374">
        <f>100000+160000-240000+240000</f>
        <v>260000</v>
      </c>
      <c r="J135" s="374">
        <f>100000+160000-240000+240000</f>
        <v>260000</v>
      </c>
      <c r="K135" s="310" t="s">
        <v>246</v>
      </c>
      <c r="L135" s="310">
        <v>2013</v>
      </c>
    </row>
    <row r="136" spans="1:12" ht="50.25" customHeight="1">
      <c r="A136" s="299">
        <v>86</v>
      </c>
      <c r="B136" s="369"/>
      <c r="C136" s="242"/>
      <c r="D136" s="370">
        <v>6050</v>
      </c>
      <c r="E136" s="543" t="s">
        <v>343</v>
      </c>
      <c r="F136" s="365">
        <f>200000-95000+1149.61</f>
        <v>106149.61</v>
      </c>
      <c r="G136" s="375"/>
      <c r="H136" s="544" t="s">
        <v>344</v>
      </c>
      <c r="I136" s="365">
        <f>200000-95000</f>
        <v>105000</v>
      </c>
      <c r="J136" s="365"/>
      <c r="K136" s="310" t="s">
        <v>226</v>
      </c>
      <c r="L136" s="310" t="s">
        <v>602</v>
      </c>
    </row>
    <row r="137" spans="1:12" ht="39" customHeight="1">
      <c r="A137" s="299">
        <v>87</v>
      </c>
      <c r="B137" s="369"/>
      <c r="C137" s="242"/>
      <c r="D137" s="370">
        <v>6050</v>
      </c>
      <c r="E137" s="543" t="s">
        <v>345</v>
      </c>
      <c r="F137" s="365">
        <v>175000</v>
      </c>
      <c r="G137" s="375"/>
      <c r="H137" s="376" t="s">
        <v>346</v>
      </c>
      <c r="I137" s="365">
        <f>175000-150000+150000</f>
        <v>175000</v>
      </c>
      <c r="J137" s="365"/>
      <c r="K137" s="310" t="s">
        <v>246</v>
      </c>
      <c r="L137" s="310">
        <v>2013</v>
      </c>
    </row>
    <row r="138" spans="1:12" ht="72.75" customHeight="1">
      <c r="A138" s="299">
        <v>88</v>
      </c>
      <c r="B138" s="369"/>
      <c r="C138" s="242"/>
      <c r="D138" s="370">
        <v>6050</v>
      </c>
      <c r="E138" s="368" t="s">
        <v>347</v>
      </c>
      <c r="F138" s="365">
        <f>270000-120000+442.17</f>
        <v>150442.17</v>
      </c>
      <c r="G138" s="375"/>
      <c r="H138" s="545" t="s">
        <v>525</v>
      </c>
      <c r="I138" s="365">
        <f>270000-120000</f>
        <v>150000</v>
      </c>
      <c r="J138" s="365"/>
      <c r="K138" s="310" t="s">
        <v>226</v>
      </c>
      <c r="L138" s="310" t="s">
        <v>602</v>
      </c>
    </row>
    <row r="139" spans="1:12" ht="42" customHeight="1">
      <c r="A139" s="299">
        <v>89</v>
      </c>
      <c r="B139" s="369"/>
      <c r="C139" s="242"/>
      <c r="D139" s="370">
        <v>6050</v>
      </c>
      <c r="E139" s="368" t="s">
        <v>609</v>
      </c>
      <c r="F139" s="365">
        <v>25000</v>
      </c>
      <c r="G139" s="375"/>
      <c r="H139" s="376" t="s">
        <v>527</v>
      </c>
      <c r="I139" s="365">
        <v>25000</v>
      </c>
      <c r="J139" s="365"/>
      <c r="K139" s="310" t="s">
        <v>246</v>
      </c>
      <c r="L139" s="310">
        <v>2013</v>
      </c>
    </row>
    <row r="140" spans="1:12" ht="39.75" customHeight="1">
      <c r="A140" s="299">
        <v>90</v>
      </c>
      <c r="B140" s="369"/>
      <c r="C140" s="242"/>
      <c r="D140" s="370">
        <v>6050</v>
      </c>
      <c r="E140" s="368" t="s">
        <v>517</v>
      </c>
      <c r="F140" s="365">
        <f>4078000+48909.6</f>
        <v>4126909.6</v>
      </c>
      <c r="G140" s="375"/>
      <c r="H140" s="376" t="s">
        <v>613</v>
      </c>
      <c r="I140" s="365">
        <f>78000+48909.6</f>
        <v>126909.6</v>
      </c>
      <c r="J140" s="365">
        <v>78000</v>
      </c>
      <c r="K140" s="310" t="s">
        <v>246</v>
      </c>
      <c r="L140" s="310" t="s">
        <v>518</v>
      </c>
    </row>
    <row r="141" spans="1:12" ht="39.75" customHeight="1">
      <c r="A141" s="299">
        <v>91</v>
      </c>
      <c r="B141" s="369"/>
      <c r="C141" s="242"/>
      <c r="D141" s="370">
        <v>6050</v>
      </c>
      <c r="E141" s="368" t="s">
        <v>117</v>
      </c>
      <c r="F141" s="365">
        <f>50000+25000</f>
        <v>75000</v>
      </c>
      <c r="G141" s="375"/>
      <c r="H141" s="376" t="s">
        <v>100</v>
      </c>
      <c r="I141" s="365">
        <f>50000+25000</f>
        <v>75000</v>
      </c>
      <c r="J141" s="365"/>
      <c r="K141" s="310" t="s">
        <v>246</v>
      </c>
      <c r="L141" s="310">
        <v>2013</v>
      </c>
    </row>
    <row r="142" spans="1:12" ht="39.75" customHeight="1">
      <c r="A142" s="299">
        <v>92</v>
      </c>
      <c r="B142" s="369"/>
      <c r="C142" s="242"/>
      <c r="D142" s="370">
        <v>6050</v>
      </c>
      <c r="E142" s="710" t="s">
        <v>617</v>
      </c>
      <c r="F142" s="365">
        <v>1149.61</v>
      </c>
      <c r="G142" s="711"/>
      <c r="H142" s="373" t="s">
        <v>527</v>
      </c>
      <c r="I142" s="365">
        <v>1149.61</v>
      </c>
      <c r="J142" s="365"/>
      <c r="K142" s="310" t="s">
        <v>246</v>
      </c>
      <c r="L142" s="310">
        <v>2013</v>
      </c>
    </row>
    <row r="143" spans="1:12" ht="52.5" customHeight="1">
      <c r="A143" s="299">
        <v>93</v>
      </c>
      <c r="B143" s="369"/>
      <c r="C143" s="242"/>
      <c r="D143" s="370">
        <v>6050</v>
      </c>
      <c r="E143" s="377" t="s">
        <v>526</v>
      </c>
      <c r="F143" s="374">
        <f>300000-110000</f>
        <v>190000</v>
      </c>
      <c r="G143" s="371"/>
      <c r="H143" s="373" t="s">
        <v>527</v>
      </c>
      <c r="I143" s="365">
        <f>300000-110000</f>
        <v>190000</v>
      </c>
      <c r="J143" s="365"/>
      <c r="K143" s="310" t="s">
        <v>226</v>
      </c>
      <c r="L143" s="310">
        <v>2013</v>
      </c>
    </row>
    <row r="144" spans="1:12" ht="25.5" customHeight="1">
      <c r="A144" s="299"/>
      <c r="B144" s="311"/>
      <c r="C144" s="312">
        <v>90095</v>
      </c>
      <c r="D144" s="313"/>
      <c r="E144" s="279" t="s">
        <v>259</v>
      </c>
      <c r="F144" s="280">
        <f>SUM(F145:F156)</f>
        <v>3016597.95</v>
      </c>
      <c r="G144" s="280">
        <f>SUM(G145:G156)</f>
        <v>231240</v>
      </c>
      <c r="H144" s="280"/>
      <c r="I144" s="280">
        <f>SUM(I145:I156)</f>
        <v>2014737.95</v>
      </c>
      <c r="J144" s="280">
        <f>SUM(J145:J156)</f>
        <v>525000</v>
      </c>
      <c r="K144" s="281"/>
      <c r="L144" s="281"/>
    </row>
    <row r="145" spans="1:12" s="542" customFormat="1" ht="81.75" customHeight="1">
      <c r="A145" s="234">
        <v>94</v>
      </c>
      <c r="B145" s="300"/>
      <c r="C145" s="242"/>
      <c r="D145" s="301">
        <v>6010</v>
      </c>
      <c r="E145" s="297" t="s">
        <v>19</v>
      </c>
      <c r="F145" s="298">
        <v>6700</v>
      </c>
      <c r="G145" s="298"/>
      <c r="H145" s="288" t="s">
        <v>542</v>
      </c>
      <c r="I145" s="298">
        <v>6700</v>
      </c>
      <c r="J145" s="298"/>
      <c r="K145" s="380" t="s">
        <v>226</v>
      </c>
      <c r="L145" s="380">
        <v>2013</v>
      </c>
    </row>
    <row r="146" spans="1:12" s="542" customFormat="1" ht="48" customHeight="1">
      <c r="A146" s="234">
        <v>95</v>
      </c>
      <c r="B146" s="300"/>
      <c r="C146" s="242"/>
      <c r="D146" s="301">
        <v>6010</v>
      </c>
      <c r="E146" s="297" t="s">
        <v>20</v>
      </c>
      <c r="F146" s="298">
        <f>270620+262900</f>
        <v>533520</v>
      </c>
      <c r="G146" s="298"/>
      <c r="H146" s="403" t="s">
        <v>489</v>
      </c>
      <c r="I146" s="298">
        <v>262900</v>
      </c>
      <c r="J146" s="298"/>
      <c r="K146" s="380" t="s">
        <v>226</v>
      </c>
      <c r="L146" s="380" t="s">
        <v>602</v>
      </c>
    </row>
    <row r="147" spans="1:12" s="542" customFormat="1" ht="40.5" customHeight="1">
      <c r="A147" s="234">
        <v>96</v>
      </c>
      <c r="B147" s="300"/>
      <c r="C147" s="242"/>
      <c r="D147" s="301">
        <v>6010</v>
      </c>
      <c r="E147" s="297" t="s">
        <v>122</v>
      </c>
      <c r="F147" s="298">
        <v>31777.95</v>
      </c>
      <c r="G147" s="298"/>
      <c r="H147" s="403" t="s">
        <v>490</v>
      </c>
      <c r="I147" s="298">
        <v>31777.95</v>
      </c>
      <c r="J147" s="298"/>
      <c r="K147" s="380" t="s">
        <v>226</v>
      </c>
      <c r="L147" s="380">
        <v>2013</v>
      </c>
    </row>
    <row r="148" spans="1:12" s="542" customFormat="1" ht="47.25" customHeight="1">
      <c r="A148" s="234">
        <v>97</v>
      </c>
      <c r="B148" s="300"/>
      <c r="C148" s="242"/>
      <c r="D148" s="301">
        <v>6010</v>
      </c>
      <c r="E148" s="297" t="s">
        <v>21</v>
      </c>
      <c r="F148" s="298">
        <v>125400</v>
      </c>
      <c r="G148" s="298"/>
      <c r="H148" s="403" t="s">
        <v>491</v>
      </c>
      <c r="I148" s="298">
        <v>125400</v>
      </c>
      <c r="J148" s="298"/>
      <c r="K148" s="380" t="s">
        <v>226</v>
      </c>
      <c r="L148" s="380">
        <v>2013</v>
      </c>
    </row>
    <row r="149" spans="1:12" ht="72" customHeight="1">
      <c r="A149" s="234">
        <v>98</v>
      </c>
      <c r="B149" s="378"/>
      <c r="C149" s="311"/>
      <c r="D149" s="299">
        <v>6010</v>
      </c>
      <c r="E149" s="635" t="s">
        <v>523</v>
      </c>
      <c r="F149" s="298">
        <v>24000</v>
      </c>
      <c r="G149" s="298"/>
      <c r="H149" s="286" t="s">
        <v>542</v>
      </c>
      <c r="I149" s="298">
        <v>24000</v>
      </c>
      <c r="J149" s="298"/>
      <c r="K149" s="636" t="s">
        <v>226</v>
      </c>
      <c r="L149" s="636">
        <v>2013</v>
      </c>
    </row>
    <row r="150" spans="1:12" ht="25.5" customHeight="1">
      <c r="A150" s="234">
        <v>99</v>
      </c>
      <c r="B150" s="378"/>
      <c r="C150" s="311"/>
      <c r="D150" s="301">
        <v>6050</v>
      </c>
      <c r="E150" s="286" t="s">
        <v>528</v>
      </c>
      <c r="F150" s="298">
        <f>1375000-1300000+500000</f>
        <v>575000</v>
      </c>
      <c r="G150" s="298">
        <v>0</v>
      </c>
      <c r="H150" s="291" t="s">
        <v>529</v>
      </c>
      <c r="I150" s="298">
        <f>1375000-1300000</f>
        <v>75000</v>
      </c>
      <c r="J150" s="298">
        <f>1375000-1300000</f>
        <v>75000</v>
      </c>
      <c r="K150" s="380" t="s">
        <v>226</v>
      </c>
      <c r="L150" s="380" t="s">
        <v>602</v>
      </c>
    </row>
    <row r="151" spans="1:12" ht="49.5" customHeight="1">
      <c r="A151" s="234">
        <v>100</v>
      </c>
      <c r="B151" s="378"/>
      <c r="C151" s="311"/>
      <c r="D151" s="301">
        <v>6050</v>
      </c>
      <c r="E151" s="297" t="s">
        <v>34</v>
      </c>
      <c r="F151" s="522"/>
      <c r="G151" s="298"/>
      <c r="H151" s="298" t="s">
        <v>215</v>
      </c>
      <c r="I151" s="522">
        <f>50000-50000</f>
        <v>0</v>
      </c>
      <c r="J151" s="298"/>
      <c r="K151" s="268" t="s">
        <v>536</v>
      </c>
      <c r="L151" s="268">
        <v>2013</v>
      </c>
    </row>
    <row r="152" spans="1:12" ht="33.75" customHeight="1">
      <c r="A152" s="234">
        <v>101</v>
      </c>
      <c r="B152" s="378"/>
      <c r="C152" s="311"/>
      <c r="D152" s="301">
        <v>6050</v>
      </c>
      <c r="E152" s="297" t="s">
        <v>86</v>
      </c>
      <c r="F152" s="298">
        <v>100000</v>
      </c>
      <c r="G152" s="298"/>
      <c r="H152" s="379" t="s">
        <v>216</v>
      </c>
      <c r="I152" s="298">
        <v>100000</v>
      </c>
      <c r="J152" s="298"/>
      <c r="K152" s="310" t="s">
        <v>536</v>
      </c>
      <c r="L152" s="310">
        <v>2013</v>
      </c>
    </row>
    <row r="153" spans="1:12" ht="55.5" customHeight="1">
      <c r="A153" s="234">
        <v>102</v>
      </c>
      <c r="B153" s="378"/>
      <c r="C153" s="311"/>
      <c r="D153" s="299">
        <v>6050</v>
      </c>
      <c r="E153" s="635" t="s">
        <v>93</v>
      </c>
      <c r="F153" s="298">
        <v>26300</v>
      </c>
      <c r="G153" s="298"/>
      <c r="H153" s="288"/>
      <c r="I153" s="298">
        <v>26300</v>
      </c>
      <c r="J153" s="298"/>
      <c r="K153" s="636" t="s">
        <v>226</v>
      </c>
      <c r="L153" s="636">
        <v>2013</v>
      </c>
    </row>
    <row r="154" spans="1:14" ht="39" customHeight="1">
      <c r="A154" s="819">
        <v>103</v>
      </c>
      <c r="B154" s="378"/>
      <c r="C154" s="311"/>
      <c r="D154" s="301">
        <v>6057</v>
      </c>
      <c r="E154" s="368" t="s">
        <v>530</v>
      </c>
      <c r="F154" s="365">
        <v>972315</v>
      </c>
      <c r="G154" s="298">
        <v>196554</v>
      </c>
      <c r="H154" s="381" t="s">
        <v>531</v>
      </c>
      <c r="I154" s="298">
        <v>775761</v>
      </c>
      <c r="J154" s="280">
        <v>0</v>
      </c>
      <c r="K154" s="380" t="s">
        <v>226</v>
      </c>
      <c r="L154" s="380" t="s">
        <v>532</v>
      </c>
      <c r="N154" s="269"/>
    </row>
    <row r="155" spans="1:12" ht="40.5" customHeight="1">
      <c r="A155" s="822"/>
      <c r="B155" s="382"/>
      <c r="C155" s="322"/>
      <c r="D155" s="301">
        <v>6059</v>
      </c>
      <c r="E155" s="368" t="s">
        <v>530</v>
      </c>
      <c r="F155" s="365">
        <v>171585</v>
      </c>
      <c r="G155" s="366">
        <v>34686</v>
      </c>
      <c r="H155" s="381" t="s">
        <v>531</v>
      </c>
      <c r="I155" s="365">
        <v>136899</v>
      </c>
      <c r="J155" s="365">
        <v>0</v>
      </c>
      <c r="K155" s="380" t="s">
        <v>226</v>
      </c>
      <c r="L155" s="380" t="s">
        <v>532</v>
      </c>
    </row>
    <row r="156" spans="1:12" ht="41.25" customHeight="1">
      <c r="A156" s="383">
        <v>104</v>
      </c>
      <c r="B156" s="382"/>
      <c r="C156" s="322"/>
      <c r="D156" s="384">
        <v>6230</v>
      </c>
      <c r="E156" s="368" t="s">
        <v>534</v>
      </c>
      <c r="F156" s="366">
        <f>50000+100000+300000</f>
        <v>450000</v>
      </c>
      <c r="G156" s="375">
        <v>0</v>
      </c>
      <c r="H156" s="376" t="s">
        <v>535</v>
      </c>
      <c r="I156" s="365">
        <f>50000+100000+300000</f>
        <v>450000</v>
      </c>
      <c r="J156" s="365">
        <f>50000+100000+300000</f>
        <v>450000</v>
      </c>
      <c r="K156" s="310" t="s">
        <v>536</v>
      </c>
      <c r="L156" s="310">
        <v>2013</v>
      </c>
    </row>
    <row r="157" spans="1:12" s="353" customFormat="1" ht="41.25" customHeight="1">
      <c r="A157" s="526"/>
      <c r="B157" s="527">
        <v>921</v>
      </c>
      <c r="C157" s="527"/>
      <c r="D157" s="271"/>
      <c r="E157" s="528" t="s">
        <v>646</v>
      </c>
      <c r="F157" s="534">
        <f>F158</f>
        <v>1465000</v>
      </c>
      <c r="G157" s="534">
        <f>G158</f>
        <v>0</v>
      </c>
      <c r="H157" s="534"/>
      <c r="I157" s="534">
        <f>I158</f>
        <v>365000</v>
      </c>
      <c r="J157" s="534">
        <f>J158</f>
        <v>0</v>
      </c>
      <c r="K157" s="529"/>
      <c r="L157" s="529"/>
    </row>
    <row r="158" spans="1:12" s="407" customFormat="1" ht="32.25" customHeight="1">
      <c r="A158" s="530"/>
      <c r="B158" s="531"/>
      <c r="C158" s="533">
        <v>92109</v>
      </c>
      <c r="D158" s="399"/>
      <c r="E158" s="532" t="s">
        <v>35</v>
      </c>
      <c r="F158" s="535">
        <f>F159+F160</f>
        <v>1465000</v>
      </c>
      <c r="G158" s="535">
        <f>G159+G160</f>
        <v>0</v>
      </c>
      <c r="H158" s="535"/>
      <c r="I158" s="535">
        <f>I159+I160</f>
        <v>365000</v>
      </c>
      <c r="J158" s="535">
        <f>J159+J160</f>
        <v>0</v>
      </c>
      <c r="K158" s="395"/>
      <c r="L158" s="395"/>
    </row>
    <row r="159" spans="1:12" ht="57" customHeight="1">
      <c r="A159" s="383">
        <v>105</v>
      </c>
      <c r="B159" s="382"/>
      <c r="C159" s="322"/>
      <c r="D159" s="328">
        <v>6050</v>
      </c>
      <c r="E159" s="368" t="s">
        <v>519</v>
      </c>
      <c r="F159" s="366">
        <f>1100000+340000</f>
        <v>1440000</v>
      </c>
      <c r="G159" s="375"/>
      <c r="H159" s="376" t="s">
        <v>520</v>
      </c>
      <c r="I159" s="365">
        <v>340000</v>
      </c>
      <c r="J159" s="365"/>
      <c r="K159" s="310" t="s">
        <v>226</v>
      </c>
      <c r="L159" s="310" t="s">
        <v>602</v>
      </c>
    </row>
    <row r="160" spans="1:12" ht="57" customHeight="1">
      <c r="A160" s="383">
        <v>106</v>
      </c>
      <c r="B160" s="382"/>
      <c r="C160" s="322"/>
      <c r="D160" s="328">
        <v>6220</v>
      </c>
      <c r="E160" s="368" t="s">
        <v>492</v>
      </c>
      <c r="F160" s="366">
        <v>25000</v>
      </c>
      <c r="G160" s="375"/>
      <c r="H160" s="376" t="s">
        <v>493</v>
      </c>
      <c r="I160" s="365">
        <v>25000</v>
      </c>
      <c r="J160" s="365"/>
      <c r="K160" s="310" t="s">
        <v>90</v>
      </c>
      <c r="L160" s="310">
        <v>2013</v>
      </c>
    </row>
    <row r="161" spans="1:12" ht="27.75" customHeight="1">
      <c r="A161" s="242"/>
      <c r="B161" s="270">
        <v>926</v>
      </c>
      <c r="C161" s="271"/>
      <c r="D161" s="272"/>
      <c r="E161" s="304" t="s">
        <v>537</v>
      </c>
      <c r="F161" s="305">
        <f>F162+F165</f>
        <v>304300</v>
      </c>
      <c r="G161" s="305">
        <f>G162+G165</f>
        <v>0</v>
      </c>
      <c r="H161" s="305"/>
      <c r="I161" s="305">
        <f>I162+I165</f>
        <v>304300</v>
      </c>
      <c r="J161" s="305">
        <f>J162+J165</f>
        <v>0</v>
      </c>
      <c r="K161" s="268"/>
      <c r="L161" s="268"/>
    </row>
    <row r="162" spans="1:12" ht="24" customHeight="1">
      <c r="A162" s="271"/>
      <c r="B162" s="338"/>
      <c r="C162" s="318">
        <v>92601</v>
      </c>
      <c r="D162" s="313"/>
      <c r="E162" s="279" t="s">
        <v>538</v>
      </c>
      <c r="F162" s="280">
        <f>SUM(F163:F164)</f>
        <v>84300</v>
      </c>
      <c r="G162" s="280">
        <f>SUM(G163:G164)</f>
        <v>0</v>
      </c>
      <c r="H162" s="280"/>
      <c r="I162" s="280">
        <f>SUM(I163:I164)</f>
        <v>84300</v>
      </c>
      <c r="J162" s="280">
        <f>SUM(J163:J164)</f>
        <v>0</v>
      </c>
      <c r="K162" s="281"/>
      <c r="L162" s="281"/>
    </row>
    <row r="163" spans="1:12" ht="41.25" customHeight="1">
      <c r="A163" s="299">
        <v>107</v>
      </c>
      <c r="B163" s="332"/>
      <c r="C163" s="276"/>
      <c r="D163" s="384">
        <v>6050</v>
      </c>
      <c r="E163" s="292" t="s">
        <v>539</v>
      </c>
      <c r="F163" s="298">
        <f>18300+16000</f>
        <v>34300</v>
      </c>
      <c r="G163" s="298">
        <v>0</v>
      </c>
      <c r="H163" s="345" t="s">
        <v>540</v>
      </c>
      <c r="I163" s="298">
        <f>18300+16000</f>
        <v>34300</v>
      </c>
      <c r="J163" s="298">
        <v>0</v>
      </c>
      <c r="K163" s="268" t="s">
        <v>226</v>
      </c>
      <c r="L163" s="310">
        <v>2013</v>
      </c>
    </row>
    <row r="164" spans="1:12" s="386" customFormat="1" ht="44.25" customHeight="1">
      <c r="A164" s="299">
        <v>108</v>
      </c>
      <c r="B164" s="332"/>
      <c r="C164" s="276"/>
      <c r="D164" s="385">
        <v>6050</v>
      </c>
      <c r="E164" s="291" t="s">
        <v>541</v>
      </c>
      <c r="F164" s="298">
        <v>50000</v>
      </c>
      <c r="G164" s="298">
        <v>0</v>
      </c>
      <c r="H164" s="288" t="s">
        <v>542</v>
      </c>
      <c r="I164" s="298">
        <v>50000</v>
      </c>
      <c r="J164" s="298">
        <v>0</v>
      </c>
      <c r="K164" s="268" t="s">
        <v>226</v>
      </c>
      <c r="L164" s="268">
        <v>2013</v>
      </c>
    </row>
    <row r="165" spans="1:12" s="386" customFormat="1" ht="25.5" customHeight="1">
      <c r="A165" s="299"/>
      <c r="B165" s="332"/>
      <c r="C165" s="312">
        <v>92604</v>
      </c>
      <c r="D165" s="387"/>
      <c r="E165" s="388" t="s">
        <v>543</v>
      </c>
      <c r="F165" s="298">
        <f>SUM(F166:F169)</f>
        <v>220000</v>
      </c>
      <c r="G165" s="298">
        <f>SUM(G166:G169)</f>
        <v>0</v>
      </c>
      <c r="H165" s="298"/>
      <c r="I165" s="298">
        <f>SUM(I166:I169)</f>
        <v>220000</v>
      </c>
      <c r="J165" s="298">
        <f>SUM(J166:J169)</f>
        <v>0</v>
      </c>
      <c r="K165" s="268"/>
      <c r="L165" s="268"/>
    </row>
    <row r="166" spans="1:12" s="386" customFormat="1" ht="27.75" customHeight="1">
      <c r="A166" s="299">
        <v>109</v>
      </c>
      <c r="B166" s="332"/>
      <c r="C166" s="308"/>
      <c r="D166" s="282">
        <v>6050</v>
      </c>
      <c r="E166" s="286" t="s">
        <v>544</v>
      </c>
      <c r="F166" s="298">
        <v>50000</v>
      </c>
      <c r="G166" s="298"/>
      <c r="H166" s="288" t="s">
        <v>545</v>
      </c>
      <c r="I166" s="298">
        <v>50000</v>
      </c>
      <c r="J166" s="298"/>
      <c r="K166" s="268" t="s">
        <v>546</v>
      </c>
      <c r="L166" s="268">
        <v>2013</v>
      </c>
    </row>
    <row r="167" spans="1:12" s="386" customFormat="1" ht="54.75" customHeight="1">
      <c r="A167" s="299"/>
      <c r="B167" s="332"/>
      <c r="C167" s="308"/>
      <c r="D167" s="813">
        <v>6050</v>
      </c>
      <c r="E167" s="806" t="s">
        <v>431</v>
      </c>
      <c r="F167" s="522">
        <v>20000</v>
      </c>
      <c r="G167" s="522"/>
      <c r="H167" s="814" t="s">
        <v>432</v>
      </c>
      <c r="I167" s="522">
        <v>20000</v>
      </c>
      <c r="J167" s="522"/>
      <c r="K167" s="547" t="s">
        <v>546</v>
      </c>
      <c r="L167" s="547">
        <v>2013</v>
      </c>
    </row>
    <row r="168" spans="1:12" s="386" customFormat="1" ht="43.5" customHeight="1">
      <c r="A168" s="299">
        <v>110</v>
      </c>
      <c r="B168" s="332"/>
      <c r="C168" s="308"/>
      <c r="D168" s="683">
        <v>6060</v>
      </c>
      <c r="E168" s="286" t="s">
        <v>123</v>
      </c>
      <c r="F168" s="298">
        <v>80000</v>
      </c>
      <c r="G168" s="298"/>
      <c r="H168" s="288" t="s">
        <v>494</v>
      </c>
      <c r="I168" s="298">
        <v>80000</v>
      </c>
      <c r="J168" s="298"/>
      <c r="K168" s="268" t="s">
        <v>546</v>
      </c>
      <c r="L168" s="268">
        <v>2013</v>
      </c>
    </row>
    <row r="169" spans="1:12" s="386" customFormat="1" ht="27.75" customHeight="1">
      <c r="A169" s="299">
        <v>111</v>
      </c>
      <c r="B169" s="332"/>
      <c r="C169" s="308"/>
      <c r="D169" s="683">
        <v>6060</v>
      </c>
      <c r="E169" s="286" t="s">
        <v>124</v>
      </c>
      <c r="F169" s="298">
        <v>70000</v>
      </c>
      <c r="G169" s="298"/>
      <c r="H169" s="288" t="s">
        <v>495</v>
      </c>
      <c r="I169" s="298">
        <v>70000</v>
      </c>
      <c r="J169" s="298"/>
      <c r="K169" s="268" t="s">
        <v>546</v>
      </c>
      <c r="L169" s="268">
        <v>2013</v>
      </c>
    </row>
    <row r="170" spans="1:15" ht="24.75" customHeight="1">
      <c r="A170" s="299"/>
      <c r="B170" s="389" t="s">
        <v>547</v>
      </c>
      <c r="C170" s="390"/>
      <c r="D170" s="328"/>
      <c r="E170" s="350"/>
      <c r="F170" s="391">
        <f>F171+F187+F191+F198+F205+F208+F215+F218</f>
        <v>37865291.05</v>
      </c>
      <c r="G170" s="391">
        <f>G171+G187+G191+G198+G205+G208+G215+G218</f>
        <v>18810224.86</v>
      </c>
      <c r="H170" s="391"/>
      <c r="I170" s="391">
        <f>I171+I187+I191+I198+I205+I208+I215+I218</f>
        <v>15223066.19</v>
      </c>
      <c r="J170" s="391">
        <f>J171+J187+J191+J198+J205+J208+J215+J218</f>
        <v>456882.52</v>
      </c>
      <c r="K170" s="268"/>
      <c r="L170" s="268"/>
      <c r="N170" s="549"/>
      <c r="O170" s="548"/>
    </row>
    <row r="171" spans="1:15" ht="20.25" customHeight="1">
      <c r="A171" s="271"/>
      <c r="B171" s="363">
        <v>600</v>
      </c>
      <c r="C171" s="271"/>
      <c r="D171" s="272"/>
      <c r="E171" s="304" t="s">
        <v>207</v>
      </c>
      <c r="F171" s="305">
        <f>F172</f>
        <v>34979255</v>
      </c>
      <c r="G171" s="305">
        <f>G172</f>
        <v>18810224.86</v>
      </c>
      <c r="H171" s="392"/>
      <c r="I171" s="305">
        <f>I172</f>
        <v>13337030.139999999</v>
      </c>
      <c r="J171" s="305">
        <f>J172</f>
        <v>140382.52000000002</v>
      </c>
      <c r="K171" s="268"/>
      <c r="L171" s="268"/>
      <c r="N171" s="550"/>
      <c r="O171" s="550"/>
    </row>
    <row r="172" spans="1:12" ht="27" customHeight="1">
      <c r="A172" s="299"/>
      <c r="B172" s="306"/>
      <c r="C172" s="312">
        <v>60015</v>
      </c>
      <c r="D172" s="278"/>
      <c r="E172" s="279" t="s">
        <v>548</v>
      </c>
      <c r="F172" s="280">
        <f>SUM(F173:F186)</f>
        <v>34979255</v>
      </c>
      <c r="G172" s="280">
        <f>SUM(G173:G186)</f>
        <v>18810224.86</v>
      </c>
      <c r="H172" s="347"/>
      <c r="I172" s="280">
        <f>SUM(I173:I186)</f>
        <v>13337030.139999999</v>
      </c>
      <c r="J172" s="280">
        <f>SUM(J173:J186)</f>
        <v>140382.52000000002</v>
      </c>
      <c r="K172" s="281"/>
      <c r="L172" s="281"/>
    </row>
    <row r="173" spans="1:14" ht="43.5" customHeight="1">
      <c r="A173" s="299">
        <v>112</v>
      </c>
      <c r="B173" s="369"/>
      <c r="C173" s="242"/>
      <c r="D173" s="301">
        <v>6050</v>
      </c>
      <c r="E173" s="364" t="s">
        <v>549</v>
      </c>
      <c r="F173" s="371">
        <f>27061100+125000+122352</f>
        <v>27308452</v>
      </c>
      <c r="G173" s="372">
        <f>23211100-3406101.69-1044773.45</f>
        <v>18760224.86</v>
      </c>
      <c r="H173" s="373" t="s">
        <v>550</v>
      </c>
      <c r="I173" s="374">
        <f>3850000+125000+122352+3406101.69+1044773.45</f>
        <v>8548227.139999999</v>
      </c>
      <c r="J173" s="374">
        <f>2141080-167000-1921497.48</f>
        <v>52582.52000000002</v>
      </c>
      <c r="K173" s="310" t="s">
        <v>551</v>
      </c>
      <c r="L173" s="310" t="s">
        <v>227</v>
      </c>
      <c r="N173" s="269"/>
    </row>
    <row r="174" spans="1:15" s="386" customFormat="1" ht="35.25" customHeight="1">
      <c r="A174" s="299">
        <v>113</v>
      </c>
      <c r="B174" s="369"/>
      <c r="C174" s="242"/>
      <c r="D174" s="301">
        <v>6050</v>
      </c>
      <c r="E174" s="364" t="s">
        <v>552</v>
      </c>
      <c r="F174" s="371">
        <v>1100000</v>
      </c>
      <c r="G174" s="372"/>
      <c r="H174" s="364" t="s">
        <v>553</v>
      </c>
      <c r="I174" s="374">
        <v>1100000</v>
      </c>
      <c r="J174" s="374">
        <v>0</v>
      </c>
      <c r="K174" s="310" t="s">
        <v>246</v>
      </c>
      <c r="L174" s="310">
        <v>2013</v>
      </c>
      <c r="N174" s="419"/>
      <c r="O174" s="419"/>
    </row>
    <row r="175" spans="1:16" s="386" customFormat="1" ht="58.5" customHeight="1">
      <c r="A175" s="299">
        <v>114</v>
      </c>
      <c r="B175" s="369"/>
      <c r="C175" s="242"/>
      <c r="D175" s="301">
        <v>6050</v>
      </c>
      <c r="E175" s="364" t="s">
        <v>554</v>
      </c>
      <c r="F175" s="371">
        <v>260000</v>
      </c>
      <c r="G175" s="372"/>
      <c r="H175" s="288" t="s">
        <v>542</v>
      </c>
      <c r="I175" s="374">
        <v>260000</v>
      </c>
      <c r="J175" s="374"/>
      <c r="K175" s="310" t="s">
        <v>226</v>
      </c>
      <c r="L175" s="310">
        <v>2013</v>
      </c>
      <c r="N175" s="419"/>
      <c r="O175" s="419"/>
      <c r="P175" s="419"/>
    </row>
    <row r="176" spans="1:15" s="386" customFormat="1" ht="57.75" customHeight="1">
      <c r="A176" s="299">
        <v>115</v>
      </c>
      <c r="B176" s="369"/>
      <c r="C176" s="242"/>
      <c r="D176" s="301">
        <v>6050</v>
      </c>
      <c r="E176" s="364" t="s">
        <v>555</v>
      </c>
      <c r="F176" s="371">
        <v>30000</v>
      </c>
      <c r="G176" s="372"/>
      <c r="H176" s="288" t="s">
        <v>542</v>
      </c>
      <c r="I176" s="374">
        <v>30000</v>
      </c>
      <c r="J176" s="374"/>
      <c r="K176" s="310" t="s">
        <v>246</v>
      </c>
      <c r="L176" s="310">
        <v>2013</v>
      </c>
      <c r="N176" s="419"/>
      <c r="O176" s="419"/>
    </row>
    <row r="177" spans="1:12" s="386" customFormat="1" ht="35.25" customHeight="1">
      <c r="A177" s="299">
        <v>116</v>
      </c>
      <c r="B177" s="369"/>
      <c r="C177" s="242"/>
      <c r="D177" s="301">
        <v>6050</v>
      </c>
      <c r="E177" s="364" t="s">
        <v>610</v>
      </c>
      <c r="F177" s="815">
        <f>2832000+2832000-828000-125000</f>
        <v>4711000</v>
      </c>
      <c r="G177" s="372"/>
      <c r="H177" s="288" t="s">
        <v>612</v>
      </c>
      <c r="I177" s="730">
        <f>2832000-828000-125000</f>
        <v>1879000</v>
      </c>
      <c r="J177" s="730">
        <f>240000+753800-78000-828000</f>
        <v>87800</v>
      </c>
      <c r="K177" s="310" t="s">
        <v>226</v>
      </c>
      <c r="L177" s="310">
        <v>2013</v>
      </c>
    </row>
    <row r="178" spans="1:12" s="386" customFormat="1" ht="35.25" customHeight="1">
      <c r="A178" s="299">
        <v>117</v>
      </c>
      <c r="B178" s="369"/>
      <c r="C178" s="242"/>
      <c r="D178" s="301">
        <v>6050</v>
      </c>
      <c r="E178" s="364" t="s">
        <v>87</v>
      </c>
      <c r="F178" s="371">
        <v>500000</v>
      </c>
      <c r="G178" s="372"/>
      <c r="H178" s="288" t="s">
        <v>521</v>
      </c>
      <c r="I178" s="374">
        <v>500000</v>
      </c>
      <c r="J178" s="374"/>
      <c r="K178" s="310" t="s">
        <v>246</v>
      </c>
      <c r="L178" s="310">
        <v>2013</v>
      </c>
    </row>
    <row r="179" spans="1:12" s="386" customFormat="1" ht="78" customHeight="1">
      <c r="A179" s="299">
        <v>118</v>
      </c>
      <c r="B179" s="369"/>
      <c r="C179" s="242"/>
      <c r="D179" s="301">
        <v>6050</v>
      </c>
      <c r="E179" s="712" t="s">
        <v>170</v>
      </c>
      <c r="F179" s="371">
        <v>119400</v>
      </c>
      <c r="G179" s="372"/>
      <c r="H179" s="684" t="s">
        <v>171</v>
      </c>
      <c r="I179" s="374">
        <v>119400</v>
      </c>
      <c r="J179" s="374"/>
      <c r="K179" s="310" t="s">
        <v>246</v>
      </c>
      <c r="L179" s="310">
        <v>2013</v>
      </c>
    </row>
    <row r="180" spans="1:12" s="386" customFormat="1" ht="54.75" customHeight="1">
      <c r="A180" s="299">
        <v>119</v>
      </c>
      <c r="B180" s="369"/>
      <c r="C180" s="242"/>
      <c r="D180" s="301">
        <v>6050</v>
      </c>
      <c r="E180" s="685" t="s">
        <v>7</v>
      </c>
      <c r="F180" s="371">
        <v>450000</v>
      </c>
      <c r="G180" s="372"/>
      <c r="H180" s="684" t="s">
        <v>496</v>
      </c>
      <c r="I180" s="374">
        <v>450000</v>
      </c>
      <c r="J180" s="374"/>
      <c r="K180" s="310" t="s">
        <v>246</v>
      </c>
      <c r="L180" s="310">
        <v>2013</v>
      </c>
    </row>
    <row r="181" spans="1:12" s="386" customFormat="1" ht="57" customHeight="1">
      <c r="A181" s="299">
        <v>120</v>
      </c>
      <c r="B181" s="369"/>
      <c r="C181" s="242"/>
      <c r="D181" s="301">
        <v>6050</v>
      </c>
      <c r="E181" s="686" t="s">
        <v>8</v>
      </c>
      <c r="F181" s="371">
        <v>220000</v>
      </c>
      <c r="G181" s="372"/>
      <c r="H181" s="686" t="s">
        <v>497</v>
      </c>
      <c r="I181" s="374">
        <v>220000</v>
      </c>
      <c r="J181" s="374"/>
      <c r="K181" s="310" t="s">
        <v>246</v>
      </c>
      <c r="L181" s="310">
        <v>2013</v>
      </c>
    </row>
    <row r="182" spans="1:12" s="386" customFormat="1" ht="55.5" customHeight="1">
      <c r="A182" s="299">
        <v>121</v>
      </c>
      <c r="B182" s="369"/>
      <c r="C182" s="242"/>
      <c r="D182" s="301">
        <v>6050</v>
      </c>
      <c r="E182" s="686" t="s">
        <v>9</v>
      </c>
      <c r="F182" s="815"/>
      <c r="G182" s="372"/>
      <c r="H182" s="288" t="s">
        <v>542</v>
      </c>
      <c r="I182" s="730"/>
      <c r="J182" s="374"/>
      <c r="K182" s="310" t="s">
        <v>246</v>
      </c>
      <c r="L182" s="310">
        <v>2013</v>
      </c>
    </row>
    <row r="183" spans="1:12" s="386" customFormat="1" ht="59.25" customHeight="1">
      <c r="A183" s="299">
        <v>122</v>
      </c>
      <c r="B183" s="369"/>
      <c r="C183" s="242"/>
      <c r="D183" s="301">
        <v>6050</v>
      </c>
      <c r="E183" s="686" t="s">
        <v>498</v>
      </c>
      <c r="F183" s="371">
        <v>12000</v>
      </c>
      <c r="G183" s="372"/>
      <c r="H183" s="393" t="s">
        <v>557</v>
      </c>
      <c r="I183" s="374">
        <v>12000</v>
      </c>
      <c r="J183" s="374"/>
      <c r="K183" s="310" t="s">
        <v>246</v>
      </c>
      <c r="L183" s="310">
        <v>2013</v>
      </c>
    </row>
    <row r="184" spans="1:14" s="386" customFormat="1" ht="133.5" customHeight="1">
      <c r="A184" s="234">
        <v>123</v>
      </c>
      <c r="B184" s="369"/>
      <c r="C184" s="242"/>
      <c r="D184" s="346">
        <v>6050</v>
      </c>
      <c r="E184" s="364" t="s">
        <v>556</v>
      </c>
      <c r="F184" s="815">
        <f>550000-350000-27597+69000</f>
        <v>241403</v>
      </c>
      <c r="G184" s="372">
        <v>50000</v>
      </c>
      <c r="H184" s="733" t="s">
        <v>471</v>
      </c>
      <c r="I184" s="730">
        <f>500000-350000-27597+69000</f>
        <v>191403</v>
      </c>
      <c r="J184" s="374">
        <v>0</v>
      </c>
      <c r="K184" s="310" t="s">
        <v>472</v>
      </c>
      <c r="L184" s="310" t="s">
        <v>227</v>
      </c>
      <c r="N184" s="419"/>
    </row>
    <row r="185" spans="1:14" s="386" customFormat="1" ht="44.25" customHeight="1">
      <c r="A185" s="234"/>
      <c r="B185" s="369"/>
      <c r="C185" s="242"/>
      <c r="D185" s="346">
        <v>6050</v>
      </c>
      <c r="E185" s="731" t="s">
        <v>383</v>
      </c>
      <c r="F185" s="730">
        <v>12000</v>
      </c>
      <c r="G185" s="732"/>
      <c r="H185" s="733"/>
      <c r="I185" s="730">
        <v>12000</v>
      </c>
      <c r="J185" s="730"/>
      <c r="K185" s="734" t="s">
        <v>246</v>
      </c>
      <c r="L185" s="734">
        <v>2013</v>
      </c>
      <c r="N185" s="419"/>
    </row>
    <row r="186" spans="1:14" s="386" customFormat="1" ht="80.25" customHeight="1">
      <c r="A186" s="234"/>
      <c r="B186" s="369"/>
      <c r="C186" s="242"/>
      <c r="D186" s="346">
        <v>6050</v>
      </c>
      <c r="E186" s="731" t="s">
        <v>363</v>
      </c>
      <c r="F186" s="730">
        <f>15000</f>
        <v>15000</v>
      </c>
      <c r="G186" s="732"/>
      <c r="H186" s="733"/>
      <c r="I186" s="730">
        <f>15000</f>
        <v>15000</v>
      </c>
      <c r="J186" s="730"/>
      <c r="K186" s="734" t="s">
        <v>246</v>
      </c>
      <c r="L186" s="734">
        <v>2013</v>
      </c>
      <c r="N186" s="419"/>
    </row>
    <row r="187" spans="1:14" s="695" customFormat="1" ht="28.5" customHeight="1">
      <c r="A187" s="271"/>
      <c r="B187" s="272">
        <v>630</v>
      </c>
      <c r="C187" s="271"/>
      <c r="D187" s="349"/>
      <c r="E187" s="693" t="s">
        <v>649</v>
      </c>
      <c r="F187" s="694">
        <f>F188</f>
        <v>130000</v>
      </c>
      <c r="G187" s="694">
        <f>G188</f>
        <v>0</v>
      </c>
      <c r="H187" s="694"/>
      <c r="I187" s="694">
        <f>I188</f>
        <v>130000</v>
      </c>
      <c r="J187" s="694">
        <f>J188</f>
        <v>0</v>
      </c>
      <c r="K187" s="620"/>
      <c r="L187" s="620"/>
      <c r="N187" s="696"/>
    </row>
    <row r="188" spans="1:14" s="691" customFormat="1" ht="29.25" customHeight="1">
      <c r="A188" s="311"/>
      <c r="B188" s="537"/>
      <c r="C188" s="312">
        <v>63095</v>
      </c>
      <c r="D188" s="406"/>
      <c r="E188" s="688" t="s">
        <v>259</v>
      </c>
      <c r="F188" s="689">
        <f>SUM(F189:F190)</f>
        <v>130000</v>
      </c>
      <c r="G188" s="689">
        <f>SUM(G189:G190)</f>
        <v>0</v>
      </c>
      <c r="H188" s="689"/>
      <c r="I188" s="689">
        <f>SUM(I189:I190)</f>
        <v>130000</v>
      </c>
      <c r="J188" s="689">
        <f>SUM(J189:J190)</f>
        <v>0</v>
      </c>
      <c r="K188" s="690"/>
      <c r="L188" s="690"/>
      <c r="N188" s="692"/>
    </row>
    <row r="189" spans="1:14" s="386" customFormat="1" ht="54" customHeight="1">
      <c r="A189" s="242">
        <v>124</v>
      </c>
      <c r="B189" s="369"/>
      <c r="C189" s="242"/>
      <c r="D189" s="301">
        <v>6050</v>
      </c>
      <c r="E189" s="364" t="s">
        <v>22</v>
      </c>
      <c r="F189" s="371">
        <v>60000</v>
      </c>
      <c r="G189" s="372"/>
      <c r="H189" s="288" t="s">
        <v>542</v>
      </c>
      <c r="I189" s="374">
        <v>60000</v>
      </c>
      <c r="J189" s="374"/>
      <c r="K189" s="687" t="s">
        <v>226</v>
      </c>
      <c r="L189" s="687">
        <v>2013</v>
      </c>
      <c r="N189" s="419"/>
    </row>
    <row r="190" spans="1:14" s="386" customFormat="1" ht="39.75" customHeight="1">
      <c r="A190" s="242">
        <v>125</v>
      </c>
      <c r="B190" s="369"/>
      <c r="C190" s="242"/>
      <c r="D190" s="301">
        <v>6050</v>
      </c>
      <c r="E190" s="364" t="s">
        <v>11</v>
      </c>
      <c r="F190" s="371">
        <v>70000</v>
      </c>
      <c r="G190" s="372"/>
      <c r="H190" s="393" t="s">
        <v>499</v>
      </c>
      <c r="I190" s="374">
        <v>70000</v>
      </c>
      <c r="J190" s="374"/>
      <c r="K190" s="687" t="s">
        <v>226</v>
      </c>
      <c r="L190" s="687">
        <v>2013</v>
      </c>
      <c r="N190" s="419"/>
    </row>
    <row r="191" spans="1:17" s="49" customFormat="1" ht="27" customHeight="1">
      <c r="A191" s="242"/>
      <c r="B191" s="271">
        <v>710</v>
      </c>
      <c r="C191" s="271"/>
      <c r="D191" s="271"/>
      <c r="E191" s="350" t="s">
        <v>558</v>
      </c>
      <c r="F191" s="331">
        <f>F192+F195</f>
        <v>55000</v>
      </c>
      <c r="G191" s="331">
        <f>G192+G195</f>
        <v>0</v>
      </c>
      <c r="H191" s="331"/>
      <c r="I191" s="331">
        <f>I192+I195</f>
        <v>55000</v>
      </c>
      <c r="J191" s="331">
        <f>J192+J195</f>
        <v>0</v>
      </c>
      <c r="K191" s="267"/>
      <c r="L191" s="267"/>
      <c r="N191" s="394"/>
      <c r="O191" s="394"/>
      <c r="P191" s="394"/>
      <c r="Q191" s="3"/>
    </row>
    <row r="192" spans="1:17" s="49" customFormat="1" ht="27" customHeight="1">
      <c r="A192" s="242"/>
      <c r="B192" s="335"/>
      <c r="C192" s="306">
        <v>71012</v>
      </c>
      <c r="D192" s="313"/>
      <c r="E192" s="319" t="s">
        <v>559</v>
      </c>
      <c r="F192" s="320">
        <f>F193+F194</f>
        <v>45000</v>
      </c>
      <c r="G192" s="320">
        <f>G193+G194</f>
        <v>0</v>
      </c>
      <c r="H192" s="320"/>
      <c r="I192" s="320">
        <f>I193+I194</f>
        <v>45000</v>
      </c>
      <c r="J192" s="320">
        <f>J193+J194</f>
        <v>0</v>
      </c>
      <c r="K192" s="395"/>
      <c r="L192" s="395"/>
      <c r="N192" s="394"/>
      <c r="O192" s="394"/>
      <c r="P192" s="394"/>
      <c r="Q192" s="3"/>
    </row>
    <row r="193" spans="1:17" s="49" customFormat="1" ht="52.5" customHeight="1">
      <c r="A193" s="242">
        <v>126</v>
      </c>
      <c r="B193" s="342"/>
      <c r="C193" s="234"/>
      <c r="D193" s="301">
        <v>6050</v>
      </c>
      <c r="E193" s="339" t="s">
        <v>629</v>
      </c>
      <c r="F193" s="340">
        <v>25000</v>
      </c>
      <c r="G193" s="340"/>
      <c r="H193" s="340" t="s">
        <v>500</v>
      </c>
      <c r="I193" s="340">
        <v>25000</v>
      </c>
      <c r="J193" s="340"/>
      <c r="K193" s="267" t="s">
        <v>562</v>
      </c>
      <c r="L193" s="267">
        <v>2013</v>
      </c>
      <c r="N193" s="394"/>
      <c r="O193" s="394"/>
      <c r="P193" s="394"/>
      <c r="Q193" s="3"/>
    </row>
    <row r="194" spans="1:17" s="49" customFormat="1" ht="54.75" customHeight="1">
      <c r="A194" s="242">
        <v>127</v>
      </c>
      <c r="B194" s="342"/>
      <c r="C194" s="303"/>
      <c r="D194" s="301">
        <v>6060</v>
      </c>
      <c r="E194" s="339" t="s">
        <v>560</v>
      </c>
      <c r="F194" s="340">
        <f>25000+20000-25000</f>
        <v>20000</v>
      </c>
      <c r="G194" s="340">
        <v>0</v>
      </c>
      <c r="H194" s="396" t="s">
        <v>561</v>
      </c>
      <c r="I194" s="340">
        <f>25000+20000-25000</f>
        <v>20000</v>
      </c>
      <c r="J194" s="340">
        <v>0</v>
      </c>
      <c r="K194" s="267" t="s">
        <v>562</v>
      </c>
      <c r="L194" s="267">
        <v>2013</v>
      </c>
      <c r="N194" s="394"/>
      <c r="O194" s="394"/>
      <c r="P194" s="394"/>
      <c r="Q194" s="3"/>
    </row>
    <row r="195" spans="1:17" s="49" customFormat="1" ht="21.75" customHeight="1">
      <c r="A195" s="252"/>
      <c r="B195" s="311"/>
      <c r="C195" s="277">
        <v>71015</v>
      </c>
      <c r="D195" s="313"/>
      <c r="E195" s="319" t="s">
        <v>563</v>
      </c>
      <c r="F195" s="320">
        <f>F196+F197</f>
        <v>10000</v>
      </c>
      <c r="G195" s="320">
        <f>G197</f>
        <v>0</v>
      </c>
      <c r="H195" s="320"/>
      <c r="I195" s="320">
        <f>I196+I197</f>
        <v>10000</v>
      </c>
      <c r="J195" s="320">
        <f>J197</f>
        <v>0</v>
      </c>
      <c r="K195" s="395"/>
      <c r="L195" s="395"/>
      <c r="N195" s="394"/>
      <c r="O195" s="394"/>
      <c r="P195" s="394"/>
      <c r="Q195" s="3"/>
    </row>
    <row r="196" spans="1:17" s="49" customFormat="1" ht="40.5" customHeight="1">
      <c r="A196" s="252">
        <v>128</v>
      </c>
      <c r="B196" s="311"/>
      <c r="C196" s="276"/>
      <c r="D196" s="328">
        <v>6060</v>
      </c>
      <c r="E196" s="339" t="s">
        <v>564</v>
      </c>
      <c r="F196" s="340">
        <v>5000</v>
      </c>
      <c r="G196" s="340">
        <v>0</v>
      </c>
      <c r="H196" s="396" t="s">
        <v>565</v>
      </c>
      <c r="I196" s="397">
        <v>5000</v>
      </c>
      <c r="J196" s="397">
        <v>0</v>
      </c>
      <c r="K196" s="310" t="s">
        <v>566</v>
      </c>
      <c r="L196" s="310">
        <v>2013</v>
      </c>
      <c r="N196" s="394"/>
      <c r="O196" s="394"/>
      <c r="P196" s="394"/>
      <c r="Q196" s="3"/>
    </row>
    <row r="197" spans="1:17" s="49" customFormat="1" ht="41.25" customHeight="1">
      <c r="A197" s="299">
        <v>129</v>
      </c>
      <c r="B197" s="242"/>
      <c r="C197" s="308"/>
      <c r="D197" s="328">
        <v>6060</v>
      </c>
      <c r="E197" s="339" t="s">
        <v>567</v>
      </c>
      <c r="F197" s="340">
        <v>5000</v>
      </c>
      <c r="G197" s="340">
        <v>0</v>
      </c>
      <c r="H197" s="396" t="s">
        <v>568</v>
      </c>
      <c r="I197" s="397">
        <v>5000</v>
      </c>
      <c r="J197" s="397">
        <v>0</v>
      </c>
      <c r="K197" s="310" t="s">
        <v>566</v>
      </c>
      <c r="L197" s="310">
        <v>2013</v>
      </c>
      <c r="N197" s="394"/>
      <c r="O197" s="394"/>
      <c r="P197" s="394"/>
      <c r="Q197" s="3"/>
    </row>
    <row r="198" spans="1:17" s="49" customFormat="1" ht="35.25" customHeight="1">
      <c r="A198" s="271"/>
      <c r="B198" s="271">
        <v>754</v>
      </c>
      <c r="C198" s="271"/>
      <c r="D198" s="271"/>
      <c r="E198" s="315" t="s">
        <v>273</v>
      </c>
      <c r="F198" s="398">
        <f>F199+F201</f>
        <v>560000</v>
      </c>
      <c r="G198" s="398">
        <f>G199+G201</f>
        <v>0</v>
      </c>
      <c r="H198" s="398"/>
      <c r="I198" s="398">
        <f>I199+I201</f>
        <v>560000</v>
      </c>
      <c r="J198" s="398">
        <f>J199+J201</f>
        <v>100000</v>
      </c>
      <c r="K198" s="310"/>
      <c r="L198" s="310"/>
      <c r="N198" s="394"/>
      <c r="O198" s="394"/>
      <c r="P198" s="394"/>
      <c r="Q198" s="3"/>
    </row>
    <row r="199" spans="1:17" s="49" customFormat="1" ht="35.25" customHeight="1">
      <c r="A199" s="299"/>
      <c r="B199" s="242"/>
      <c r="C199" s="299">
        <v>75405</v>
      </c>
      <c r="D199" s="443"/>
      <c r="E199" s="339" t="s">
        <v>76</v>
      </c>
      <c r="F199" s="309">
        <f>F200</f>
        <v>210000</v>
      </c>
      <c r="G199" s="309">
        <f>G200</f>
        <v>0</v>
      </c>
      <c r="H199" s="309"/>
      <c r="I199" s="309">
        <f>I200</f>
        <v>210000</v>
      </c>
      <c r="J199" s="309">
        <f>J200</f>
        <v>0</v>
      </c>
      <c r="K199" s="310"/>
      <c r="L199" s="310"/>
      <c r="N199" s="394"/>
      <c r="O199" s="394"/>
      <c r="P199" s="394"/>
      <c r="Q199" s="3"/>
    </row>
    <row r="200" spans="1:17" s="49" customFormat="1" ht="35.25" customHeight="1">
      <c r="A200" s="299">
        <v>130</v>
      </c>
      <c r="B200" s="242"/>
      <c r="C200" s="299"/>
      <c r="D200" s="443">
        <v>6170</v>
      </c>
      <c r="E200" s="339" t="s">
        <v>501</v>
      </c>
      <c r="F200" s="309">
        <f>150000+60000</f>
        <v>210000</v>
      </c>
      <c r="G200" s="309"/>
      <c r="H200" s="309" t="s">
        <v>502</v>
      </c>
      <c r="I200" s="309">
        <f>150000+60000</f>
        <v>210000</v>
      </c>
      <c r="J200" s="309"/>
      <c r="K200" s="310" t="s">
        <v>277</v>
      </c>
      <c r="L200" s="310">
        <v>2013</v>
      </c>
      <c r="N200" s="394"/>
      <c r="O200" s="394"/>
      <c r="P200" s="394"/>
      <c r="Q200" s="3"/>
    </row>
    <row r="201" spans="1:17" s="49" customFormat="1" ht="33" customHeight="1">
      <c r="A201" s="299"/>
      <c r="B201" s="311"/>
      <c r="C201" s="312">
        <v>75411</v>
      </c>
      <c r="D201" s="399"/>
      <c r="E201" s="319" t="s">
        <v>569</v>
      </c>
      <c r="F201" s="309">
        <f>SUM(F202:F204)</f>
        <v>350000</v>
      </c>
      <c r="G201" s="309">
        <f>SUM(G202:G204)</f>
        <v>0</v>
      </c>
      <c r="H201" s="309"/>
      <c r="I201" s="309">
        <f>SUM(I202:I204)</f>
        <v>350000</v>
      </c>
      <c r="J201" s="309">
        <f>SUM(J202:J204)</f>
        <v>100000</v>
      </c>
      <c r="K201" s="310"/>
      <c r="L201" s="310"/>
      <c r="N201" s="394"/>
      <c r="O201" s="394"/>
      <c r="P201" s="394"/>
      <c r="Q201" s="3"/>
    </row>
    <row r="202" spans="1:17" s="49" customFormat="1" ht="100.5" customHeight="1">
      <c r="A202" s="819">
        <v>131</v>
      </c>
      <c r="B202" s="242"/>
      <c r="C202" s="308"/>
      <c r="D202" s="384">
        <v>6050</v>
      </c>
      <c r="E202" s="297" t="s">
        <v>570</v>
      </c>
      <c r="F202" s="340">
        <f>100000</f>
        <v>100000</v>
      </c>
      <c r="G202" s="340">
        <v>0</v>
      </c>
      <c r="H202" s="396" t="s">
        <v>589</v>
      </c>
      <c r="I202" s="309">
        <f>100000</f>
        <v>100000</v>
      </c>
      <c r="J202" s="309"/>
      <c r="K202" s="310" t="s">
        <v>590</v>
      </c>
      <c r="L202" s="310">
        <v>2013</v>
      </c>
      <c r="N202" s="394"/>
      <c r="O202" s="394"/>
      <c r="P202" s="394"/>
      <c r="Q202" s="3"/>
    </row>
    <row r="203" spans="1:17" s="49" customFormat="1" ht="111.75" customHeight="1">
      <c r="A203" s="820"/>
      <c r="B203" s="242"/>
      <c r="C203" s="308"/>
      <c r="D203" s="384">
        <v>6170</v>
      </c>
      <c r="E203" s="297" t="s">
        <v>570</v>
      </c>
      <c r="F203" s="340">
        <f>100000+130000</f>
        <v>230000</v>
      </c>
      <c r="G203" s="340"/>
      <c r="H203" s="396" t="s">
        <v>589</v>
      </c>
      <c r="I203" s="309">
        <f>130000+100000</f>
        <v>230000</v>
      </c>
      <c r="J203" s="309">
        <v>100000</v>
      </c>
      <c r="K203" s="310" t="s">
        <v>277</v>
      </c>
      <c r="L203" s="310">
        <v>2013</v>
      </c>
      <c r="N203" s="394"/>
      <c r="O203" s="394"/>
      <c r="P203" s="394"/>
      <c r="Q203" s="3"/>
    </row>
    <row r="204" spans="1:17" s="49" customFormat="1" ht="87" customHeight="1">
      <c r="A204" s="299">
        <v>132</v>
      </c>
      <c r="B204" s="242"/>
      <c r="C204" s="308"/>
      <c r="D204" s="384">
        <v>6170</v>
      </c>
      <c r="E204" s="297" t="s">
        <v>23</v>
      </c>
      <c r="F204" s="340">
        <v>20000</v>
      </c>
      <c r="G204" s="340"/>
      <c r="H204" s="396" t="s">
        <v>503</v>
      </c>
      <c r="I204" s="697">
        <v>20000</v>
      </c>
      <c r="J204" s="697"/>
      <c r="K204" s="310" t="s">
        <v>277</v>
      </c>
      <c r="L204" s="310">
        <v>2013</v>
      </c>
      <c r="N204" s="394"/>
      <c r="O204" s="394"/>
      <c r="P204" s="394"/>
      <c r="Q204" s="3"/>
    </row>
    <row r="205" spans="1:12" ht="21.75" customHeight="1">
      <c r="A205" s="524"/>
      <c r="B205" s="271">
        <v>758</v>
      </c>
      <c r="C205" s="271"/>
      <c r="D205" s="272"/>
      <c r="E205" s="304" t="s">
        <v>27</v>
      </c>
      <c r="F205" s="305">
        <f>F206</f>
        <v>240536.05</v>
      </c>
      <c r="G205" s="305">
        <f aca="true" t="shared" si="1" ref="G205:J206">G206</f>
        <v>0</v>
      </c>
      <c r="H205" s="305"/>
      <c r="I205" s="305">
        <f t="shared" si="1"/>
        <v>240536.05</v>
      </c>
      <c r="J205" s="305">
        <f t="shared" si="1"/>
        <v>0</v>
      </c>
      <c r="K205" s="268"/>
      <c r="L205" s="268"/>
    </row>
    <row r="206" spans="1:12" ht="22.5" customHeight="1">
      <c r="A206" s="525"/>
      <c r="B206" s="338"/>
      <c r="C206" s="318">
        <v>75818</v>
      </c>
      <c r="D206" s="313"/>
      <c r="E206" s="319" t="s">
        <v>28</v>
      </c>
      <c r="F206" s="320">
        <f>F207</f>
        <v>240536.05</v>
      </c>
      <c r="G206" s="320">
        <f t="shared" si="1"/>
        <v>0</v>
      </c>
      <c r="H206" s="320"/>
      <c r="I206" s="320">
        <f t="shared" si="1"/>
        <v>240536.05</v>
      </c>
      <c r="J206" s="320">
        <f t="shared" si="1"/>
        <v>0</v>
      </c>
      <c r="K206" s="281"/>
      <c r="L206" s="281"/>
    </row>
    <row r="207" spans="1:12" ht="32.25" customHeight="1">
      <c r="A207" s="525"/>
      <c r="B207" s="335"/>
      <c r="C207" s="308"/>
      <c r="D207" s="328">
        <v>6800</v>
      </c>
      <c r="E207" s="339" t="s">
        <v>280</v>
      </c>
      <c r="F207" s="340">
        <f>185000-85000+140536.05</f>
        <v>240536.05</v>
      </c>
      <c r="G207" s="340"/>
      <c r="H207" s="288"/>
      <c r="I207" s="400">
        <f>185000-85000+140536.05</f>
        <v>240536.05</v>
      </c>
      <c r="J207" s="337">
        <f>500000-500000</f>
        <v>0</v>
      </c>
      <c r="K207" s="268"/>
      <c r="L207" s="268"/>
    </row>
    <row r="208" spans="1:12" ht="26.25" customHeight="1">
      <c r="A208" s="234"/>
      <c r="B208" s="363">
        <v>801</v>
      </c>
      <c r="C208" s="271"/>
      <c r="D208" s="271"/>
      <c r="E208" s="330" t="s">
        <v>281</v>
      </c>
      <c r="F208" s="305">
        <f>F209+F211+F213</f>
        <v>316500</v>
      </c>
      <c r="G208" s="305">
        <f>G209+G211+G213</f>
        <v>0</v>
      </c>
      <c r="H208" s="305"/>
      <c r="I208" s="305">
        <f>I209+I211+I213</f>
        <v>316500</v>
      </c>
      <c r="J208" s="305">
        <f>J209+J211+J213</f>
        <v>116500</v>
      </c>
      <c r="K208" s="352"/>
      <c r="L208" s="352"/>
    </row>
    <row r="209" spans="1:12" s="407" customFormat="1" ht="26.25" customHeight="1">
      <c r="A209" s="537"/>
      <c r="B209" s="306"/>
      <c r="C209" s="307">
        <v>80120</v>
      </c>
      <c r="D209" s="312"/>
      <c r="E209" s="333" t="s">
        <v>38</v>
      </c>
      <c r="F209" s="280">
        <f>F210</f>
        <v>110000</v>
      </c>
      <c r="G209" s="280">
        <f>G210</f>
        <v>0</v>
      </c>
      <c r="H209" s="280"/>
      <c r="I209" s="280">
        <f>I210</f>
        <v>110000</v>
      </c>
      <c r="J209" s="280">
        <f>J210</f>
        <v>110000</v>
      </c>
      <c r="K209" s="281"/>
      <c r="L209" s="281"/>
    </row>
    <row r="210" spans="1:12" s="542" customFormat="1" ht="35.25" customHeight="1">
      <c r="A210" s="369">
        <v>133</v>
      </c>
      <c r="B210" s="242"/>
      <c r="C210" s="370"/>
      <c r="D210" s="299">
        <v>6050</v>
      </c>
      <c r="E210" s="536" t="s">
        <v>88</v>
      </c>
      <c r="F210" s="298">
        <v>110000</v>
      </c>
      <c r="G210" s="298"/>
      <c r="H210" s="298" t="s">
        <v>101</v>
      </c>
      <c r="I210" s="298">
        <v>110000</v>
      </c>
      <c r="J210" s="298">
        <v>110000</v>
      </c>
      <c r="K210" s="268" t="s">
        <v>37</v>
      </c>
      <c r="L210" s="268">
        <v>2013</v>
      </c>
    </row>
    <row r="211" spans="1:12" s="542" customFormat="1" ht="45" customHeight="1">
      <c r="A211" s="369">
        <v>134</v>
      </c>
      <c r="B211" s="242"/>
      <c r="C211" s="370">
        <v>80140</v>
      </c>
      <c r="D211" s="299"/>
      <c r="E211" s="536" t="s">
        <v>102</v>
      </c>
      <c r="F211" s="298">
        <f>F212</f>
        <v>200000</v>
      </c>
      <c r="G211" s="298">
        <f>G212</f>
        <v>0</v>
      </c>
      <c r="H211" s="298"/>
      <c r="I211" s="298">
        <f>I212</f>
        <v>200000</v>
      </c>
      <c r="J211" s="298">
        <f>J212</f>
        <v>0</v>
      </c>
      <c r="K211" s="268"/>
      <c r="L211" s="268"/>
    </row>
    <row r="212" spans="1:12" s="542" customFormat="1" ht="41.25" customHeight="1">
      <c r="A212" s="369">
        <v>135</v>
      </c>
      <c r="B212" s="242"/>
      <c r="C212" s="370"/>
      <c r="D212" s="299">
        <v>6050</v>
      </c>
      <c r="E212" s="536" t="s">
        <v>89</v>
      </c>
      <c r="F212" s="298">
        <v>200000</v>
      </c>
      <c r="G212" s="298"/>
      <c r="H212" s="298" t="s">
        <v>217</v>
      </c>
      <c r="I212" s="298">
        <v>200000</v>
      </c>
      <c r="J212" s="298"/>
      <c r="K212" s="268" t="s">
        <v>36</v>
      </c>
      <c r="L212" s="268">
        <v>2013</v>
      </c>
    </row>
    <row r="213" spans="1:12" ht="32.25" customHeight="1">
      <c r="A213" s="369"/>
      <c r="B213" s="242"/>
      <c r="C213" s="307">
        <v>80146</v>
      </c>
      <c r="D213" s="312"/>
      <c r="E213" s="401" t="s">
        <v>591</v>
      </c>
      <c r="F213" s="280">
        <f>F214</f>
        <v>6500</v>
      </c>
      <c r="G213" s="280">
        <f>G214</f>
        <v>0</v>
      </c>
      <c r="H213" s="280"/>
      <c r="I213" s="280">
        <f>I214</f>
        <v>6500</v>
      </c>
      <c r="J213" s="280">
        <f>J214</f>
        <v>6500</v>
      </c>
      <c r="K213" s="281"/>
      <c r="L213" s="281"/>
    </row>
    <row r="214" spans="1:12" ht="53.25" customHeight="1">
      <c r="A214" s="443">
        <v>136</v>
      </c>
      <c r="B214" s="252"/>
      <c r="C214" s="346"/>
      <c r="D214" s="234">
        <v>6050</v>
      </c>
      <c r="E214" s="402" t="s">
        <v>592</v>
      </c>
      <c r="F214" s="403">
        <v>6500</v>
      </c>
      <c r="G214" s="404">
        <v>0</v>
      </c>
      <c r="H214" s="405" t="s">
        <v>593</v>
      </c>
      <c r="I214" s="400">
        <v>6500</v>
      </c>
      <c r="J214" s="337">
        <v>6500</v>
      </c>
      <c r="K214" s="268" t="s">
        <v>594</v>
      </c>
      <c r="L214" s="268">
        <v>2013</v>
      </c>
    </row>
    <row r="215" spans="1:12" s="353" customFormat="1" ht="28.5" customHeight="1">
      <c r="A215" s="271"/>
      <c r="B215" s="303">
        <v>852</v>
      </c>
      <c r="C215" s="271"/>
      <c r="D215" s="271"/>
      <c r="E215" s="350" t="s">
        <v>595</v>
      </c>
      <c r="F215" s="331">
        <f>F216</f>
        <v>84000</v>
      </c>
      <c r="G215" s="331">
        <f aca="true" t="shared" si="2" ref="G215:J216">G216</f>
        <v>0</v>
      </c>
      <c r="H215" s="331"/>
      <c r="I215" s="331">
        <f t="shared" si="2"/>
        <v>84000</v>
      </c>
      <c r="J215" s="331">
        <f t="shared" si="2"/>
        <v>0</v>
      </c>
      <c r="K215" s="352"/>
      <c r="L215" s="352"/>
    </row>
    <row r="216" spans="1:12" s="407" customFormat="1" ht="24" customHeight="1">
      <c r="A216" s="306"/>
      <c r="B216" s="306"/>
      <c r="C216" s="406">
        <v>85202</v>
      </c>
      <c r="D216" s="312"/>
      <c r="E216" s="355" t="s">
        <v>596</v>
      </c>
      <c r="F216" s="334">
        <f>F217</f>
        <v>84000</v>
      </c>
      <c r="G216" s="334">
        <f t="shared" si="2"/>
        <v>0</v>
      </c>
      <c r="H216" s="334"/>
      <c r="I216" s="334">
        <f t="shared" si="2"/>
        <v>84000</v>
      </c>
      <c r="J216" s="334">
        <f t="shared" si="2"/>
        <v>0</v>
      </c>
      <c r="K216" s="281"/>
      <c r="L216" s="281"/>
    </row>
    <row r="217" spans="1:12" ht="42" customHeight="1">
      <c r="A217" s="252">
        <v>137</v>
      </c>
      <c r="B217" s="252"/>
      <c r="C217" s="301"/>
      <c r="D217" s="299">
        <v>6060</v>
      </c>
      <c r="E217" s="286" t="s">
        <v>597</v>
      </c>
      <c r="F217" s="404">
        <v>84000</v>
      </c>
      <c r="G217" s="404"/>
      <c r="H217" s="288" t="s">
        <v>598</v>
      </c>
      <c r="I217" s="400">
        <v>84000</v>
      </c>
      <c r="J217" s="302"/>
      <c r="K217" s="268" t="s">
        <v>599</v>
      </c>
      <c r="L217" s="268">
        <v>2013</v>
      </c>
    </row>
    <row r="218" spans="1:12" ht="24" customHeight="1">
      <c r="A218" s="271"/>
      <c r="B218" s="270">
        <v>926</v>
      </c>
      <c r="C218" s="271"/>
      <c r="D218" s="272"/>
      <c r="E218" s="304" t="s">
        <v>537</v>
      </c>
      <c r="F218" s="305">
        <f>F219</f>
        <v>1500000</v>
      </c>
      <c r="G218" s="305">
        <f>G219</f>
        <v>0</v>
      </c>
      <c r="H218" s="305"/>
      <c r="I218" s="305">
        <f>I219</f>
        <v>500000</v>
      </c>
      <c r="J218" s="305">
        <f>J219</f>
        <v>100000</v>
      </c>
      <c r="K218" s="268"/>
      <c r="L218" s="268"/>
    </row>
    <row r="219" spans="1:12" ht="24" customHeight="1">
      <c r="A219" s="342"/>
      <c r="B219" s="338"/>
      <c r="C219" s="318">
        <v>92601</v>
      </c>
      <c r="D219" s="313"/>
      <c r="E219" s="279" t="s">
        <v>538</v>
      </c>
      <c r="F219" s="280">
        <f>SUM(F220:F220)</f>
        <v>1500000</v>
      </c>
      <c r="G219" s="280">
        <f>SUM(G220:G220)</f>
        <v>0</v>
      </c>
      <c r="H219" s="280"/>
      <c r="I219" s="280">
        <f>SUM(I220:I220)</f>
        <v>500000</v>
      </c>
      <c r="J219" s="280">
        <f>SUM(J220:J220)</f>
        <v>100000</v>
      </c>
      <c r="K219" s="281"/>
      <c r="L219" s="281"/>
    </row>
    <row r="220" spans="1:12" ht="38.25" customHeight="1">
      <c r="A220" s="369">
        <v>138</v>
      </c>
      <c r="B220" s="332"/>
      <c r="C220" s="276"/>
      <c r="D220" s="384">
        <v>6050</v>
      </c>
      <c r="E220" s="292" t="s">
        <v>600</v>
      </c>
      <c r="F220" s="298">
        <f>50000+450000+1000000</f>
        <v>1500000</v>
      </c>
      <c r="G220" s="298">
        <v>0</v>
      </c>
      <c r="H220" s="288" t="s">
        <v>601</v>
      </c>
      <c r="I220" s="298">
        <f>450000+50000</f>
        <v>500000</v>
      </c>
      <c r="J220" s="298">
        <v>100000</v>
      </c>
      <c r="K220" s="268" t="s">
        <v>226</v>
      </c>
      <c r="L220" s="310" t="s">
        <v>602</v>
      </c>
    </row>
    <row r="221" spans="1:15" ht="28.5" customHeight="1">
      <c r="A221" s="271"/>
      <c r="B221" s="408" t="s">
        <v>137</v>
      </c>
      <c r="C221" s="409"/>
      <c r="D221" s="410"/>
      <c r="E221" s="411"/>
      <c r="F221" s="391">
        <f>F13+F170</f>
        <v>90382996.06</v>
      </c>
      <c r="G221" s="391">
        <f>G13+G170</f>
        <v>23804561.88</v>
      </c>
      <c r="H221" s="391"/>
      <c r="I221" s="391">
        <f>I13+I170</f>
        <v>49479365.349999994</v>
      </c>
      <c r="J221" s="391">
        <f>J13+J170</f>
        <v>5513303</v>
      </c>
      <c r="K221" s="412"/>
      <c r="L221" s="412"/>
      <c r="N221" s="549"/>
      <c r="O221" s="549"/>
    </row>
    <row r="222" spans="1:15" ht="21.75" customHeight="1">
      <c r="A222" s="211"/>
      <c r="B222" s="219"/>
      <c r="C222" s="219"/>
      <c r="D222" s="211"/>
      <c r="E222" s="213"/>
      <c r="F222" s="413"/>
      <c r="G222" s="413"/>
      <c r="H222" s="219"/>
      <c r="I222" s="3"/>
      <c r="J222" s="3"/>
      <c r="K222" s="215"/>
      <c r="L222" s="215"/>
      <c r="N222" s="550"/>
      <c r="O222" s="550"/>
    </row>
    <row r="223" spans="1:15" ht="22.5" customHeight="1">
      <c r="A223" s="211"/>
      <c r="B223" s="212"/>
      <c r="C223" s="212"/>
      <c r="D223" s="211"/>
      <c r="G223" s="213"/>
      <c r="H223" s="213"/>
      <c r="I223" s="4"/>
      <c r="J223" s="4"/>
      <c r="K223" s="226"/>
      <c r="L223" s="215"/>
      <c r="N223" s="269"/>
      <c r="O223" s="275"/>
    </row>
    <row r="224" spans="1:15" ht="12.75">
      <c r="A224" s="211"/>
      <c r="B224" s="212"/>
      <c r="C224" s="212"/>
      <c r="D224" s="211"/>
      <c r="G224" s="213"/>
      <c r="H224" s="213"/>
      <c r="I224" s="4"/>
      <c r="J224" s="4"/>
      <c r="K224" s="226"/>
      <c r="L224" s="215"/>
      <c r="M224" s="269"/>
      <c r="N224" s="269"/>
      <c r="O224" s="269"/>
    </row>
    <row r="225" spans="8:15" ht="12.75">
      <c r="H225" s="414"/>
      <c r="I225" s="289"/>
      <c r="J225" s="269"/>
      <c r="K225" s="269"/>
      <c r="N225" s="269"/>
      <c r="O225" s="269"/>
    </row>
    <row r="226" spans="8:15" ht="12.75">
      <c r="H226" s="289"/>
      <c r="I226" s="415"/>
      <c r="J226" s="269"/>
      <c r="K226" s="269"/>
      <c r="N226" s="269"/>
      <c r="O226" s="269"/>
    </row>
    <row r="227" spans="8:15" ht="12.75">
      <c r="H227" s="269"/>
      <c r="I227" s="269"/>
      <c r="J227" s="269"/>
      <c r="K227" s="269"/>
      <c r="N227" s="269"/>
      <c r="O227" s="269"/>
    </row>
    <row r="228" spans="8:15" ht="12.75">
      <c r="H228" s="269"/>
      <c r="I228" s="269"/>
      <c r="J228" s="269"/>
      <c r="K228" s="269"/>
      <c r="N228" s="269"/>
      <c r="O228" s="269"/>
    </row>
    <row r="229" spans="8:11" ht="12.75">
      <c r="H229" s="269"/>
      <c r="I229" s="269"/>
      <c r="J229" s="269"/>
      <c r="K229" s="269"/>
    </row>
    <row r="230" spans="8:11" ht="12.75">
      <c r="H230" s="269"/>
      <c r="I230" s="269"/>
      <c r="J230" s="269"/>
      <c r="K230" s="269"/>
    </row>
    <row r="231" spans="8:11" ht="12.75">
      <c r="H231" s="269"/>
      <c r="I231" s="269"/>
      <c r="J231" s="269"/>
      <c r="K231" s="269"/>
    </row>
    <row r="232" spans="8:11" ht="12.75">
      <c r="H232" s="269"/>
      <c r="I232" s="269"/>
      <c r="J232" s="269"/>
      <c r="K232" s="269"/>
    </row>
    <row r="233" spans="8:11" ht="12.75">
      <c r="H233" s="269"/>
      <c r="I233" s="269"/>
      <c r="J233" s="269"/>
      <c r="K233" s="269"/>
    </row>
    <row r="234" spans="8:11" ht="12.75">
      <c r="H234" s="269"/>
      <c r="I234" s="269"/>
      <c r="J234" s="269"/>
      <c r="K234" s="269"/>
    </row>
    <row r="235" spans="8:11" ht="12.75">
      <c r="H235" s="269"/>
      <c r="I235" s="269"/>
      <c r="J235" s="269"/>
      <c r="K235" s="269"/>
    </row>
    <row r="236" spans="8:11" ht="12.75">
      <c r="H236" s="269"/>
      <c r="I236" s="269"/>
      <c r="J236" s="269"/>
      <c r="K236" s="269"/>
    </row>
  </sheetData>
  <mergeCells count="4">
    <mergeCell ref="A202:A203"/>
    <mergeCell ref="A126:A127"/>
    <mergeCell ref="A128:A129"/>
    <mergeCell ref="A154:A155"/>
  </mergeCells>
  <printOptions/>
  <pageMargins left="0.1968503937007874" right="0" top="0.984251968503937" bottom="0.984251968503937" header="0.5118110236220472" footer="0.5118110236220472"/>
  <pageSetup horizontalDpi="600" verticalDpi="600" orientation="landscape" paperSize="9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15"/>
  <sheetViews>
    <sheetView workbookViewId="0" topLeftCell="A1">
      <selection activeCell="F64" sqref="F64"/>
    </sheetView>
  </sheetViews>
  <sheetFormatPr defaultColWidth="9.140625" defaultRowHeight="12.75"/>
  <cols>
    <col min="1" max="1" width="4.57421875" style="2" customWidth="1"/>
    <col min="2" max="2" width="24.7109375" style="2" customWidth="1"/>
    <col min="3" max="3" width="45.8515625" style="736" customWidth="1"/>
    <col min="4" max="4" width="20.57421875" style="2" customWidth="1"/>
    <col min="5" max="5" width="12.7109375" style="4" customWidth="1"/>
    <col min="6" max="6" width="19.7109375" style="2" customWidth="1"/>
    <col min="7" max="7" width="18.00390625" style="2" customWidth="1"/>
    <col min="8" max="8" width="28.140625" style="2" customWidth="1"/>
    <col min="9" max="16384" width="9.140625" style="2" customWidth="1"/>
  </cols>
  <sheetData>
    <row r="1" ht="19.5" customHeight="1">
      <c r="C1" s="214" t="s">
        <v>470</v>
      </c>
    </row>
    <row r="2" ht="19.5" customHeight="1">
      <c r="C2" s="216" t="s">
        <v>74</v>
      </c>
    </row>
    <row r="3" ht="19.5" customHeight="1">
      <c r="C3" s="216" t="s">
        <v>183</v>
      </c>
    </row>
    <row r="4" ht="19.5" customHeight="1">
      <c r="C4" s="216" t="s">
        <v>506</v>
      </c>
    </row>
    <row r="5" ht="15" customHeight="1"/>
    <row r="6" ht="14.25" customHeight="1"/>
    <row r="7" spans="1:5" s="26" customFormat="1" ht="19.5" customHeight="1">
      <c r="A7" s="428" t="s">
        <v>384</v>
      </c>
      <c r="B7" s="737"/>
      <c r="C7" s="213"/>
      <c r="D7" s="2"/>
      <c r="E7" s="4"/>
    </row>
    <row r="8" spans="1:5" s="26" customFormat="1" ht="19.5" customHeight="1">
      <c r="A8" s="428" t="s">
        <v>385</v>
      </c>
      <c r="B8" s="737"/>
      <c r="C8" s="213"/>
      <c r="D8" s="2"/>
      <c r="E8" s="4"/>
    </row>
    <row r="9" spans="1:3" ht="18.75" customHeight="1">
      <c r="A9" s="428"/>
      <c r="B9" s="49"/>
      <c r="C9" s="213"/>
    </row>
    <row r="10" spans="1:2" ht="13.5">
      <c r="A10" s="115" t="s">
        <v>128</v>
      </c>
      <c r="B10" s="429"/>
    </row>
    <row r="11" spans="3:4" ht="11.25" customHeight="1">
      <c r="C11" s="738"/>
      <c r="D11" s="430" t="s">
        <v>193</v>
      </c>
    </row>
    <row r="12" spans="1:6" ht="42.75" customHeight="1">
      <c r="A12" s="299" t="s">
        <v>196</v>
      </c>
      <c r="B12" s="299" t="s">
        <v>623</v>
      </c>
      <c r="C12" s="282" t="s">
        <v>624</v>
      </c>
      <c r="D12" s="431" t="s">
        <v>625</v>
      </c>
      <c r="F12" s="739"/>
    </row>
    <row r="13" spans="1:7" s="49" customFormat="1" ht="22.5" customHeight="1">
      <c r="A13" s="740" t="s">
        <v>626</v>
      </c>
      <c r="B13" s="741"/>
      <c r="C13" s="742"/>
      <c r="D13" s="432">
        <f>D14+D28</f>
        <v>9450162.07</v>
      </c>
      <c r="E13" s="3"/>
      <c r="F13" s="743"/>
      <c r="G13" s="3"/>
    </row>
    <row r="14" spans="1:7" s="49" customFormat="1" ht="24.75" customHeight="1">
      <c r="A14" s="433" t="s">
        <v>386</v>
      </c>
      <c r="B14" s="744"/>
      <c r="C14" s="745"/>
      <c r="D14" s="432">
        <f>D15</f>
        <v>2023158</v>
      </c>
      <c r="E14" s="746"/>
      <c r="F14" s="3"/>
      <c r="G14" s="3"/>
    </row>
    <row r="15" spans="1:7" s="49" customFormat="1" ht="30" customHeight="1">
      <c r="A15" s="747">
        <v>801</v>
      </c>
      <c r="B15" s="748" t="s">
        <v>281</v>
      </c>
      <c r="C15" s="749"/>
      <c r="D15" s="750">
        <f>SUM(D16:D27)</f>
        <v>2023158</v>
      </c>
      <c r="E15" s="434"/>
      <c r="G15" s="3"/>
    </row>
    <row r="16" spans="1:5" s="49" customFormat="1" ht="25.5" customHeight="1">
      <c r="A16" s="747"/>
      <c r="B16" s="751"/>
      <c r="C16" s="749" t="s">
        <v>387</v>
      </c>
      <c r="D16" s="435">
        <v>40000</v>
      </c>
      <c r="E16" s="434"/>
    </row>
    <row r="17" spans="1:5" s="49" customFormat="1" ht="17.25" customHeight="1">
      <c r="A17" s="752"/>
      <c r="B17" s="751"/>
      <c r="C17" s="286" t="s">
        <v>388</v>
      </c>
      <c r="D17" s="435">
        <f>325260-20000</f>
        <v>305260</v>
      </c>
      <c r="E17" s="3"/>
    </row>
    <row r="18" spans="1:5" s="49" customFormat="1" ht="18.75" customHeight="1">
      <c r="A18" s="752"/>
      <c r="B18" s="753"/>
      <c r="C18" s="286" t="s">
        <v>389</v>
      </c>
      <c r="D18" s="754">
        <f>587136-20000</f>
        <v>567136</v>
      </c>
      <c r="E18" s="3"/>
    </row>
    <row r="19" spans="1:5" s="49" customFormat="1" ht="18.75" customHeight="1">
      <c r="A19" s="752"/>
      <c r="B19" s="753"/>
      <c r="C19" s="286" t="s">
        <v>390</v>
      </c>
      <c r="D19" s="754">
        <f>66720-15000</f>
        <v>51720</v>
      </c>
      <c r="E19" s="3"/>
    </row>
    <row r="20" spans="1:5" s="49" customFormat="1" ht="18.75" customHeight="1">
      <c r="A20" s="752"/>
      <c r="B20" s="753"/>
      <c r="C20" s="286" t="s">
        <v>391</v>
      </c>
      <c r="D20" s="754">
        <f>108982-90000</f>
        <v>18982</v>
      </c>
      <c r="E20" s="3"/>
    </row>
    <row r="21" spans="1:5" s="49" customFormat="1" ht="18.75" customHeight="1">
      <c r="A21" s="752"/>
      <c r="B21" s="753"/>
      <c r="C21" s="286" t="s">
        <v>392</v>
      </c>
      <c r="D21" s="754">
        <v>70060</v>
      </c>
      <c r="E21" s="3"/>
    </row>
    <row r="22" spans="1:5" s="49" customFormat="1" ht="18.75" customHeight="1">
      <c r="A22" s="752"/>
      <c r="B22" s="753"/>
      <c r="C22" s="286" t="s">
        <v>393</v>
      </c>
      <c r="D22" s="754">
        <v>570172</v>
      </c>
      <c r="E22" s="3"/>
    </row>
    <row r="23" spans="1:6" s="49" customFormat="1" ht="21.75" customHeight="1">
      <c r="A23" s="752"/>
      <c r="B23" s="753"/>
      <c r="C23" s="286" t="s">
        <v>395</v>
      </c>
      <c r="D23" s="754">
        <f>80880-30000</f>
        <v>50880</v>
      </c>
      <c r="E23" s="3"/>
      <c r="F23" s="3"/>
    </row>
    <row r="24" spans="1:5" s="49" customFormat="1" ht="18.75" customHeight="1">
      <c r="A24" s="752"/>
      <c r="B24" s="753"/>
      <c r="C24" s="286" t="s">
        <v>396</v>
      </c>
      <c r="D24" s="754">
        <v>133548</v>
      </c>
      <c r="E24" s="3"/>
    </row>
    <row r="25" spans="1:5" s="49" customFormat="1" ht="21" customHeight="1">
      <c r="A25" s="752"/>
      <c r="B25" s="753"/>
      <c r="C25" s="286" t="s">
        <v>397</v>
      </c>
      <c r="D25" s="754">
        <v>60312</v>
      </c>
      <c r="E25" s="3"/>
    </row>
    <row r="26" spans="1:5" s="49" customFormat="1" ht="21" customHeight="1">
      <c r="A26" s="752"/>
      <c r="B26" s="753"/>
      <c r="C26" s="286" t="s">
        <v>398</v>
      </c>
      <c r="D26" s="755">
        <v>103392</v>
      </c>
      <c r="E26" s="3"/>
    </row>
    <row r="27" spans="1:5" s="49" customFormat="1" ht="21" customHeight="1">
      <c r="A27" s="752"/>
      <c r="B27" s="753"/>
      <c r="C27" s="291" t="s">
        <v>399</v>
      </c>
      <c r="D27" s="755">
        <v>51696</v>
      </c>
      <c r="E27" s="3"/>
    </row>
    <row r="28" spans="1:5" s="49" customFormat="1" ht="24.75" customHeight="1">
      <c r="A28" s="433" t="s">
        <v>630</v>
      </c>
      <c r="B28" s="744"/>
      <c r="C28" s="745"/>
      <c r="D28" s="756">
        <f>D29+D40+D44+D50+D54+D58</f>
        <v>7427004.07</v>
      </c>
      <c r="E28" s="3"/>
    </row>
    <row r="29" spans="1:5" s="49" customFormat="1" ht="21.75" customHeight="1">
      <c r="A29" s="303">
        <v>851</v>
      </c>
      <c r="B29" s="757" t="s">
        <v>316</v>
      </c>
      <c r="C29" s="758"/>
      <c r="D29" s="759">
        <f>SUM(D30:D39)</f>
        <v>970100</v>
      </c>
      <c r="E29" s="434"/>
    </row>
    <row r="30" spans="1:5" s="49" customFormat="1" ht="35.25" customHeight="1">
      <c r="A30" s="363"/>
      <c r="B30" s="760"/>
      <c r="C30" s="286" t="s">
        <v>400</v>
      </c>
      <c r="D30" s="435">
        <v>95000</v>
      </c>
      <c r="E30" s="3"/>
    </row>
    <row r="31" spans="1:5" s="49" customFormat="1" ht="27.75" customHeight="1">
      <c r="A31" s="335"/>
      <c r="B31" s="761"/>
      <c r="C31" s="286" t="s">
        <v>401</v>
      </c>
      <c r="D31" s="435">
        <v>440000</v>
      </c>
      <c r="E31" s="3"/>
    </row>
    <row r="32" spans="1:5" s="49" customFormat="1" ht="48" customHeight="1">
      <c r="A32" s="335"/>
      <c r="B32" s="761"/>
      <c r="C32" s="286" t="s">
        <v>402</v>
      </c>
      <c r="D32" s="435">
        <v>50000</v>
      </c>
      <c r="E32" s="3"/>
    </row>
    <row r="33" spans="1:5" s="49" customFormat="1" ht="27.75" customHeight="1">
      <c r="A33" s="335"/>
      <c r="B33" s="761"/>
      <c r="C33" s="286" t="s">
        <v>403</v>
      </c>
      <c r="D33" s="435">
        <v>10000</v>
      </c>
      <c r="E33" s="3"/>
    </row>
    <row r="34" spans="1:5" s="49" customFormat="1" ht="48.75" customHeight="1">
      <c r="A34" s="335"/>
      <c r="B34" s="761"/>
      <c r="C34" s="286" t="s">
        <v>404</v>
      </c>
      <c r="D34" s="435">
        <f>35000+67000-8900</f>
        <v>93100</v>
      </c>
      <c r="E34" s="3"/>
    </row>
    <row r="35" spans="1:5" s="49" customFormat="1" ht="30.75" customHeight="1">
      <c r="A35" s="335"/>
      <c r="B35" s="761"/>
      <c r="C35" s="286" t="s">
        <v>405</v>
      </c>
      <c r="D35" s="435">
        <v>60000</v>
      </c>
      <c r="E35" s="3"/>
    </row>
    <row r="36" spans="1:5" s="49" customFormat="1" ht="27.75" customHeight="1">
      <c r="A36" s="335"/>
      <c r="B36" s="761"/>
      <c r="C36" s="286" t="s">
        <v>406</v>
      </c>
      <c r="D36" s="435">
        <v>101000</v>
      </c>
      <c r="E36" s="3"/>
    </row>
    <row r="37" spans="1:5" s="49" customFormat="1" ht="31.5" customHeight="1">
      <c r="A37" s="335"/>
      <c r="B37" s="761"/>
      <c r="C37" s="286" t="s">
        <v>407</v>
      </c>
      <c r="D37" s="435">
        <v>90000</v>
      </c>
      <c r="E37" s="3"/>
    </row>
    <row r="38" spans="1:5" s="49" customFormat="1" ht="25.5" customHeight="1">
      <c r="A38" s="335"/>
      <c r="B38" s="761"/>
      <c r="C38" s="286" t="s">
        <v>408</v>
      </c>
      <c r="D38" s="435">
        <v>25000</v>
      </c>
      <c r="E38" s="3"/>
    </row>
    <row r="39" spans="1:5" s="49" customFormat="1" ht="23.25" customHeight="1">
      <c r="A39" s="335"/>
      <c r="B39" s="761"/>
      <c r="C39" s="762" t="s">
        <v>409</v>
      </c>
      <c r="D39" s="436">
        <v>6000</v>
      </c>
      <c r="E39" s="3"/>
    </row>
    <row r="40" spans="1:6" s="49" customFormat="1" ht="21" customHeight="1">
      <c r="A40" s="363">
        <v>852</v>
      </c>
      <c r="B40" s="763" t="s">
        <v>595</v>
      </c>
      <c r="C40" s="758"/>
      <c r="D40" s="437">
        <f>SUM(D41:D43)</f>
        <v>1485000</v>
      </c>
      <c r="E40" s="3"/>
      <c r="F40" s="3"/>
    </row>
    <row r="41" spans="1:6" s="49" customFormat="1" ht="27" customHeight="1">
      <c r="A41" s="764"/>
      <c r="B41" s="763"/>
      <c r="C41" s="765" t="s">
        <v>410</v>
      </c>
      <c r="D41" s="435">
        <v>1200000</v>
      </c>
      <c r="E41" s="3"/>
      <c r="F41" s="3"/>
    </row>
    <row r="42" spans="1:6" s="49" customFormat="1" ht="26.25" customHeight="1">
      <c r="A42" s="342"/>
      <c r="B42" s="766"/>
      <c r="C42" s="767" t="s">
        <v>411</v>
      </c>
      <c r="D42" s="435">
        <f>200000</f>
        <v>200000</v>
      </c>
      <c r="E42" s="3"/>
      <c r="F42" s="3"/>
    </row>
    <row r="43" spans="1:6" s="49" customFormat="1" ht="32.25" customHeight="1">
      <c r="A43" s="342"/>
      <c r="B43" s="766"/>
      <c r="C43" s="767" t="s">
        <v>412</v>
      </c>
      <c r="D43" s="435">
        <v>85000</v>
      </c>
      <c r="E43" s="3"/>
      <c r="F43" s="3"/>
    </row>
    <row r="44" spans="1:6" s="49" customFormat="1" ht="39" customHeight="1">
      <c r="A44" s="271">
        <v>853</v>
      </c>
      <c r="B44" s="438" t="s">
        <v>321</v>
      </c>
      <c r="C44" s="768"/>
      <c r="D44" s="750">
        <f>SUM(D45:D49)</f>
        <v>2102904.07</v>
      </c>
      <c r="E44" s="3"/>
      <c r="F44" s="3"/>
    </row>
    <row r="45" spans="1:8" s="49" customFormat="1" ht="28.5" customHeight="1">
      <c r="A45" s="342"/>
      <c r="B45" s="766"/>
      <c r="C45" s="768" t="s">
        <v>413</v>
      </c>
      <c r="D45" s="435">
        <f>168000-10400</f>
        <v>157600</v>
      </c>
      <c r="E45" s="3"/>
      <c r="F45" s="3"/>
      <c r="G45" s="382"/>
      <c r="H45" s="382"/>
    </row>
    <row r="46" spans="1:8" s="49" customFormat="1" ht="36" customHeight="1">
      <c r="A46" s="342"/>
      <c r="B46" s="766"/>
      <c r="C46" s="767" t="s">
        <v>414</v>
      </c>
      <c r="D46" s="435">
        <f>9000+40000</f>
        <v>49000</v>
      </c>
      <c r="E46" s="3"/>
      <c r="F46" s="3"/>
      <c r="G46" s="382"/>
      <c r="H46" s="769"/>
    </row>
    <row r="47" spans="1:8" s="49" customFormat="1" ht="40.5" customHeight="1">
      <c r="A47" s="342"/>
      <c r="B47" s="766"/>
      <c r="C47" s="767" t="s">
        <v>415</v>
      </c>
      <c r="D47" s="435">
        <f>1360000+240000</f>
        <v>1600000</v>
      </c>
      <c r="E47" s="3"/>
      <c r="F47" s="3"/>
      <c r="G47" s="382"/>
      <c r="H47" s="382"/>
    </row>
    <row r="48" spans="1:6" s="49" customFormat="1" ht="40.5" customHeight="1">
      <c r="A48" s="342"/>
      <c r="B48" s="766"/>
      <c r="C48" s="767" t="s">
        <v>416</v>
      </c>
      <c r="D48" s="435">
        <v>221000</v>
      </c>
      <c r="E48" s="3"/>
      <c r="F48" s="3"/>
    </row>
    <row r="49" spans="1:5" s="49" customFormat="1" ht="42.75" customHeight="1">
      <c r="A49" s="342"/>
      <c r="B49" s="766"/>
      <c r="C49" s="767" t="s">
        <v>417</v>
      </c>
      <c r="D49" s="435">
        <f>58174.85+10266.15+5833.61+1029.46</f>
        <v>75304.07</v>
      </c>
      <c r="E49" s="3"/>
    </row>
    <row r="50" spans="1:5" s="49" customFormat="1" ht="37.5" customHeight="1">
      <c r="A50" s="363">
        <v>900</v>
      </c>
      <c r="B50" s="439" t="s">
        <v>418</v>
      </c>
      <c r="C50" s="440"/>
      <c r="D50" s="432">
        <f>SUM(D51:D53)</f>
        <v>750000</v>
      </c>
      <c r="E50" s="3"/>
    </row>
    <row r="51" spans="1:5" s="49" customFormat="1" ht="62.25" customHeight="1">
      <c r="A51" s="384"/>
      <c r="B51" s="770"/>
      <c r="C51" s="441" t="s">
        <v>419</v>
      </c>
      <c r="D51" s="435">
        <v>270000</v>
      </c>
      <c r="E51" s="3"/>
    </row>
    <row r="52" spans="1:5" s="442" customFormat="1" ht="42.75" customHeight="1">
      <c r="A52" s="369"/>
      <c r="B52" s="771"/>
      <c r="C52" s="772" t="s">
        <v>645</v>
      </c>
      <c r="D52" s="773">
        <v>30000</v>
      </c>
      <c r="E52" s="434"/>
    </row>
    <row r="53" spans="1:5" s="49" customFormat="1" ht="37.5" customHeight="1">
      <c r="A53" s="443"/>
      <c r="B53" s="774"/>
      <c r="C53" s="772" t="s">
        <v>420</v>
      </c>
      <c r="D53" s="435">
        <f>50000+100000+300000</f>
        <v>450000</v>
      </c>
      <c r="E53" s="3"/>
    </row>
    <row r="54" spans="1:5" s="49" customFormat="1" ht="39" customHeight="1">
      <c r="A54" s="271">
        <v>921</v>
      </c>
      <c r="B54" s="775" t="s">
        <v>646</v>
      </c>
      <c r="C54" s="438"/>
      <c r="D54" s="432">
        <f>SUM(D55:D57)</f>
        <v>173000</v>
      </c>
      <c r="E54" s="3"/>
    </row>
    <row r="55" spans="1:5" s="49" customFormat="1" ht="31.5" customHeight="1">
      <c r="A55" s="369"/>
      <c r="B55" s="771"/>
      <c r="C55" s="776" t="s">
        <v>438</v>
      </c>
      <c r="D55" s="754">
        <f>60000+40000</f>
        <v>100000</v>
      </c>
      <c r="E55" s="3"/>
    </row>
    <row r="56" spans="1:5" s="49" customFormat="1" ht="31.5" customHeight="1">
      <c r="A56" s="369"/>
      <c r="B56" s="771"/>
      <c r="C56" s="546" t="s">
        <v>439</v>
      </c>
      <c r="D56" s="754">
        <v>45000</v>
      </c>
      <c r="E56" s="3"/>
    </row>
    <row r="57" spans="1:5" s="49" customFormat="1" ht="28.5" customHeight="1">
      <c r="A57" s="443"/>
      <c r="B57" s="774"/>
      <c r="C57" s="777" t="s">
        <v>440</v>
      </c>
      <c r="D57" s="754">
        <v>28000</v>
      </c>
      <c r="E57" s="3"/>
    </row>
    <row r="58" spans="1:10" s="49" customFormat="1" ht="29.25" customHeight="1">
      <c r="A58" s="303">
        <v>926</v>
      </c>
      <c r="B58" s="735" t="s">
        <v>441</v>
      </c>
      <c r="C58" s="440"/>
      <c r="D58" s="432">
        <f>SUM(D59:D64)</f>
        <v>1946000</v>
      </c>
      <c r="E58" s="3"/>
      <c r="F58" s="386"/>
      <c r="G58" s="386"/>
      <c r="H58" s="386"/>
      <c r="I58" s="386"/>
      <c r="J58" s="386"/>
    </row>
    <row r="59" spans="1:10" s="418" customFormat="1" ht="69.75" customHeight="1">
      <c r="A59" s="384"/>
      <c r="B59" s="234"/>
      <c r="C59" s="777" t="s">
        <v>442</v>
      </c>
      <c r="D59" s="444">
        <v>1700000</v>
      </c>
      <c r="E59" s="3"/>
      <c r="F59" s="778"/>
      <c r="G59" s="778"/>
      <c r="H59" s="778"/>
      <c r="I59" s="778"/>
      <c r="J59" s="778"/>
    </row>
    <row r="60" spans="1:10" s="418" customFormat="1" ht="30" customHeight="1">
      <c r="A60" s="369"/>
      <c r="B60" s="242"/>
      <c r="C60" s="816" t="s">
        <v>468</v>
      </c>
      <c r="D60" s="817">
        <v>100000</v>
      </c>
      <c r="E60" s="3"/>
      <c r="F60" s="778"/>
      <c r="G60" s="778"/>
      <c r="H60" s="778"/>
      <c r="I60" s="778"/>
      <c r="J60" s="778"/>
    </row>
    <row r="61" spans="1:10" s="418" customFormat="1" ht="32.25" customHeight="1">
      <c r="A61" s="369"/>
      <c r="B61" s="242"/>
      <c r="C61" s="816" t="s">
        <v>469</v>
      </c>
      <c r="D61" s="817">
        <v>15000</v>
      </c>
      <c r="E61" s="3"/>
      <c r="F61" s="778"/>
      <c r="G61" s="778"/>
      <c r="H61" s="778"/>
      <c r="I61" s="778"/>
      <c r="J61" s="778"/>
    </row>
    <row r="62" spans="1:10" s="418" customFormat="1" ht="40.5" customHeight="1">
      <c r="A62" s="369"/>
      <c r="B62" s="242"/>
      <c r="C62" s="816" t="s">
        <v>394</v>
      </c>
      <c r="D62" s="817">
        <v>10000</v>
      </c>
      <c r="E62" s="3"/>
      <c r="F62" s="778"/>
      <c r="G62" s="778"/>
      <c r="H62" s="778"/>
      <c r="I62" s="778"/>
      <c r="J62" s="778"/>
    </row>
    <row r="63" spans="1:10" s="418" customFormat="1" ht="33" customHeight="1">
      <c r="A63" s="445"/>
      <c r="B63" s="322"/>
      <c r="C63" s="446" t="s">
        <v>443</v>
      </c>
      <c r="D63" s="444">
        <f>115000-19000</f>
        <v>96000</v>
      </c>
      <c r="E63" s="3"/>
      <c r="F63" s="778"/>
      <c r="G63" s="778"/>
      <c r="H63" s="778"/>
      <c r="I63" s="778"/>
      <c r="J63" s="778"/>
    </row>
    <row r="64" spans="1:10" s="49" customFormat="1" ht="33.75" customHeight="1">
      <c r="A64" s="445"/>
      <c r="B64" s="322"/>
      <c r="C64" s="777" t="s">
        <v>444</v>
      </c>
      <c r="D64" s="435">
        <v>25000</v>
      </c>
      <c r="E64" s="3"/>
      <c r="F64" s="739"/>
      <c r="G64" s="419"/>
      <c r="H64" s="386"/>
      <c r="I64" s="386"/>
      <c r="J64" s="386"/>
    </row>
    <row r="65" spans="1:10" s="49" customFormat="1" ht="30" customHeight="1">
      <c r="A65" s="447" t="s">
        <v>647</v>
      </c>
      <c r="B65" s="779"/>
      <c r="C65" s="448"/>
      <c r="D65" s="437">
        <f>D66+D89</f>
        <v>11076223</v>
      </c>
      <c r="E65" s="3"/>
      <c r="F65" s="780"/>
      <c r="G65" s="419"/>
      <c r="H65" s="386"/>
      <c r="I65" s="386"/>
      <c r="J65" s="386"/>
    </row>
    <row r="66" spans="1:10" s="49" customFormat="1" ht="27" customHeight="1">
      <c r="A66" s="449" t="s">
        <v>386</v>
      </c>
      <c r="B66" s="781"/>
      <c r="C66" s="782"/>
      <c r="D66" s="783">
        <f>D67+D85+D87</f>
        <v>9786223</v>
      </c>
      <c r="E66" s="3"/>
      <c r="F66" s="419"/>
      <c r="G66" s="419"/>
      <c r="H66" s="386"/>
      <c r="I66" s="386"/>
      <c r="J66" s="386"/>
    </row>
    <row r="67" spans="1:10" s="49" customFormat="1" ht="19.5" customHeight="1">
      <c r="A67" s="747">
        <v>801</v>
      </c>
      <c r="B67" s="784" t="s">
        <v>281</v>
      </c>
      <c r="C67" s="286"/>
      <c r="D67" s="750">
        <f>SUM(D68:D84)</f>
        <v>8128118</v>
      </c>
      <c r="E67" s="3"/>
      <c r="F67" s="386"/>
      <c r="G67" s="419"/>
      <c r="H67" s="386"/>
      <c r="I67" s="386"/>
      <c r="J67" s="386"/>
    </row>
    <row r="68" spans="1:10" s="49" customFormat="1" ht="30" customHeight="1">
      <c r="A68" s="785"/>
      <c r="B68" s="338"/>
      <c r="C68" s="786" t="s">
        <v>445</v>
      </c>
      <c r="D68" s="754">
        <f>460000+956468</f>
        <v>1416468</v>
      </c>
      <c r="E68" s="3"/>
      <c r="F68" s="386"/>
      <c r="G68" s="386"/>
      <c r="H68" s="386"/>
      <c r="I68" s="386"/>
      <c r="J68" s="386"/>
    </row>
    <row r="69" spans="1:10" s="49" customFormat="1" ht="26.25" customHeight="1">
      <c r="A69" s="787"/>
      <c r="B69" s="332"/>
      <c r="C69" s="286" t="s">
        <v>446</v>
      </c>
      <c r="D69" s="754">
        <f>200000+400000-183350</f>
        <v>416650</v>
      </c>
      <c r="E69" s="3"/>
      <c r="F69" s="386"/>
      <c r="G69" s="386"/>
      <c r="H69" s="386"/>
      <c r="I69" s="386"/>
      <c r="J69" s="386"/>
    </row>
    <row r="70" spans="1:10" s="49" customFormat="1" ht="25.5" customHeight="1">
      <c r="A70" s="787"/>
      <c r="B70" s="332"/>
      <c r="C70" s="786" t="s">
        <v>447</v>
      </c>
      <c r="D70" s="754">
        <f>400000</f>
        <v>400000</v>
      </c>
      <c r="E70" s="3"/>
      <c r="F70" s="386"/>
      <c r="G70" s="386"/>
      <c r="H70" s="386"/>
      <c r="I70" s="386"/>
      <c r="J70" s="386"/>
    </row>
    <row r="71" spans="1:10" s="49" customFormat="1" ht="25.5" customHeight="1">
      <c r="A71" s="787"/>
      <c r="B71" s="332"/>
      <c r="C71" s="788" t="s">
        <v>448</v>
      </c>
      <c r="D71" s="754">
        <v>670000</v>
      </c>
      <c r="E71" s="3"/>
      <c r="F71" s="386"/>
      <c r="G71" s="386"/>
      <c r="H71" s="386"/>
      <c r="I71" s="386"/>
      <c r="J71" s="386"/>
    </row>
    <row r="72" spans="1:10" s="49" customFormat="1" ht="25.5" customHeight="1">
      <c r="A72" s="787"/>
      <c r="B72" s="332"/>
      <c r="C72" s="788" t="s">
        <v>388</v>
      </c>
      <c r="D72" s="754">
        <f>350000+175000+300000</f>
        <v>825000</v>
      </c>
      <c r="E72" s="3"/>
      <c r="F72" s="386"/>
      <c r="G72" s="386"/>
      <c r="H72" s="386"/>
      <c r="I72" s="386"/>
      <c r="J72" s="386"/>
    </row>
    <row r="73" spans="1:10" s="49" customFormat="1" ht="29.25" customHeight="1">
      <c r="A73" s="787"/>
      <c r="B73" s="332"/>
      <c r="C73" s="788" t="s">
        <v>449</v>
      </c>
      <c r="D73" s="754">
        <f>700000+200000</f>
        <v>900000</v>
      </c>
      <c r="E73" s="3"/>
      <c r="F73" s="386"/>
      <c r="G73" s="386"/>
      <c r="H73" s="386"/>
      <c r="I73" s="386"/>
      <c r="J73" s="386"/>
    </row>
    <row r="74" spans="1:10" s="49" customFormat="1" ht="24.75" customHeight="1">
      <c r="A74" s="787"/>
      <c r="B74" s="332"/>
      <c r="C74" s="789" t="s">
        <v>450</v>
      </c>
      <c r="D74" s="754">
        <f>350000+800000</f>
        <v>1150000</v>
      </c>
      <c r="E74" s="3"/>
      <c r="F74" s="386"/>
      <c r="G74" s="386"/>
      <c r="H74" s="386"/>
      <c r="I74" s="386"/>
      <c r="J74" s="386"/>
    </row>
    <row r="75" spans="1:10" s="49" customFormat="1" ht="30.75" customHeight="1">
      <c r="A75" s="787"/>
      <c r="B75" s="332"/>
      <c r="C75" s="788" t="s">
        <v>451</v>
      </c>
      <c r="D75" s="754">
        <v>170000</v>
      </c>
      <c r="E75" s="3"/>
      <c r="F75" s="386"/>
      <c r="G75" s="386"/>
      <c r="H75" s="386"/>
      <c r="I75" s="386"/>
      <c r="J75" s="386"/>
    </row>
    <row r="76" spans="1:10" s="49" customFormat="1" ht="23.25" customHeight="1">
      <c r="A76" s="787"/>
      <c r="B76" s="332"/>
      <c r="C76" s="789" t="s">
        <v>452</v>
      </c>
      <c r="D76" s="754">
        <f>200000+500000</f>
        <v>700000</v>
      </c>
      <c r="E76" s="3"/>
      <c r="F76" s="386"/>
      <c r="G76" s="386"/>
      <c r="H76" s="386"/>
      <c r="I76" s="386"/>
      <c r="J76" s="386"/>
    </row>
    <row r="77" spans="1:10" s="49" customFormat="1" ht="27" customHeight="1">
      <c r="A77" s="787"/>
      <c r="B77" s="332"/>
      <c r="C77" s="789" t="s">
        <v>453</v>
      </c>
      <c r="D77" s="754">
        <f>70000+100000</f>
        <v>170000</v>
      </c>
      <c r="E77" s="3"/>
      <c r="F77" s="386"/>
      <c r="G77" s="386"/>
      <c r="H77" s="386"/>
      <c r="I77" s="386"/>
      <c r="J77" s="386"/>
    </row>
    <row r="78" spans="1:10" s="49" customFormat="1" ht="23.25" customHeight="1">
      <c r="A78" s="787"/>
      <c r="B78" s="332"/>
      <c r="C78" s="789" t="s">
        <v>454</v>
      </c>
      <c r="D78" s="754">
        <f>20000+60000</f>
        <v>80000</v>
      </c>
      <c r="E78" s="3"/>
      <c r="F78" s="386"/>
      <c r="G78" s="386"/>
      <c r="H78" s="386"/>
      <c r="I78" s="386"/>
      <c r="J78" s="386"/>
    </row>
    <row r="79" spans="1:10" s="49" customFormat="1" ht="24" customHeight="1">
      <c r="A79" s="787"/>
      <c r="B79" s="332"/>
      <c r="C79" s="789" t="s">
        <v>455</v>
      </c>
      <c r="D79" s="754">
        <v>100000</v>
      </c>
      <c r="E79" s="3"/>
      <c r="F79" s="386"/>
      <c r="G79" s="386"/>
      <c r="H79" s="386"/>
      <c r="I79" s="386"/>
      <c r="J79" s="386"/>
    </row>
    <row r="80" spans="1:10" s="49" customFormat="1" ht="27" customHeight="1">
      <c r="A80" s="787"/>
      <c r="B80" s="332"/>
      <c r="C80" s="789" t="s">
        <v>456</v>
      </c>
      <c r="D80" s="754">
        <f>50000</f>
        <v>50000</v>
      </c>
      <c r="E80" s="3"/>
      <c r="F80" s="386"/>
      <c r="G80" s="386"/>
      <c r="H80" s="386"/>
      <c r="I80" s="386"/>
      <c r="J80" s="386"/>
    </row>
    <row r="81" spans="1:10" s="49" customFormat="1" ht="24.75" customHeight="1">
      <c r="A81" s="787"/>
      <c r="B81" s="332"/>
      <c r="C81" s="788" t="s">
        <v>457</v>
      </c>
      <c r="D81" s="754">
        <f>50000+50000</f>
        <v>100000</v>
      </c>
      <c r="E81" s="3"/>
      <c r="F81" s="386"/>
      <c r="G81" s="386"/>
      <c r="H81" s="386"/>
      <c r="I81" s="386"/>
      <c r="J81" s="386"/>
    </row>
    <row r="82" spans="1:10" s="49" customFormat="1" ht="28.5" customHeight="1">
      <c r="A82" s="787"/>
      <c r="B82" s="332"/>
      <c r="C82" s="788" t="s">
        <v>458</v>
      </c>
      <c r="D82" s="773">
        <f>130000</f>
        <v>130000</v>
      </c>
      <c r="E82" s="3"/>
      <c r="F82" s="386"/>
      <c r="G82" s="386"/>
      <c r="H82" s="386"/>
      <c r="I82" s="386"/>
      <c r="J82" s="386"/>
    </row>
    <row r="83" spans="1:10" s="49" customFormat="1" ht="24.75" customHeight="1">
      <c r="A83" s="787"/>
      <c r="B83" s="332"/>
      <c r="C83" s="790" t="s">
        <v>459</v>
      </c>
      <c r="D83" s="435">
        <v>600000</v>
      </c>
      <c r="E83" s="3"/>
      <c r="F83" s="386"/>
      <c r="G83" s="386"/>
      <c r="H83" s="386"/>
      <c r="I83" s="386"/>
      <c r="J83" s="386"/>
    </row>
    <row r="84" spans="1:10" s="49" customFormat="1" ht="28.5" customHeight="1">
      <c r="A84" s="791"/>
      <c r="B84" s="792"/>
      <c r="C84" s="788" t="s">
        <v>460</v>
      </c>
      <c r="D84" s="793">
        <v>250000</v>
      </c>
      <c r="E84" s="3"/>
      <c r="F84" s="386"/>
      <c r="G84" s="386"/>
      <c r="H84" s="386"/>
      <c r="I84" s="386"/>
      <c r="J84" s="386"/>
    </row>
    <row r="85" spans="1:10" s="49" customFormat="1" ht="37.5" customHeight="1">
      <c r="A85" s="363">
        <v>853</v>
      </c>
      <c r="B85" s="784" t="s">
        <v>321</v>
      </c>
      <c r="C85" s="446"/>
      <c r="D85" s="432">
        <f>SUM(D86:D86)</f>
        <v>308105</v>
      </c>
      <c r="E85" s="3"/>
      <c r="F85" s="386"/>
      <c r="G85" s="386"/>
      <c r="H85" s="386"/>
      <c r="I85" s="386"/>
      <c r="J85" s="386"/>
    </row>
    <row r="86" spans="1:10" s="216" customFormat="1" ht="36" customHeight="1">
      <c r="A86" s="764"/>
      <c r="B86" s="784"/>
      <c r="C86" s="450" t="s">
        <v>461</v>
      </c>
      <c r="D86" s="773">
        <v>308105</v>
      </c>
      <c r="E86" s="3"/>
      <c r="F86" s="794"/>
      <c r="G86" s="794"/>
      <c r="H86" s="794"/>
      <c r="I86" s="794"/>
      <c r="J86" s="794"/>
    </row>
    <row r="87" spans="1:10" s="49" customFormat="1" ht="33.75" customHeight="1">
      <c r="A87" s="795">
        <v>854</v>
      </c>
      <c r="B87" s="748" t="s">
        <v>462</v>
      </c>
      <c r="C87" s="286"/>
      <c r="D87" s="796">
        <f>D88</f>
        <v>1350000</v>
      </c>
      <c r="E87" s="434"/>
      <c r="F87" s="419"/>
      <c r="G87" s="386"/>
      <c r="H87" s="386"/>
      <c r="I87" s="386"/>
      <c r="J87" s="386"/>
    </row>
    <row r="88" spans="1:10" s="49" customFormat="1" ht="37.5" customHeight="1">
      <c r="A88" s="797"/>
      <c r="B88" s="798"/>
      <c r="C88" s="286" t="s">
        <v>463</v>
      </c>
      <c r="D88" s="435">
        <v>1350000</v>
      </c>
      <c r="E88" s="3"/>
      <c r="F88" s="386"/>
      <c r="G88" s="386"/>
      <c r="H88" s="386"/>
      <c r="I88" s="386"/>
      <c r="J88" s="386"/>
    </row>
    <row r="89" spans="1:10" s="49" customFormat="1" ht="26.25" customHeight="1">
      <c r="A89" s="433" t="s">
        <v>630</v>
      </c>
      <c r="B89" s="799"/>
      <c r="C89" s="800"/>
      <c r="D89" s="451">
        <f>D90+D93+D95</f>
        <v>1290000</v>
      </c>
      <c r="E89" s="3"/>
      <c r="F89" s="386"/>
      <c r="G89" s="386"/>
      <c r="H89" s="386"/>
      <c r="I89" s="386"/>
      <c r="J89" s="386"/>
    </row>
    <row r="90" spans="1:10" s="49" customFormat="1" ht="28.5" customHeight="1">
      <c r="A90" s="335">
        <v>630</v>
      </c>
      <c r="B90" s="801" t="s">
        <v>649</v>
      </c>
      <c r="C90" s="786" t="s">
        <v>128</v>
      </c>
      <c r="D90" s="432">
        <f>SUM(D91:D92)</f>
        <v>90000</v>
      </c>
      <c r="E90" s="3"/>
      <c r="F90" s="386"/>
      <c r="G90" s="386"/>
      <c r="H90" s="386"/>
      <c r="I90" s="386"/>
      <c r="J90" s="386"/>
    </row>
    <row r="91" spans="1:10" s="49" customFormat="1" ht="35.25" customHeight="1">
      <c r="A91" s="764"/>
      <c r="B91" s="452"/>
      <c r="C91" s="802" t="s">
        <v>464</v>
      </c>
      <c r="D91" s="773">
        <f>30000+30000</f>
        <v>60000</v>
      </c>
      <c r="E91" s="3"/>
      <c r="F91" s="419"/>
      <c r="G91" s="386"/>
      <c r="H91" s="386"/>
      <c r="I91" s="386"/>
      <c r="J91" s="386"/>
    </row>
    <row r="92" spans="1:10" s="49" customFormat="1" ht="30" customHeight="1">
      <c r="A92" s="369"/>
      <c r="B92" s="803"/>
      <c r="C92" s="441" t="s">
        <v>465</v>
      </c>
      <c r="D92" s="435">
        <v>30000</v>
      </c>
      <c r="E92" s="3"/>
      <c r="F92" s="386"/>
      <c r="G92" s="386"/>
      <c r="H92" s="386"/>
      <c r="I92" s="386"/>
      <c r="J92" s="386"/>
    </row>
    <row r="93" spans="1:10" s="49" customFormat="1" ht="26.25" customHeight="1">
      <c r="A93" s="271">
        <v>852</v>
      </c>
      <c r="B93" s="453" t="s">
        <v>595</v>
      </c>
      <c r="C93" s="446"/>
      <c r="D93" s="432">
        <f>SUM(D94:D94)</f>
        <v>200000</v>
      </c>
      <c r="E93" s="3"/>
      <c r="F93" s="386"/>
      <c r="G93" s="386"/>
      <c r="H93" s="386"/>
      <c r="I93" s="386"/>
      <c r="J93" s="386"/>
    </row>
    <row r="94" spans="1:5" s="49" customFormat="1" ht="29.25" customHeight="1">
      <c r="A94" s="322"/>
      <c r="B94" s="322"/>
      <c r="C94" s="450" t="s">
        <v>466</v>
      </c>
      <c r="D94" s="435">
        <v>200000</v>
      </c>
      <c r="E94" s="746"/>
    </row>
    <row r="95" spans="1:5" s="49" customFormat="1" ht="32.25" customHeight="1">
      <c r="A95" s="363">
        <v>853</v>
      </c>
      <c r="B95" s="784" t="s">
        <v>321</v>
      </c>
      <c r="C95" s="450"/>
      <c r="D95" s="750">
        <f>D96</f>
        <v>1000000</v>
      </c>
      <c r="E95" s="746"/>
    </row>
    <row r="96" spans="1:6" s="49" customFormat="1" ht="33.75" customHeight="1">
      <c r="A96" s="804"/>
      <c r="B96" s="804"/>
      <c r="C96" s="450" t="s">
        <v>467</v>
      </c>
      <c r="D96" s="435">
        <v>1000000</v>
      </c>
      <c r="E96" s="746"/>
      <c r="F96" s="739"/>
    </row>
    <row r="97" spans="1:6" s="49" customFormat="1" ht="29.25" customHeight="1">
      <c r="A97" s="825" t="s">
        <v>669</v>
      </c>
      <c r="B97" s="826"/>
      <c r="C97" s="827"/>
      <c r="D97" s="454">
        <f>D13+D65</f>
        <v>20526385.07</v>
      </c>
      <c r="E97" s="746"/>
      <c r="F97" s="743"/>
    </row>
    <row r="98" spans="3:6" s="49" customFormat="1" ht="12.75">
      <c r="C98" s="213"/>
      <c r="E98" s="746"/>
      <c r="F98" s="3"/>
    </row>
    <row r="99" spans="3:5" s="49" customFormat="1" ht="12.75">
      <c r="C99" s="213"/>
      <c r="E99" s="3"/>
    </row>
    <row r="100" spans="3:5" s="49" customFormat="1" ht="12.75">
      <c r="C100" s="213"/>
      <c r="E100" s="3"/>
    </row>
    <row r="101" spans="3:5" s="49" customFormat="1" ht="12.75">
      <c r="C101" s="213"/>
      <c r="E101" s="3"/>
    </row>
    <row r="102" spans="3:5" s="49" customFormat="1" ht="12.75">
      <c r="C102" s="213"/>
      <c r="E102" s="3"/>
    </row>
    <row r="103" spans="3:5" s="49" customFormat="1" ht="12.75">
      <c r="C103" s="213"/>
      <c r="E103" s="3"/>
    </row>
    <row r="104" spans="3:5" s="49" customFormat="1" ht="12.75">
      <c r="C104" s="213"/>
      <c r="E104" s="3"/>
    </row>
    <row r="105" spans="3:5" s="49" customFormat="1" ht="12.75">
      <c r="C105" s="213"/>
      <c r="E105" s="3"/>
    </row>
    <row r="106" spans="3:5" s="49" customFormat="1" ht="12.75">
      <c r="C106" s="213"/>
      <c r="E106" s="3"/>
    </row>
    <row r="107" spans="3:5" s="49" customFormat="1" ht="12.75">
      <c r="C107" s="213"/>
      <c r="E107" s="3"/>
    </row>
    <row r="108" spans="3:5" s="49" customFormat="1" ht="12.75">
      <c r="C108" s="213"/>
      <c r="E108" s="3"/>
    </row>
    <row r="109" spans="3:5" s="49" customFormat="1" ht="12.75">
      <c r="C109" s="213"/>
      <c r="E109" s="3"/>
    </row>
    <row r="110" spans="3:5" s="49" customFormat="1" ht="12.75">
      <c r="C110" s="213"/>
      <c r="E110" s="3"/>
    </row>
    <row r="111" spans="3:5" s="49" customFormat="1" ht="12.75">
      <c r="C111" s="213"/>
      <c r="E111" s="3"/>
    </row>
    <row r="112" spans="3:5" s="49" customFormat="1" ht="12.75">
      <c r="C112" s="213"/>
      <c r="E112" s="3"/>
    </row>
    <row r="113" spans="3:5" s="49" customFormat="1" ht="12.75">
      <c r="C113" s="213"/>
      <c r="E113" s="3"/>
    </row>
    <row r="114" spans="3:5" s="49" customFormat="1" ht="12.75">
      <c r="C114" s="213"/>
      <c r="E114" s="3"/>
    </row>
    <row r="115" spans="3:5" s="49" customFormat="1" ht="12.75">
      <c r="C115" s="213"/>
      <c r="E115" s="3"/>
    </row>
  </sheetData>
  <mergeCells count="1">
    <mergeCell ref="A97:C97"/>
  </mergeCells>
  <printOptions/>
  <pageMargins left="0.1968503937007874" right="0" top="0.984251968503937" bottom="0.984251968503937" header="0.5118110236220472" footer="0.5118110236220472"/>
  <pageSetup horizontalDpi="600" verticalDpi="600" orientation="portrait" r:id="rId1"/>
  <headerFooter alignWithMargins="0"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49"/>
  <sheetViews>
    <sheetView workbookViewId="0" topLeftCell="A16">
      <selection activeCell="D17" sqref="D17"/>
    </sheetView>
  </sheetViews>
  <sheetFormatPr defaultColWidth="9.140625" defaultRowHeight="12.75"/>
  <cols>
    <col min="1" max="1" width="5.421875" style="2" customWidth="1"/>
    <col min="2" max="2" width="30.7109375" style="2" customWidth="1"/>
    <col min="3" max="3" width="33.57421875" style="2" customWidth="1"/>
    <col min="4" max="4" width="19.7109375" style="2" customWidth="1"/>
    <col min="5" max="5" width="17.8515625" style="4" customWidth="1"/>
    <col min="6" max="6" width="24.7109375" style="2" customWidth="1"/>
    <col min="7" max="7" width="9.140625" style="2" customWidth="1"/>
    <col min="8" max="8" width="8.8515625" style="2" customWidth="1"/>
    <col min="9" max="16384" width="9.140625" style="2" customWidth="1"/>
  </cols>
  <sheetData>
    <row r="1" spans="3:6" ht="19.5" customHeight="1">
      <c r="C1" s="476" t="s">
        <v>638</v>
      </c>
      <c r="F1" s="476"/>
    </row>
    <row r="2" spans="3:6" ht="23.25" customHeight="1">
      <c r="C2" s="455" t="s">
        <v>74</v>
      </c>
      <c r="F2" s="455"/>
    </row>
    <row r="3" spans="3:6" ht="21.75" customHeight="1">
      <c r="C3" s="455" t="s">
        <v>183</v>
      </c>
      <c r="F3" s="455"/>
    </row>
    <row r="4" spans="3:6" ht="21" customHeight="1">
      <c r="C4" s="455" t="s">
        <v>637</v>
      </c>
      <c r="F4" s="455"/>
    </row>
    <row r="5" spans="3:6" ht="21" customHeight="1">
      <c r="C5" s="455"/>
      <c r="F5" s="455"/>
    </row>
    <row r="6" ht="18" customHeight="1">
      <c r="C6" s="477"/>
    </row>
    <row r="7" spans="1:5" s="26" customFormat="1" ht="17.25" customHeight="1">
      <c r="A7" s="428" t="s">
        <v>39</v>
      </c>
      <c r="B7" s="428"/>
      <c r="C7" s="478"/>
      <c r="D7" s="2"/>
      <c r="E7" s="479"/>
    </row>
    <row r="8" spans="1:5" s="26" customFormat="1" ht="17.25" customHeight="1">
      <c r="A8" s="428" t="s">
        <v>40</v>
      </c>
      <c r="B8" s="428"/>
      <c r="C8" s="478"/>
      <c r="D8" s="2"/>
      <c r="E8" s="479"/>
    </row>
    <row r="9" spans="1:3" ht="17.25" customHeight="1">
      <c r="A9" s="428" t="s">
        <v>41</v>
      </c>
      <c r="B9" s="428"/>
      <c r="C9" s="478"/>
    </row>
    <row r="10" spans="1:3" ht="17.25" customHeight="1">
      <c r="A10" s="428"/>
      <c r="B10" s="428"/>
      <c r="C10" s="478"/>
    </row>
    <row r="11" spans="1:2" ht="13.5">
      <c r="A11" s="115" t="s">
        <v>128</v>
      </c>
      <c r="B11" s="429"/>
    </row>
    <row r="12" spans="3:4" ht="11.25" customHeight="1">
      <c r="C12" s="480"/>
      <c r="D12" s="481" t="s">
        <v>193</v>
      </c>
    </row>
    <row r="13" spans="1:4" ht="29.25" customHeight="1">
      <c r="A13" s="299" t="s">
        <v>196</v>
      </c>
      <c r="B13" s="299" t="s">
        <v>623</v>
      </c>
      <c r="C13" s="299" t="s">
        <v>624</v>
      </c>
      <c r="D13" s="431" t="s">
        <v>625</v>
      </c>
    </row>
    <row r="14" spans="1:4" ht="24" customHeight="1">
      <c r="A14" s="447" t="s">
        <v>626</v>
      </c>
      <c r="B14" s="482"/>
      <c r="C14" s="483"/>
      <c r="D14" s="484">
        <f>D15+D19+D22</f>
        <v>15987626.25</v>
      </c>
    </row>
    <row r="15" spans="1:5" s="468" customFormat="1" ht="24" customHeight="1">
      <c r="A15" s="449" t="s">
        <v>42</v>
      </c>
      <c r="B15" s="485"/>
      <c r="C15" s="486"/>
      <c r="D15" s="487">
        <f>D16</f>
        <v>4905000</v>
      </c>
      <c r="E15" s="85"/>
    </row>
    <row r="16" spans="1:6" ht="37.5" customHeight="1">
      <c r="A16" s="488">
        <v>921</v>
      </c>
      <c r="B16" s="439" t="s">
        <v>646</v>
      </c>
      <c r="C16" s="489"/>
      <c r="D16" s="484">
        <f>D17+D18</f>
        <v>4905000</v>
      </c>
      <c r="F16" s="490"/>
    </row>
    <row r="17" spans="1:6" ht="22.5" customHeight="1">
      <c r="A17" s="491"/>
      <c r="B17" s="492"/>
      <c r="C17" s="493" t="s">
        <v>43</v>
      </c>
      <c r="D17" s="818">
        <f>3496900+10000+15000+12700+7300</f>
        <v>3541900</v>
      </c>
      <c r="F17" s="490"/>
    </row>
    <row r="18" spans="1:6" ht="22.5" customHeight="1">
      <c r="A18" s="473"/>
      <c r="B18" s="474"/>
      <c r="C18" s="493" t="s">
        <v>44</v>
      </c>
      <c r="D18" s="436">
        <f>1253100+50000+60000</f>
        <v>1363100</v>
      </c>
      <c r="F18" s="490"/>
    </row>
    <row r="19" spans="1:6" ht="29.25" customHeight="1">
      <c r="A19" s="449" t="s">
        <v>45</v>
      </c>
      <c r="B19" s="475"/>
      <c r="C19" s="493"/>
      <c r="D19" s="487">
        <f>D20</f>
        <v>10940563.75</v>
      </c>
      <c r="F19" s="490"/>
    </row>
    <row r="20" spans="1:6" ht="27" customHeight="1">
      <c r="A20" s="494">
        <v>600</v>
      </c>
      <c r="B20" s="453" t="s">
        <v>207</v>
      </c>
      <c r="C20" s="493"/>
      <c r="D20" s="484">
        <f>D21</f>
        <v>10940563.75</v>
      </c>
      <c r="F20" s="490"/>
    </row>
    <row r="21" spans="1:6" ht="30.75" customHeight="1">
      <c r="A21" s="495"/>
      <c r="B21" s="496"/>
      <c r="C21" s="441" t="s">
        <v>46</v>
      </c>
      <c r="D21" s="719">
        <f>10995992.22-92060.08+36631.61</f>
        <v>10940563.75</v>
      </c>
      <c r="F21" s="490"/>
    </row>
    <row r="22" spans="1:6" ht="29.25" customHeight="1">
      <c r="A22" s="433" t="s">
        <v>630</v>
      </c>
      <c r="B22" s="497"/>
      <c r="C22" s="489"/>
      <c r="D22" s="487">
        <f>D23+D25+D27+D29</f>
        <v>142062.5</v>
      </c>
      <c r="F22" s="490"/>
    </row>
    <row r="23" spans="1:6" ht="29.25" customHeight="1">
      <c r="A23" s="271">
        <v>851</v>
      </c>
      <c r="B23" s="517" t="s">
        <v>316</v>
      </c>
      <c r="C23" s="514"/>
      <c r="D23" s="484">
        <f>D24</f>
        <v>100000</v>
      </c>
      <c r="F23" s="490"/>
    </row>
    <row r="24" spans="1:6" ht="57.75" customHeight="1">
      <c r="A24" s="515"/>
      <c r="B24" s="514"/>
      <c r="C24" s="446" t="s">
        <v>68</v>
      </c>
      <c r="D24" s="516">
        <v>100000</v>
      </c>
      <c r="F24" s="490"/>
    </row>
    <row r="25" spans="1:6" ht="37.5" customHeight="1">
      <c r="A25" s="514">
        <v>853</v>
      </c>
      <c r="B25" s="513" t="s">
        <v>321</v>
      </c>
      <c r="C25" s="441"/>
      <c r="D25" s="484">
        <f>D26</f>
        <v>5062.5</v>
      </c>
      <c r="F25" s="490"/>
    </row>
    <row r="26" spans="1:6" ht="57.75" customHeight="1">
      <c r="A26" s="515"/>
      <c r="B26" s="514"/>
      <c r="C26" s="441" t="s">
        <v>97</v>
      </c>
      <c r="D26" s="516">
        <v>5062.5</v>
      </c>
      <c r="F26" s="490"/>
    </row>
    <row r="27" spans="1:6" ht="34.5" customHeight="1">
      <c r="A27" s="335">
        <v>900</v>
      </c>
      <c r="B27" s="498" t="s">
        <v>47</v>
      </c>
      <c r="C27" s="493"/>
      <c r="D27" s="462">
        <f>D28</f>
        <v>12000</v>
      </c>
      <c r="F27" s="490"/>
    </row>
    <row r="28" spans="1:10" ht="42.75" customHeight="1">
      <c r="A28" s="491"/>
      <c r="B28" s="499"/>
      <c r="C28" s="425" t="s">
        <v>645</v>
      </c>
      <c r="D28" s="644">
        <v>12000</v>
      </c>
      <c r="E28" s="1"/>
      <c r="F28" s="62"/>
      <c r="G28" s="62"/>
      <c r="H28" s="62"/>
      <c r="I28" s="62"/>
      <c r="J28" s="62"/>
    </row>
    <row r="29" spans="1:10" ht="42.75" customHeight="1">
      <c r="A29" s="488">
        <v>921</v>
      </c>
      <c r="B29" s="438" t="s">
        <v>646</v>
      </c>
      <c r="C29" s="717"/>
      <c r="D29" s="432">
        <f>D30</f>
        <v>25000</v>
      </c>
      <c r="E29" s="1"/>
      <c r="F29" s="62"/>
      <c r="G29" s="62"/>
      <c r="H29" s="62"/>
      <c r="I29" s="62"/>
      <c r="J29" s="62"/>
    </row>
    <row r="30" spans="1:10" ht="42.75" customHeight="1">
      <c r="A30" s="491"/>
      <c r="B30" s="488"/>
      <c r="C30" s="718" t="s">
        <v>636</v>
      </c>
      <c r="D30" s="444">
        <v>25000</v>
      </c>
      <c r="E30" s="1"/>
      <c r="F30" s="62"/>
      <c r="G30" s="62"/>
      <c r="H30" s="62"/>
      <c r="I30" s="62"/>
      <c r="J30" s="62"/>
    </row>
    <row r="31" spans="1:10" ht="30.75" customHeight="1">
      <c r="A31" s="447" t="s">
        <v>647</v>
      </c>
      <c r="B31" s="500"/>
      <c r="C31" s="501"/>
      <c r="D31" s="437">
        <f>D32+D35</f>
        <v>4767600</v>
      </c>
      <c r="E31" s="502"/>
      <c r="F31" s="62"/>
      <c r="G31" s="62"/>
      <c r="H31" s="62"/>
      <c r="I31" s="62"/>
      <c r="J31" s="62"/>
    </row>
    <row r="32" spans="1:10" ht="33" customHeight="1">
      <c r="A32" s="503" t="s">
        <v>42</v>
      </c>
      <c r="B32" s="504"/>
      <c r="C32" s="505"/>
      <c r="D32" s="506">
        <f>D33</f>
        <v>2612200</v>
      </c>
      <c r="E32" s="502"/>
      <c r="F32" s="62"/>
      <c r="G32" s="62"/>
      <c r="H32" s="62"/>
      <c r="I32" s="62"/>
      <c r="J32" s="62"/>
    </row>
    <row r="33" spans="1:5" ht="33.75" customHeight="1">
      <c r="A33" s="494">
        <v>921</v>
      </c>
      <c r="B33" s="439" t="s">
        <v>646</v>
      </c>
      <c r="C33" s="448"/>
      <c r="D33" s="507">
        <f>D34</f>
        <v>2612200</v>
      </c>
      <c r="E33" s="85"/>
    </row>
    <row r="34" spans="1:5" ht="26.25" customHeight="1">
      <c r="A34" s="508"/>
      <c r="B34" s="440"/>
      <c r="C34" s="441" t="s">
        <v>48</v>
      </c>
      <c r="D34" s="435">
        <f>2610000+2200</f>
        <v>2612200</v>
      </c>
      <c r="E34" s="72"/>
    </row>
    <row r="35" spans="1:5" ht="30.75" customHeight="1">
      <c r="A35" s="433" t="s">
        <v>630</v>
      </c>
      <c r="B35" s="509"/>
      <c r="C35" s="441"/>
      <c r="D35" s="451">
        <f>D36+D39</f>
        <v>2155400</v>
      </c>
      <c r="E35" s="72"/>
    </row>
    <row r="36" spans="1:5" ht="21" customHeight="1">
      <c r="A36" s="499">
        <v>852</v>
      </c>
      <c r="B36" s="452" t="s">
        <v>595</v>
      </c>
      <c r="C36" s="446"/>
      <c r="D36" s="432">
        <f>D37+D38</f>
        <v>1005400</v>
      </c>
      <c r="E36" s="72"/>
    </row>
    <row r="37" spans="1:5" ht="39.75" customHeight="1">
      <c r="A37" s="492"/>
      <c r="B37" s="510"/>
      <c r="C37" s="450" t="s">
        <v>49</v>
      </c>
      <c r="D37" s="435">
        <f>558000+10400+30000</f>
        <v>598400</v>
      </c>
      <c r="E37" s="72"/>
    </row>
    <row r="38" spans="1:5" ht="36">
      <c r="A38" s="474"/>
      <c r="B38" s="511"/>
      <c r="C38" s="450" t="s">
        <v>50</v>
      </c>
      <c r="D38" s="435">
        <v>407000</v>
      </c>
      <c r="E38" s="1"/>
    </row>
    <row r="39" spans="1:5" ht="30" customHeight="1">
      <c r="A39" s="512">
        <v>853</v>
      </c>
      <c r="B39" s="513" t="s">
        <v>321</v>
      </c>
      <c r="C39" s="450"/>
      <c r="D39" s="432">
        <f>D40</f>
        <v>1150000</v>
      </c>
      <c r="E39" s="1"/>
    </row>
    <row r="40" spans="1:5" ht="30.75" customHeight="1">
      <c r="A40" s="514"/>
      <c r="B40" s="350"/>
      <c r="C40" s="450" t="s">
        <v>67</v>
      </c>
      <c r="D40" s="435">
        <v>1150000</v>
      </c>
      <c r="E40" s="1"/>
    </row>
    <row r="41" spans="1:5" ht="27.75" customHeight="1">
      <c r="A41" s="828" t="s">
        <v>669</v>
      </c>
      <c r="B41" s="829"/>
      <c r="C41" s="827"/>
      <c r="D41" s="454">
        <f>D14+D31</f>
        <v>20755226.25</v>
      </c>
      <c r="E41" s="1"/>
    </row>
    <row r="42" spans="4:5" ht="15.75">
      <c r="D42" s="1"/>
      <c r="E42" s="1"/>
    </row>
    <row r="43" ht="15.75">
      <c r="D43" s="1"/>
    </row>
    <row r="44" ht="12.75">
      <c r="D44" s="4"/>
    </row>
    <row r="45" ht="12.75">
      <c r="D45" s="4"/>
    </row>
    <row r="46" ht="12.75">
      <c r="D46" s="4"/>
    </row>
    <row r="47" ht="12.75">
      <c r="D47" s="4"/>
    </row>
    <row r="48" ht="12.75">
      <c r="D48" s="4"/>
    </row>
    <row r="49" ht="12.75">
      <c r="D49" s="4"/>
    </row>
  </sheetData>
  <mergeCells count="1">
    <mergeCell ref="A41:C41"/>
  </mergeCells>
  <printOptions/>
  <pageMargins left="0.1968503937007874" right="0" top="0.984251968503937" bottom="0.98425196850393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X220"/>
  <sheetViews>
    <sheetView workbookViewId="0" topLeftCell="A1">
      <selection activeCell="L16" sqref="L16"/>
    </sheetView>
  </sheetViews>
  <sheetFormatPr defaultColWidth="9.140625" defaultRowHeight="12.75"/>
  <cols>
    <col min="1" max="1" width="4.28125" style="62" customWidth="1"/>
    <col min="2" max="2" width="29.57421875" style="62" customWidth="1"/>
    <col min="3" max="3" width="7.57421875" style="62" customWidth="1"/>
    <col min="4" max="4" width="13.8515625" style="62" customWidth="1"/>
    <col min="5" max="5" width="14.57421875" style="62" customWidth="1"/>
    <col min="6" max="6" width="14.8515625" style="62" customWidth="1"/>
    <col min="7" max="7" width="14.140625" style="62" customWidth="1"/>
    <col min="8" max="8" width="15.140625" style="62" customWidth="1"/>
    <col min="9" max="9" width="9.7109375" style="62" customWidth="1"/>
    <col min="10" max="10" width="14.00390625" style="62" customWidth="1"/>
    <col min="11" max="11" width="12.8515625" style="62" customWidth="1"/>
    <col min="12" max="12" width="14.57421875" style="62" customWidth="1"/>
    <col min="13" max="16384" width="9.140625" style="62" customWidth="1"/>
  </cols>
  <sheetData>
    <row r="2" ht="19.5">
      <c r="H2" s="476" t="s">
        <v>477</v>
      </c>
    </row>
    <row r="3" ht="18.75">
      <c r="H3" s="455" t="s">
        <v>74</v>
      </c>
    </row>
    <row r="4" ht="18.75">
      <c r="H4" s="455" t="s">
        <v>183</v>
      </c>
    </row>
    <row r="5" spans="1:24" ht="21" customHeight="1">
      <c r="A5" s="82"/>
      <c r="B5" s="26"/>
      <c r="C5" s="2"/>
      <c r="D5" s="2"/>
      <c r="E5" s="2"/>
      <c r="F5" s="2"/>
      <c r="G5" s="551"/>
      <c r="H5" s="455" t="s">
        <v>639</v>
      </c>
      <c r="I5" s="558"/>
      <c r="J5" s="559"/>
      <c r="K5" s="212"/>
      <c r="L5" s="212"/>
      <c r="M5" s="21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18.75" customHeight="1">
      <c r="A6" s="82"/>
      <c r="B6" s="26"/>
      <c r="C6" s="2"/>
      <c r="D6" s="2"/>
      <c r="E6" s="2"/>
      <c r="F6" s="2"/>
      <c r="G6" s="93"/>
      <c r="H6" s="93"/>
      <c r="I6" s="558"/>
      <c r="J6" s="559"/>
      <c r="K6" s="212"/>
      <c r="L6" s="212"/>
      <c r="M6" s="21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2" customHeight="1">
      <c r="A7" s="82"/>
      <c r="B7" s="26"/>
      <c r="C7" s="2"/>
      <c r="D7" s="2"/>
      <c r="E7" s="2"/>
      <c r="F7" s="2"/>
      <c r="G7" s="2"/>
      <c r="H7" s="560"/>
      <c r="I7" s="558"/>
      <c r="J7" s="559"/>
      <c r="K7" s="212"/>
      <c r="L7" s="212"/>
      <c r="M7" s="21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s="562" customFormat="1" ht="18.75">
      <c r="A8" s="122" t="s">
        <v>571</v>
      </c>
      <c r="B8" s="24"/>
      <c r="C8" s="24"/>
      <c r="D8" s="24"/>
      <c r="E8" s="24"/>
      <c r="F8" s="24"/>
      <c r="G8" s="24"/>
      <c r="H8" s="24"/>
      <c r="I8" s="24"/>
      <c r="J8" s="561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</row>
    <row r="9" spans="1:24" s="562" customFormat="1" ht="18.75">
      <c r="A9" s="122" t="s">
        <v>572</v>
      </c>
      <c r="B9" s="122"/>
      <c r="C9" s="24"/>
      <c r="D9" s="24"/>
      <c r="E9" s="24"/>
      <c r="F9" s="24"/>
      <c r="G9" s="24"/>
      <c r="H9" s="24"/>
      <c r="I9" s="24"/>
      <c r="J9" s="561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</row>
    <row r="10" spans="1:24" s="562" customFormat="1" ht="18.75">
      <c r="A10" s="122"/>
      <c r="B10" s="24"/>
      <c r="C10" s="24"/>
      <c r="D10" s="24"/>
      <c r="E10" s="24"/>
      <c r="F10" s="24"/>
      <c r="G10" s="24"/>
      <c r="H10" s="24"/>
      <c r="I10" s="430" t="s">
        <v>193</v>
      </c>
      <c r="J10" s="561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</row>
    <row r="11" spans="1:24" ht="19.5" customHeight="1">
      <c r="A11" s="563"/>
      <c r="B11" s="564"/>
      <c r="C11" s="565"/>
      <c r="D11" s="564"/>
      <c r="E11" s="566" t="s">
        <v>573</v>
      </c>
      <c r="F11" s="567"/>
      <c r="G11" s="614"/>
      <c r="H11" s="621" t="s">
        <v>65</v>
      </c>
      <c r="I11" s="622"/>
      <c r="J11" s="623"/>
      <c r="K11" s="568"/>
      <c r="L11" s="212"/>
      <c r="M11" s="21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21.75" customHeight="1">
      <c r="A12" s="456"/>
      <c r="B12" s="456"/>
      <c r="C12" s="456"/>
      <c r="D12" s="615" t="s">
        <v>61</v>
      </c>
      <c r="E12" s="569"/>
      <c r="F12" s="570" t="s">
        <v>574</v>
      </c>
      <c r="G12" s="571"/>
      <c r="H12" s="445"/>
      <c r="I12" s="572" t="s">
        <v>127</v>
      </c>
      <c r="J12" s="616" t="s">
        <v>61</v>
      </c>
      <c r="K12" s="212"/>
      <c r="L12" s="212"/>
      <c r="M12" s="21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2.75">
      <c r="A13" s="555" t="s">
        <v>1</v>
      </c>
      <c r="B13" s="556" t="s">
        <v>575</v>
      </c>
      <c r="C13" s="557" t="s">
        <v>196</v>
      </c>
      <c r="D13" s="617" t="s">
        <v>62</v>
      </c>
      <c r="E13" s="573" t="s">
        <v>576</v>
      </c>
      <c r="F13" s="830" t="s">
        <v>577</v>
      </c>
      <c r="G13" s="832" t="s">
        <v>578</v>
      </c>
      <c r="H13" s="556" t="s">
        <v>579</v>
      </c>
      <c r="I13" s="834" t="s">
        <v>580</v>
      </c>
      <c r="J13" s="618" t="s">
        <v>63</v>
      </c>
      <c r="K13" s="212"/>
      <c r="L13" s="212"/>
      <c r="M13" s="21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9.5" customHeight="1">
      <c r="A14" s="457"/>
      <c r="B14" s="457"/>
      <c r="C14" s="574" t="s">
        <v>581</v>
      </c>
      <c r="D14" s="619" t="s">
        <v>64</v>
      </c>
      <c r="E14" s="575"/>
      <c r="F14" s="831"/>
      <c r="G14" s="833"/>
      <c r="H14" s="463"/>
      <c r="I14" s="835"/>
      <c r="J14" s="620" t="s">
        <v>64</v>
      </c>
      <c r="K14" s="212"/>
      <c r="L14" s="212"/>
      <c r="M14" s="21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2.75">
      <c r="A15" s="576">
        <v>1</v>
      </c>
      <c r="B15" s="576">
        <v>2</v>
      </c>
      <c r="C15" s="576">
        <v>3</v>
      </c>
      <c r="D15" s="576">
        <v>4</v>
      </c>
      <c r="E15" s="576">
        <v>5</v>
      </c>
      <c r="F15" s="576">
        <v>6</v>
      </c>
      <c r="G15" s="576">
        <v>7</v>
      </c>
      <c r="H15" s="576">
        <v>8</v>
      </c>
      <c r="I15" s="576">
        <v>9</v>
      </c>
      <c r="J15" s="576">
        <v>10</v>
      </c>
      <c r="K15" s="212"/>
      <c r="L15" s="212"/>
      <c r="M15" s="21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21" customHeight="1">
      <c r="A16" s="569"/>
      <c r="B16" s="577" t="s">
        <v>669</v>
      </c>
      <c r="C16" s="457"/>
      <c r="D16" s="578">
        <f>SUM(D18:D22)</f>
        <v>-2569903.24</v>
      </c>
      <c r="E16" s="578">
        <f>SUM(E18:E22)</f>
        <v>27930999.75</v>
      </c>
      <c r="F16" s="579">
        <f>SUM(F18,)</f>
        <v>10940563.75</v>
      </c>
      <c r="G16" s="579"/>
      <c r="H16" s="580">
        <f>SUM(H18:H22)</f>
        <v>27897543.970000003</v>
      </c>
      <c r="I16" s="580">
        <f>SUM(I18:I22)</f>
        <v>0</v>
      </c>
      <c r="J16" s="580">
        <f>SUM(J18:J22)</f>
        <v>-2536447.46</v>
      </c>
      <c r="K16" s="581"/>
      <c r="L16" s="581"/>
      <c r="M16" s="21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7.25" customHeight="1">
      <c r="A17" s="569"/>
      <c r="B17" s="582" t="s">
        <v>582</v>
      </c>
      <c r="C17" s="461"/>
      <c r="D17" s="461"/>
      <c r="E17" s="583"/>
      <c r="F17" s="584"/>
      <c r="G17" s="569"/>
      <c r="H17" s="585"/>
      <c r="I17" s="586"/>
      <c r="J17" s="624"/>
      <c r="K17" s="581"/>
      <c r="L17" s="581"/>
      <c r="M17" s="21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18.75" customHeight="1">
      <c r="A18" s="348" t="s">
        <v>583</v>
      </c>
      <c r="B18" s="587" t="s">
        <v>584</v>
      </c>
      <c r="C18" s="588">
        <v>600</v>
      </c>
      <c r="D18" s="720">
        <v>-2569903.24</v>
      </c>
      <c r="E18" s="722">
        <f>28320739.22-426371.08+36631.61</f>
        <v>27930999.75</v>
      </c>
      <c r="F18" s="723">
        <f>SUM(F20,)</f>
        <v>10940563.75</v>
      </c>
      <c r="G18" s="589"/>
      <c r="H18" s="722">
        <f>28320737.26+1.96-459765.25+36631.61-61.61</f>
        <v>27897543.970000003</v>
      </c>
      <c r="I18" s="590"/>
      <c r="J18" s="721">
        <f>-2536509.07+61.61</f>
        <v>-2536447.46</v>
      </c>
      <c r="K18" s="434"/>
      <c r="L18" s="591"/>
      <c r="M18" s="592"/>
      <c r="N18" s="442"/>
      <c r="O18" s="442"/>
      <c r="P18" s="442"/>
      <c r="Q18" s="442"/>
      <c r="R18" s="442"/>
      <c r="S18" s="442"/>
      <c r="T18" s="442"/>
      <c r="U18" s="442"/>
      <c r="V18" s="442"/>
      <c r="W18" s="442"/>
      <c r="X18" s="442"/>
    </row>
    <row r="19" spans="1:24" ht="12.75">
      <c r="A19" s="354"/>
      <c r="B19" s="445" t="s">
        <v>127</v>
      </c>
      <c r="C19" s="593">
        <v>60004</v>
      </c>
      <c r="D19" s="593"/>
      <c r="E19" s="594"/>
      <c r="F19" s="595"/>
      <c r="G19" s="596"/>
      <c r="H19" s="594"/>
      <c r="I19" s="597"/>
      <c r="J19" s="624"/>
      <c r="K19" s="598"/>
      <c r="L19" s="598"/>
      <c r="M19" s="592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</row>
    <row r="20" spans="1:24" ht="68.25" customHeight="1">
      <c r="A20" s="354"/>
      <c r="B20" s="445" t="s">
        <v>585</v>
      </c>
      <c r="C20" s="593"/>
      <c r="D20" s="593"/>
      <c r="E20" s="594"/>
      <c r="F20" s="724">
        <f>10995992.22-92060.08+36631.61</f>
        <v>10940563.75</v>
      </c>
      <c r="G20" s="599" t="s">
        <v>586</v>
      </c>
      <c r="H20" s="594"/>
      <c r="I20" s="597"/>
      <c r="J20" s="625"/>
      <c r="K20" s="598"/>
      <c r="L20" s="598"/>
      <c r="M20" s="21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</row>
    <row r="21" spans="1:24" ht="12" customHeight="1">
      <c r="A21" s="354"/>
      <c r="B21" s="445" t="s">
        <v>587</v>
      </c>
      <c r="C21" s="593"/>
      <c r="D21" s="593"/>
      <c r="E21" s="594"/>
      <c r="F21" s="724"/>
      <c r="G21" s="596"/>
      <c r="H21" s="594"/>
      <c r="I21" s="597"/>
      <c r="J21" s="625"/>
      <c r="K21" s="598"/>
      <c r="L21" s="598"/>
      <c r="M21" s="21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</row>
    <row r="22" spans="1:24" ht="21" customHeight="1">
      <c r="A22" s="600"/>
      <c r="B22" s="601" t="s">
        <v>588</v>
      </c>
      <c r="C22" s="267"/>
      <c r="D22" s="267"/>
      <c r="E22" s="602"/>
      <c r="F22" s="725">
        <f>1184442.22-92060.08+36631.61</f>
        <v>1129013.75</v>
      </c>
      <c r="G22" s="603"/>
      <c r="H22" s="602"/>
      <c r="I22" s="604"/>
      <c r="J22" s="626"/>
      <c r="K22" s="598"/>
      <c r="L22" s="598"/>
      <c r="M22" s="21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</row>
    <row r="23" spans="1:24" ht="12.75">
      <c r="A23" s="2"/>
      <c r="B23" s="2"/>
      <c r="C23" s="2"/>
      <c r="D23" s="2"/>
      <c r="E23" s="2"/>
      <c r="F23" s="2"/>
      <c r="G23" s="2"/>
      <c r="H23" s="2"/>
      <c r="I23" s="2"/>
      <c r="J23" s="559"/>
      <c r="K23" s="212"/>
      <c r="L23" s="212"/>
      <c r="M23" s="21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12.75">
      <c r="A24" s="2"/>
      <c r="B24" s="2"/>
      <c r="C24" s="2"/>
      <c r="D24" s="2"/>
      <c r="E24" s="2"/>
      <c r="F24" s="2"/>
      <c r="G24" s="2"/>
      <c r="H24" s="2"/>
      <c r="I24" s="2"/>
      <c r="J24" s="559"/>
      <c r="K24" s="212"/>
      <c r="L24" s="212"/>
      <c r="M24" s="21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 ht="12.75">
      <c r="A25" s="2"/>
      <c r="B25" s="2"/>
      <c r="C25" s="2"/>
      <c r="D25" s="2"/>
      <c r="E25" s="2"/>
      <c r="F25" s="2"/>
      <c r="G25" s="2"/>
      <c r="H25" s="2"/>
      <c r="I25" s="2"/>
      <c r="J25" s="559"/>
      <c r="K25" s="212"/>
      <c r="L25" s="212"/>
      <c r="M25" s="21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2.75">
      <c r="A26" s="2"/>
      <c r="B26" s="2"/>
      <c r="C26" s="2"/>
      <c r="D26" s="2"/>
      <c r="E26" s="2"/>
      <c r="F26" s="2"/>
      <c r="G26" s="2"/>
      <c r="H26" s="2"/>
      <c r="I26" s="2"/>
      <c r="J26" s="559"/>
      <c r="K26" s="212"/>
      <c r="L26" s="212"/>
      <c r="M26" s="21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2.75">
      <c r="A27" s="2"/>
      <c r="B27" s="2"/>
      <c r="C27" s="2"/>
      <c r="D27" s="2"/>
      <c r="E27" s="2"/>
      <c r="F27" s="2"/>
      <c r="G27" s="2"/>
      <c r="H27" s="2"/>
      <c r="I27" s="2"/>
      <c r="J27" s="559"/>
      <c r="K27" s="212"/>
      <c r="L27" s="212"/>
      <c r="M27" s="21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2.75">
      <c r="A28" s="2"/>
      <c r="B28" s="2"/>
      <c r="C28" s="2"/>
      <c r="D28" s="2"/>
      <c r="E28" s="2"/>
      <c r="F28" s="2"/>
      <c r="G28" s="2"/>
      <c r="H28" s="2"/>
      <c r="I28" s="2"/>
      <c r="J28" s="559"/>
      <c r="K28" s="212"/>
      <c r="L28" s="212"/>
      <c r="M28" s="21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2.75">
      <c r="A29" s="2"/>
      <c r="B29" s="2"/>
      <c r="C29" s="2"/>
      <c r="D29" s="2"/>
      <c r="E29" s="2"/>
      <c r="F29" s="2"/>
      <c r="G29" s="2"/>
      <c r="H29" s="2"/>
      <c r="I29" s="2"/>
      <c r="J29" s="559"/>
      <c r="K29" s="212"/>
      <c r="L29" s="212"/>
      <c r="M29" s="21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2.75">
      <c r="A30" s="2"/>
      <c r="B30" s="2"/>
      <c r="C30" s="2"/>
      <c r="D30" s="2"/>
      <c r="E30" s="4"/>
      <c r="F30" s="2"/>
      <c r="G30" s="2"/>
      <c r="H30" s="4"/>
      <c r="I30" s="2"/>
      <c r="J30" s="559"/>
      <c r="K30" s="212"/>
      <c r="L30" s="212"/>
      <c r="M30" s="21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ht="12.75">
      <c r="A31" s="2"/>
      <c r="B31" s="2"/>
      <c r="C31" s="4"/>
      <c r="D31" s="4"/>
      <c r="E31" s="4"/>
      <c r="F31" s="4"/>
      <c r="G31" s="4"/>
      <c r="H31" s="2"/>
      <c r="I31" s="2"/>
      <c r="J31" s="559"/>
      <c r="K31" s="212"/>
      <c r="L31" s="212"/>
      <c r="M31" s="21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2.75">
      <c r="A32" s="2"/>
      <c r="B32" s="2"/>
      <c r="C32" s="4"/>
      <c r="D32" s="4"/>
      <c r="E32" s="4"/>
      <c r="F32" s="4"/>
      <c r="G32" s="4"/>
      <c r="H32" s="2"/>
      <c r="I32" s="2"/>
      <c r="J32" s="559"/>
      <c r="K32" s="212"/>
      <c r="L32" s="212"/>
      <c r="M32" s="21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ht="12.75">
      <c r="A33" s="2"/>
      <c r="B33" s="2"/>
      <c r="C33" s="2"/>
      <c r="D33" s="2"/>
      <c r="E33" s="2"/>
      <c r="F33" s="2"/>
      <c r="G33" s="2"/>
      <c r="H33" s="2"/>
      <c r="I33" s="2"/>
      <c r="J33" s="559"/>
      <c r="K33" s="212"/>
      <c r="L33" s="212"/>
      <c r="M33" s="21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2.75">
      <c r="A34" s="2"/>
      <c r="B34" s="2"/>
      <c r="C34" s="2"/>
      <c r="D34" s="2"/>
      <c r="E34" s="2"/>
      <c r="F34" s="2"/>
      <c r="G34" s="2"/>
      <c r="H34" s="2"/>
      <c r="I34" s="2"/>
      <c r="J34" s="559"/>
      <c r="K34" s="212"/>
      <c r="L34" s="212"/>
      <c r="M34" s="21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2.75">
      <c r="A35" s="2"/>
      <c r="B35" s="2"/>
      <c r="C35" s="2"/>
      <c r="D35" s="2"/>
      <c r="E35" s="2"/>
      <c r="F35" s="2"/>
      <c r="G35" s="2"/>
      <c r="H35" s="2"/>
      <c r="I35" s="2"/>
      <c r="J35" s="559"/>
      <c r="K35" s="212"/>
      <c r="L35" s="212"/>
      <c r="M35" s="21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2.75">
      <c r="A36" s="2"/>
      <c r="B36" s="2"/>
      <c r="C36" s="2"/>
      <c r="D36" s="2"/>
      <c r="E36" s="2"/>
      <c r="F36" s="2"/>
      <c r="G36" s="2"/>
      <c r="H36" s="2"/>
      <c r="I36" s="2"/>
      <c r="J36" s="559"/>
      <c r="K36" s="212"/>
      <c r="L36" s="212"/>
      <c r="M36" s="21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ht="12.75">
      <c r="A37" s="2"/>
      <c r="B37" s="2"/>
      <c r="C37" s="2"/>
      <c r="D37" s="2"/>
      <c r="E37" s="2"/>
      <c r="F37" s="2"/>
      <c r="G37" s="2"/>
      <c r="H37" s="2"/>
      <c r="I37" s="2"/>
      <c r="J37" s="559"/>
      <c r="K37" s="212"/>
      <c r="L37" s="212"/>
      <c r="M37" s="21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12.75">
      <c r="A38" s="2"/>
      <c r="B38" s="2"/>
      <c r="C38" s="2"/>
      <c r="D38" s="2"/>
      <c r="E38" s="2"/>
      <c r="F38" s="2"/>
      <c r="G38" s="2"/>
      <c r="H38" s="2"/>
      <c r="I38" s="2"/>
      <c r="J38" s="559"/>
      <c r="K38" s="212"/>
      <c r="L38" s="212"/>
      <c r="M38" s="21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ht="12.75">
      <c r="A39" s="2"/>
      <c r="B39" s="2"/>
      <c r="C39" s="2"/>
      <c r="D39" s="2"/>
      <c r="E39" s="2"/>
      <c r="F39" s="2"/>
      <c r="G39" s="2"/>
      <c r="H39" s="2"/>
      <c r="I39" s="2"/>
      <c r="J39" s="559"/>
      <c r="K39" s="212"/>
      <c r="L39" s="212"/>
      <c r="M39" s="21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ht="12.75">
      <c r="A40" s="2"/>
      <c r="B40" s="2"/>
      <c r="C40" s="2"/>
      <c r="D40" s="2"/>
      <c r="E40" s="2"/>
      <c r="F40" s="2"/>
      <c r="G40" s="2"/>
      <c r="H40" s="2"/>
      <c r="I40" s="2"/>
      <c r="J40" s="559"/>
      <c r="K40" s="212"/>
      <c r="L40" s="212"/>
      <c r="M40" s="21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ht="12.75">
      <c r="A41" s="2"/>
      <c r="B41" s="2"/>
      <c r="C41" s="2"/>
      <c r="D41" s="2"/>
      <c r="E41" s="2"/>
      <c r="F41" s="2"/>
      <c r="G41" s="2"/>
      <c r="H41" s="2"/>
      <c r="I41" s="2"/>
      <c r="J41" s="559"/>
      <c r="K41" s="212"/>
      <c r="L41" s="212"/>
      <c r="M41" s="21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ht="12.75">
      <c r="A42" s="2"/>
      <c r="B42" s="2"/>
      <c r="C42" s="2"/>
      <c r="D42" s="2"/>
      <c r="E42" s="2"/>
      <c r="F42" s="2"/>
      <c r="G42" s="2"/>
      <c r="H42" s="2"/>
      <c r="I42" s="2"/>
      <c r="J42" s="559"/>
      <c r="K42" s="212"/>
      <c r="L42" s="212"/>
      <c r="M42" s="21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ht="12.75">
      <c r="A43" s="2"/>
      <c r="B43" s="2"/>
      <c r="C43" s="2"/>
      <c r="D43" s="2"/>
      <c r="E43" s="2"/>
      <c r="F43" s="2"/>
      <c r="G43" s="2"/>
      <c r="H43" s="2"/>
      <c r="I43" s="2"/>
      <c r="J43" s="559"/>
      <c r="K43" s="212"/>
      <c r="L43" s="212"/>
      <c r="M43" s="21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ht="12.75">
      <c r="A44" s="2"/>
      <c r="B44" s="2"/>
      <c r="C44" s="2"/>
      <c r="D44" s="2"/>
      <c r="E44" s="2"/>
      <c r="F44" s="2"/>
      <c r="G44" s="2"/>
      <c r="H44" s="2"/>
      <c r="I44" s="2"/>
      <c r="J44" s="559"/>
      <c r="K44" s="212"/>
      <c r="L44" s="212"/>
      <c r="M44" s="21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ht="12.75">
      <c r="A45" s="2"/>
      <c r="B45" s="2"/>
      <c r="C45" s="2"/>
      <c r="D45" s="2"/>
      <c r="E45" s="2"/>
      <c r="F45" s="2"/>
      <c r="G45" s="2"/>
      <c r="H45" s="2"/>
      <c r="I45" s="2"/>
      <c r="J45" s="559"/>
      <c r="K45" s="212"/>
      <c r="L45" s="212"/>
      <c r="M45" s="21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ht="12.75">
      <c r="A46" s="2"/>
      <c r="B46" s="2"/>
      <c r="C46" s="2"/>
      <c r="D46" s="2"/>
      <c r="E46" s="2"/>
      <c r="F46" s="2"/>
      <c r="G46" s="2"/>
      <c r="H46" s="2"/>
      <c r="I46" s="2"/>
      <c r="J46" s="559"/>
      <c r="K46" s="212"/>
      <c r="L46" s="212"/>
      <c r="M46" s="21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ht="12.75">
      <c r="A47" s="2"/>
      <c r="B47" s="2"/>
      <c r="C47" s="2"/>
      <c r="D47" s="2"/>
      <c r="E47" s="2"/>
      <c r="F47" s="2"/>
      <c r="G47" s="2"/>
      <c r="H47" s="2"/>
      <c r="I47" s="2"/>
      <c r="J47" s="559"/>
      <c r="K47" s="212"/>
      <c r="L47" s="212"/>
      <c r="M47" s="21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ht="12.75">
      <c r="A48" s="2"/>
      <c r="B48" s="2"/>
      <c r="C48" s="2"/>
      <c r="D48" s="2"/>
      <c r="E48" s="2"/>
      <c r="F48" s="2"/>
      <c r="G48" s="2"/>
      <c r="H48" s="2"/>
      <c r="I48" s="2"/>
      <c r="J48" s="559"/>
      <c r="K48" s="212"/>
      <c r="L48" s="212"/>
      <c r="M48" s="21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ht="12.75">
      <c r="A49" s="2"/>
      <c r="B49" s="2"/>
      <c r="C49" s="2"/>
      <c r="D49" s="2"/>
      <c r="E49" s="2"/>
      <c r="F49" s="2"/>
      <c r="G49" s="2"/>
      <c r="H49" s="2"/>
      <c r="I49" s="2"/>
      <c r="J49" s="559"/>
      <c r="K49" s="212"/>
      <c r="L49" s="212"/>
      <c r="M49" s="21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ht="12.75">
      <c r="A50" s="2"/>
      <c r="B50" s="2"/>
      <c r="C50" s="2"/>
      <c r="D50" s="2"/>
      <c r="E50" s="2"/>
      <c r="F50" s="2"/>
      <c r="G50" s="2"/>
      <c r="H50" s="2"/>
      <c r="I50" s="2"/>
      <c r="J50" s="559"/>
      <c r="K50" s="212"/>
      <c r="L50" s="212"/>
      <c r="M50" s="21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ht="12.75">
      <c r="A51" s="2"/>
      <c r="B51" s="2"/>
      <c r="C51" s="2"/>
      <c r="D51" s="2"/>
      <c r="E51" s="2"/>
      <c r="F51" s="2"/>
      <c r="G51" s="2"/>
      <c r="H51" s="2"/>
      <c r="I51" s="2"/>
      <c r="J51" s="559"/>
      <c r="K51" s="212"/>
      <c r="L51" s="212"/>
      <c r="M51" s="21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ht="12.75">
      <c r="A52" s="2"/>
      <c r="B52" s="2"/>
      <c r="C52" s="2"/>
      <c r="D52" s="2"/>
      <c r="E52" s="2"/>
      <c r="F52" s="2"/>
      <c r="G52" s="2"/>
      <c r="H52" s="2"/>
      <c r="I52" s="2"/>
      <c r="J52" s="559"/>
      <c r="K52" s="212"/>
      <c r="L52" s="212"/>
      <c r="M52" s="21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 ht="12.75">
      <c r="A53" s="2"/>
      <c r="B53" s="2"/>
      <c r="C53" s="2"/>
      <c r="D53" s="2"/>
      <c r="E53" s="2"/>
      <c r="F53" s="2"/>
      <c r="G53" s="2"/>
      <c r="H53" s="2"/>
      <c r="I53" s="2"/>
      <c r="J53" s="559"/>
      <c r="K53" s="212"/>
      <c r="L53" s="212"/>
      <c r="M53" s="21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ht="12.75">
      <c r="A54" s="2"/>
      <c r="B54" s="2"/>
      <c r="C54" s="2"/>
      <c r="D54" s="2"/>
      <c r="E54" s="2"/>
      <c r="F54" s="2"/>
      <c r="G54" s="2"/>
      <c r="H54" s="2"/>
      <c r="I54" s="2"/>
      <c r="J54" s="559"/>
      <c r="K54" s="212"/>
      <c r="L54" s="212"/>
      <c r="M54" s="21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 ht="12.75">
      <c r="A55" s="2"/>
      <c r="B55" s="2"/>
      <c r="C55" s="2"/>
      <c r="D55" s="2"/>
      <c r="E55" s="2"/>
      <c r="F55" s="2"/>
      <c r="G55" s="2"/>
      <c r="H55" s="2"/>
      <c r="I55" s="2"/>
      <c r="J55" s="559"/>
      <c r="K55" s="212"/>
      <c r="L55" s="212"/>
      <c r="M55" s="21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ht="12.75">
      <c r="A56" s="2"/>
      <c r="B56" s="2"/>
      <c r="C56" s="2"/>
      <c r="D56" s="2"/>
      <c r="E56" s="2"/>
      <c r="F56" s="2"/>
      <c r="G56" s="2"/>
      <c r="H56" s="2"/>
      <c r="I56" s="2"/>
      <c r="J56" s="559"/>
      <c r="K56" s="212"/>
      <c r="L56" s="212"/>
      <c r="M56" s="21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4" ht="12.75">
      <c r="A57" s="2"/>
      <c r="B57" s="2"/>
      <c r="C57" s="2"/>
      <c r="D57" s="2"/>
      <c r="E57" s="2"/>
      <c r="F57" s="2"/>
      <c r="G57" s="2"/>
      <c r="H57" s="2"/>
      <c r="I57" s="2"/>
      <c r="J57" s="559"/>
      <c r="K57" s="212"/>
      <c r="L57" s="212"/>
      <c r="M57" s="21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4" ht="12.75">
      <c r="A58" s="2"/>
      <c r="B58" s="2"/>
      <c r="C58" s="2"/>
      <c r="D58" s="2"/>
      <c r="E58" s="2"/>
      <c r="F58" s="2"/>
      <c r="G58" s="2"/>
      <c r="H58" s="2"/>
      <c r="I58" s="2"/>
      <c r="J58" s="559"/>
      <c r="K58" s="212"/>
      <c r="L58" s="212"/>
      <c r="M58" s="21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 ht="12.75">
      <c r="A59" s="2"/>
      <c r="B59" s="2"/>
      <c r="C59" s="2"/>
      <c r="D59" s="2"/>
      <c r="E59" s="2"/>
      <c r="F59" s="2"/>
      <c r="G59" s="2"/>
      <c r="H59" s="2"/>
      <c r="I59" s="2"/>
      <c r="J59" s="559"/>
      <c r="K59" s="212"/>
      <c r="L59" s="212"/>
      <c r="M59" s="21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4" ht="12.75">
      <c r="A60" s="2"/>
      <c r="B60" s="2"/>
      <c r="C60" s="2"/>
      <c r="D60" s="2"/>
      <c r="E60" s="2"/>
      <c r="F60" s="2"/>
      <c r="G60" s="2"/>
      <c r="H60" s="2"/>
      <c r="I60" s="2"/>
      <c r="J60" s="559"/>
      <c r="K60" s="212"/>
      <c r="L60" s="212"/>
      <c r="M60" s="21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1:24" ht="12.75">
      <c r="A61" s="2"/>
      <c r="B61" s="2"/>
      <c r="C61" s="2"/>
      <c r="D61" s="2"/>
      <c r="E61" s="2"/>
      <c r="F61" s="2"/>
      <c r="G61" s="2"/>
      <c r="H61" s="2"/>
      <c r="I61" s="2"/>
      <c r="J61" s="559"/>
      <c r="K61" s="212"/>
      <c r="L61" s="212"/>
      <c r="M61" s="21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24" ht="12.75">
      <c r="A62" s="2"/>
      <c r="B62" s="2"/>
      <c r="C62" s="2"/>
      <c r="D62" s="2"/>
      <c r="E62" s="2"/>
      <c r="F62" s="2"/>
      <c r="G62" s="2"/>
      <c r="H62" s="2"/>
      <c r="I62" s="2"/>
      <c r="J62" s="559"/>
      <c r="K62" s="212"/>
      <c r="L62" s="212"/>
      <c r="M62" s="21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4" ht="12.75">
      <c r="A63" s="2"/>
      <c r="B63" s="2"/>
      <c r="C63" s="2"/>
      <c r="D63" s="2"/>
      <c r="E63" s="2"/>
      <c r="F63" s="2"/>
      <c r="G63" s="2"/>
      <c r="H63" s="2"/>
      <c r="I63" s="2"/>
      <c r="J63" s="559"/>
      <c r="K63" s="212"/>
      <c r="L63" s="212"/>
      <c r="M63" s="21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 ht="12.75">
      <c r="A64" s="2"/>
      <c r="B64" s="2"/>
      <c r="C64" s="2"/>
      <c r="D64" s="2"/>
      <c r="E64" s="2"/>
      <c r="F64" s="2"/>
      <c r="G64" s="2"/>
      <c r="H64" s="2"/>
      <c r="I64" s="2"/>
      <c r="J64" s="559"/>
      <c r="K64" s="212"/>
      <c r="L64" s="212"/>
      <c r="M64" s="21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1:24" ht="12.75">
      <c r="A65" s="2"/>
      <c r="B65" s="2"/>
      <c r="C65" s="2"/>
      <c r="D65" s="2"/>
      <c r="E65" s="2"/>
      <c r="F65" s="2"/>
      <c r="G65" s="2"/>
      <c r="H65" s="2"/>
      <c r="I65" s="2"/>
      <c r="J65" s="559"/>
      <c r="K65" s="212"/>
      <c r="L65" s="212"/>
      <c r="M65" s="21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1:24" ht="12.75">
      <c r="A66" s="2"/>
      <c r="B66" s="2"/>
      <c r="C66" s="2"/>
      <c r="D66" s="2"/>
      <c r="E66" s="2"/>
      <c r="F66" s="2"/>
      <c r="G66" s="2"/>
      <c r="H66" s="2"/>
      <c r="I66" s="2"/>
      <c r="J66" s="559"/>
      <c r="K66" s="212"/>
      <c r="L66" s="212"/>
      <c r="M66" s="21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24" ht="12.75">
      <c r="A67" s="2"/>
      <c r="B67" s="2"/>
      <c r="C67" s="2"/>
      <c r="D67" s="2"/>
      <c r="E67" s="2"/>
      <c r="F67" s="2"/>
      <c r="G67" s="2"/>
      <c r="H67" s="2"/>
      <c r="I67" s="2"/>
      <c r="J67" s="559"/>
      <c r="K67" s="212"/>
      <c r="L67" s="212"/>
      <c r="M67" s="21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1:24" ht="12.75">
      <c r="A68" s="2"/>
      <c r="B68" s="2"/>
      <c r="C68" s="2"/>
      <c r="D68" s="2"/>
      <c r="E68" s="2"/>
      <c r="F68" s="2"/>
      <c r="G68" s="2"/>
      <c r="H68" s="2"/>
      <c r="I68" s="2"/>
      <c r="J68" s="559"/>
      <c r="K68" s="212"/>
      <c r="L68" s="212"/>
      <c r="M68" s="21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1:24" ht="12.75">
      <c r="A69" s="2"/>
      <c r="B69" s="2"/>
      <c r="C69" s="2"/>
      <c r="D69" s="2"/>
      <c r="E69" s="2"/>
      <c r="F69" s="2"/>
      <c r="G69" s="2"/>
      <c r="H69" s="2"/>
      <c r="I69" s="2"/>
      <c r="J69" s="559"/>
      <c r="K69" s="212"/>
      <c r="L69" s="212"/>
      <c r="M69" s="21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1:24" ht="12.75">
      <c r="A70" s="2"/>
      <c r="B70" s="2"/>
      <c r="C70" s="2"/>
      <c r="D70" s="2"/>
      <c r="E70" s="2"/>
      <c r="F70" s="2"/>
      <c r="G70" s="2"/>
      <c r="H70" s="2"/>
      <c r="I70" s="2"/>
      <c r="J70" s="559"/>
      <c r="K70" s="212"/>
      <c r="L70" s="212"/>
      <c r="M70" s="21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1:24" ht="12.75">
      <c r="A71" s="2"/>
      <c r="B71" s="2"/>
      <c r="C71" s="2"/>
      <c r="D71" s="2"/>
      <c r="E71" s="2"/>
      <c r="F71" s="2"/>
      <c r="G71" s="2"/>
      <c r="H71" s="2"/>
      <c r="I71" s="2"/>
      <c r="J71" s="559"/>
      <c r="K71" s="212"/>
      <c r="L71" s="212"/>
      <c r="M71" s="21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:24" ht="12.75">
      <c r="A72" s="2"/>
      <c r="B72" s="2"/>
      <c r="C72" s="2"/>
      <c r="D72" s="2"/>
      <c r="E72" s="2"/>
      <c r="F72" s="2"/>
      <c r="G72" s="2"/>
      <c r="H72" s="2"/>
      <c r="I72" s="2"/>
      <c r="J72" s="559"/>
      <c r="K72" s="212"/>
      <c r="L72" s="212"/>
      <c r="M72" s="21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1:24" ht="12.75">
      <c r="A73" s="2"/>
      <c r="B73" s="2"/>
      <c r="C73" s="2"/>
      <c r="D73" s="2"/>
      <c r="E73" s="2"/>
      <c r="F73" s="2"/>
      <c r="G73" s="2"/>
      <c r="H73" s="2"/>
      <c r="I73" s="2"/>
      <c r="J73" s="559"/>
      <c r="K73" s="212"/>
      <c r="L73" s="212"/>
      <c r="M73" s="21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4" ht="12.75">
      <c r="A74" s="2"/>
      <c r="B74" s="2"/>
      <c r="C74" s="2"/>
      <c r="D74" s="2"/>
      <c r="E74" s="2"/>
      <c r="F74" s="2"/>
      <c r="G74" s="2"/>
      <c r="H74" s="2"/>
      <c r="I74" s="2"/>
      <c r="J74" s="559"/>
      <c r="K74" s="212"/>
      <c r="L74" s="212"/>
      <c r="M74" s="21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4" ht="12.75">
      <c r="A75" s="2"/>
      <c r="B75" s="2"/>
      <c r="C75" s="2"/>
      <c r="D75" s="2"/>
      <c r="E75" s="2"/>
      <c r="F75" s="2"/>
      <c r="G75" s="2"/>
      <c r="H75" s="2"/>
      <c r="I75" s="2"/>
      <c r="J75" s="559"/>
      <c r="K75" s="212"/>
      <c r="L75" s="212"/>
      <c r="M75" s="21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4" ht="12.75">
      <c r="A76" s="2"/>
      <c r="B76" s="2"/>
      <c r="C76" s="2"/>
      <c r="D76" s="2"/>
      <c r="E76" s="2"/>
      <c r="F76" s="2"/>
      <c r="G76" s="2"/>
      <c r="H76" s="2"/>
      <c r="I76" s="2"/>
      <c r="J76" s="559"/>
      <c r="K76" s="212"/>
      <c r="L76" s="212"/>
      <c r="M76" s="21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1:24" ht="12.75">
      <c r="A77" s="2"/>
      <c r="B77" s="2"/>
      <c r="C77" s="2"/>
      <c r="D77" s="2"/>
      <c r="E77" s="2"/>
      <c r="F77" s="2"/>
      <c r="G77" s="2"/>
      <c r="H77" s="2"/>
      <c r="I77" s="2"/>
      <c r="J77" s="559"/>
      <c r="K77" s="212"/>
      <c r="L77" s="212"/>
      <c r="M77" s="21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1:24" ht="12.75">
      <c r="A78" s="2"/>
      <c r="B78" s="2"/>
      <c r="C78" s="2"/>
      <c r="D78" s="2"/>
      <c r="E78" s="2"/>
      <c r="F78" s="2"/>
      <c r="G78" s="2"/>
      <c r="H78" s="2"/>
      <c r="I78" s="2"/>
      <c r="J78" s="559"/>
      <c r="K78" s="212"/>
      <c r="L78" s="212"/>
      <c r="M78" s="21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1:24" ht="12.75">
      <c r="A79" s="2"/>
      <c r="B79" s="2"/>
      <c r="C79" s="2"/>
      <c r="D79" s="2"/>
      <c r="E79" s="2"/>
      <c r="F79" s="2"/>
      <c r="G79" s="2"/>
      <c r="H79" s="2"/>
      <c r="I79" s="2"/>
      <c r="J79" s="559"/>
      <c r="K79" s="212"/>
      <c r="L79" s="212"/>
      <c r="M79" s="21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1:24" ht="12.75">
      <c r="A80" s="2"/>
      <c r="B80" s="2"/>
      <c r="C80" s="2"/>
      <c r="D80" s="2"/>
      <c r="E80" s="2"/>
      <c r="F80" s="2"/>
      <c r="G80" s="2"/>
      <c r="H80" s="2"/>
      <c r="I80" s="2"/>
      <c r="J80" s="559"/>
      <c r="K80" s="212"/>
      <c r="L80" s="212"/>
      <c r="M80" s="21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1:24" ht="12.75">
      <c r="A81" s="2"/>
      <c r="B81" s="2"/>
      <c r="C81" s="2"/>
      <c r="D81" s="2"/>
      <c r="E81" s="2"/>
      <c r="F81" s="2"/>
      <c r="G81" s="2"/>
      <c r="H81" s="2"/>
      <c r="I81" s="2"/>
      <c r="J81" s="559"/>
      <c r="K81" s="212"/>
      <c r="L81" s="212"/>
      <c r="M81" s="21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1:24" ht="12.75">
      <c r="A82" s="2"/>
      <c r="B82" s="2"/>
      <c r="C82" s="2"/>
      <c r="D82" s="2"/>
      <c r="E82" s="2"/>
      <c r="F82" s="2"/>
      <c r="G82" s="2"/>
      <c r="H82" s="2"/>
      <c r="I82" s="2"/>
      <c r="J82" s="559"/>
      <c r="K82" s="212"/>
      <c r="L82" s="212"/>
      <c r="M82" s="21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1:24" ht="12.75">
      <c r="A83" s="2"/>
      <c r="B83" s="2"/>
      <c r="C83" s="2"/>
      <c r="D83" s="2"/>
      <c r="E83" s="2"/>
      <c r="F83" s="2"/>
      <c r="G83" s="2"/>
      <c r="H83" s="2"/>
      <c r="I83" s="2"/>
      <c r="J83" s="559"/>
      <c r="K83" s="212"/>
      <c r="L83" s="212"/>
      <c r="M83" s="21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1:24" ht="12.75">
      <c r="A84" s="2"/>
      <c r="B84" s="2"/>
      <c r="C84" s="2"/>
      <c r="D84" s="2"/>
      <c r="E84" s="2"/>
      <c r="F84" s="2"/>
      <c r="G84" s="2"/>
      <c r="H84" s="2"/>
      <c r="I84" s="2"/>
      <c r="J84" s="559"/>
      <c r="K84" s="212"/>
      <c r="L84" s="212"/>
      <c r="M84" s="21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1:24" ht="12.75">
      <c r="A85" s="2"/>
      <c r="B85" s="2"/>
      <c r="C85" s="2"/>
      <c r="D85" s="2"/>
      <c r="E85" s="2"/>
      <c r="F85" s="2"/>
      <c r="G85" s="2"/>
      <c r="H85" s="2"/>
      <c r="I85" s="2"/>
      <c r="J85" s="559"/>
      <c r="K85" s="212"/>
      <c r="L85" s="212"/>
      <c r="M85" s="21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1:24" ht="12.75">
      <c r="A86" s="2"/>
      <c r="B86" s="2"/>
      <c r="C86" s="2"/>
      <c r="D86" s="2"/>
      <c r="E86" s="2"/>
      <c r="F86" s="2"/>
      <c r="G86" s="2"/>
      <c r="H86" s="2"/>
      <c r="I86" s="2"/>
      <c r="J86" s="559"/>
      <c r="K86" s="212"/>
      <c r="L86" s="212"/>
      <c r="M86" s="21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pans="1:24" ht="12.75">
      <c r="A87" s="2"/>
      <c r="B87" s="2"/>
      <c r="C87" s="2"/>
      <c r="D87" s="2"/>
      <c r="E87" s="2"/>
      <c r="F87" s="2"/>
      <c r="G87" s="2"/>
      <c r="H87" s="2"/>
      <c r="I87" s="2"/>
      <c r="J87" s="559"/>
      <c r="K87" s="212"/>
      <c r="L87" s="212"/>
      <c r="M87" s="21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1:24" ht="12.75">
      <c r="A88" s="2"/>
      <c r="B88" s="2"/>
      <c r="C88" s="2"/>
      <c r="D88" s="2"/>
      <c r="E88" s="2"/>
      <c r="F88" s="2"/>
      <c r="G88" s="2"/>
      <c r="H88" s="2"/>
      <c r="I88" s="2"/>
      <c r="J88" s="559"/>
      <c r="K88" s="212"/>
      <c r="L88" s="212"/>
      <c r="M88" s="21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1:24" ht="12.75">
      <c r="A89" s="2"/>
      <c r="B89" s="2"/>
      <c r="C89" s="2"/>
      <c r="D89" s="2"/>
      <c r="E89" s="2"/>
      <c r="F89" s="2"/>
      <c r="G89" s="2"/>
      <c r="H89" s="2"/>
      <c r="I89" s="2"/>
      <c r="J89" s="559"/>
      <c r="K89" s="212"/>
      <c r="L89" s="212"/>
      <c r="M89" s="21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1:24" ht="12.75">
      <c r="A90" s="2"/>
      <c r="B90" s="2"/>
      <c r="C90" s="2"/>
      <c r="D90" s="2"/>
      <c r="E90" s="2"/>
      <c r="F90" s="2"/>
      <c r="G90" s="2"/>
      <c r="H90" s="2"/>
      <c r="I90" s="2"/>
      <c r="J90" s="559"/>
      <c r="K90" s="212"/>
      <c r="L90" s="212"/>
      <c r="M90" s="21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1:24" ht="12.75">
      <c r="A91" s="2"/>
      <c r="B91" s="2"/>
      <c r="C91" s="2"/>
      <c r="D91" s="2"/>
      <c r="E91" s="2"/>
      <c r="F91" s="2"/>
      <c r="G91" s="2"/>
      <c r="H91" s="2"/>
      <c r="I91" s="2"/>
      <c r="J91" s="559"/>
      <c r="K91" s="212"/>
      <c r="L91" s="212"/>
      <c r="M91" s="21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1:24" ht="12.75">
      <c r="A92" s="2"/>
      <c r="B92" s="2"/>
      <c r="C92" s="2"/>
      <c r="D92" s="2"/>
      <c r="E92" s="2"/>
      <c r="F92" s="2"/>
      <c r="G92" s="2"/>
      <c r="H92" s="2"/>
      <c r="I92" s="2"/>
      <c r="J92" s="559"/>
      <c r="K92" s="212"/>
      <c r="L92" s="212"/>
      <c r="M92" s="21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1:24" ht="12.75">
      <c r="A93" s="2"/>
      <c r="B93" s="2"/>
      <c r="C93" s="2"/>
      <c r="D93" s="2"/>
      <c r="E93" s="2"/>
      <c r="F93" s="2"/>
      <c r="G93" s="2"/>
      <c r="H93" s="2"/>
      <c r="I93" s="2"/>
      <c r="J93" s="559"/>
      <c r="K93" s="212"/>
      <c r="L93" s="212"/>
      <c r="M93" s="21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1:24" ht="12.75">
      <c r="A94" s="2"/>
      <c r="B94" s="2"/>
      <c r="C94" s="2"/>
      <c r="D94" s="2"/>
      <c r="E94" s="2"/>
      <c r="F94" s="2"/>
      <c r="G94" s="2"/>
      <c r="H94" s="2"/>
      <c r="I94" s="2"/>
      <c r="J94" s="559"/>
      <c r="K94" s="212"/>
      <c r="L94" s="212"/>
      <c r="M94" s="21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pans="1:24" ht="12.75">
      <c r="A95" s="2"/>
      <c r="B95" s="2"/>
      <c r="C95" s="2"/>
      <c r="D95" s="2"/>
      <c r="E95" s="2"/>
      <c r="F95" s="2"/>
      <c r="G95" s="2"/>
      <c r="H95" s="2"/>
      <c r="I95" s="2"/>
      <c r="J95" s="559"/>
      <c r="K95" s="212"/>
      <c r="L95" s="212"/>
      <c r="M95" s="21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1:24" ht="12.75">
      <c r="A96" s="2"/>
      <c r="B96" s="2"/>
      <c r="C96" s="2"/>
      <c r="D96" s="2"/>
      <c r="E96" s="2"/>
      <c r="F96" s="2"/>
      <c r="G96" s="2"/>
      <c r="H96" s="2"/>
      <c r="I96" s="2"/>
      <c r="J96" s="559"/>
      <c r="K96" s="212"/>
      <c r="L96" s="212"/>
      <c r="M96" s="21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1:24" ht="12.75">
      <c r="A97" s="2"/>
      <c r="B97" s="2"/>
      <c r="C97" s="2"/>
      <c r="D97" s="2"/>
      <c r="E97" s="2"/>
      <c r="F97" s="2"/>
      <c r="G97" s="2"/>
      <c r="H97" s="2"/>
      <c r="I97" s="2"/>
      <c r="J97" s="559"/>
      <c r="K97" s="212"/>
      <c r="L97" s="212"/>
      <c r="M97" s="21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pans="1:24" ht="12.75">
      <c r="A98" s="2"/>
      <c r="B98" s="2"/>
      <c r="C98" s="2"/>
      <c r="D98" s="2"/>
      <c r="E98" s="2"/>
      <c r="F98" s="2"/>
      <c r="G98" s="2"/>
      <c r="H98" s="2"/>
      <c r="I98" s="2"/>
      <c r="J98" s="559"/>
      <c r="K98" s="212"/>
      <c r="L98" s="212"/>
      <c r="M98" s="21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spans="1:24" ht="12.75">
      <c r="A99" s="2"/>
      <c r="B99" s="2"/>
      <c r="C99" s="2"/>
      <c r="D99" s="2"/>
      <c r="E99" s="2"/>
      <c r="F99" s="2"/>
      <c r="G99" s="2"/>
      <c r="H99" s="2"/>
      <c r="I99" s="2"/>
      <c r="J99" s="559"/>
      <c r="K99" s="212"/>
      <c r="L99" s="212"/>
      <c r="M99" s="21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1:24" ht="12.75">
      <c r="A100" s="2"/>
      <c r="B100" s="2"/>
      <c r="C100" s="2"/>
      <c r="D100" s="2"/>
      <c r="E100" s="2"/>
      <c r="F100" s="2"/>
      <c r="G100" s="2"/>
      <c r="H100" s="2"/>
      <c r="I100" s="2"/>
      <c r="J100" s="559"/>
      <c r="K100" s="212"/>
      <c r="L100" s="212"/>
      <c r="M100" s="21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spans="1:24" ht="12.75">
      <c r="A101" s="2"/>
      <c r="B101" s="2"/>
      <c r="C101" s="2"/>
      <c r="D101" s="2"/>
      <c r="E101" s="2"/>
      <c r="F101" s="2"/>
      <c r="G101" s="2"/>
      <c r="H101" s="2"/>
      <c r="I101" s="2"/>
      <c r="J101" s="559"/>
      <c r="K101" s="212"/>
      <c r="L101" s="212"/>
      <c r="M101" s="21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spans="1:24" ht="12.75">
      <c r="A102" s="2"/>
      <c r="B102" s="2"/>
      <c r="C102" s="2"/>
      <c r="D102" s="2"/>
      <c r="E102" s="2"/>
      <c r="F102" s="2"/>
      <c r="G102" s="2"/>
      <c r="H102" s="2"/>
      <c r="I102" s="2"/>
      <c r="J102" s="559"/>
      <c r="K102" s="212"/>
      <c r="L102" s="212"/>
      <c r="M102" s="21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spans="1:24" ht="12.75">
      <c r="A103" s="2"/>
      <c r="B103" s="2"/>
      <c r="C103" s="2"/>
      <c r="D103" s="2"/>
      <c r="E103" s="2"/>
      <c r="F103" s="2"/>
      <c r="G103" s="2"/>
      <c r="H103" s="2"/>
      <c r="I103" s="2"/>
      <c r="J103" s="559"/>
      <c r="K103" s="212"/>
      <c r="L103" s="212"/>
      <c r="M103" s="21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pans="1:24" ht="12.75">
      <c r="A104" s="2"/>
      <c r="B104" s="2"/>
      <c r="C104" s="2"/>
      <c r="D104" s="2"/>
      <c r="E104" s="2"/>
      <c r="F104" s="2"/>
      <c r="G104" s="2"/>
      <c r="H104" s="2"/>
      <c r="I104" s="2"/>
      <c r="J104" s="559"/>
      <c r="K104" s="212"/>
      <c r="L104" s="212"/>
      <c r="M104" s="21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spans="1:24" ht="12.75">
      <c r="A105" s="2"/>
      <c r="B105" s="2"/>
      <c r="C105" s="2"/>
      <c r="D105" s="2"/>
      <c r="E105" s="2"/>
      <c r="F105" s="2"/>
      <c r="G105" s="2"/>
      <c r="H105" s="2"/>
      <c r="I105" s="2"/>
      <c r="J105" s="559"/>
      <c r="K105" s="212"/>
      <c r="L105" s="212"/>
      <c r="M105" s="21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</row>
    <row r="106" spans="1:24" ht="12.75">
      <c r="A106" s="2"/>
      <c r="B106" s="2"/>
      <c r="C106" s="2"/>
      <c r="D106" s="2"/>
      <c r="E106" s="2"/>
      <c r="F106" s="2"/>
      <c r="G106" s="2"/>
      <c r="H106" s="2"/>
      <c r="I106" s="2"/>
      <c r="J106" s="559"/>
      <c r="K106" s="212"/>
      <c r="L106" s="212"/>
      <c r="M106" s="21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</row>
    <row r="107" spans="1:24" ht="12.75">
      <c r="A107" s="2"/>
      <c r="B107" s="2"/>
      <c r="C107" s="2"/>
      <c r="D107" s="2"/>
      <c r="E107" s="2"/>
      <c r="F107" s="2"/>
      <c r="G107" s="2"/>
      <c r="H107" s="2"/>
      <c r="I107" s="2"/>
      <c r="J107" s="559"/>
      <c r="K107" s="212"/>
      <c r="L107" s="212"/>
      <c r="M107" s="21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spans="1:24" ht="12.75">
      <c r="A108" s="2"/>
      <c r="B108" s="2"/>
      <c r="C108" s="2"/>
      <c r="D108" s="2"/>
      <c r="E108" s="2"/>
      <c r="F108" s="2"/>
      <c r="G108" s="2"/>
      <c r="H108" s="2"/>
      <c r="I108" s="2"/>
      <c r="J108" s="559"/>
      <c r="K108" s="212"/>
      <c r="L108" s="212"/>
      <c r="M108" s="21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</row>
    <row r="109" spans="1:24" ht="12.75">
      <c r="A109" s="2"/>
      <c r="B109" s="2"/>
      <c r="C109" s="2"/>
      <c r="D109" s="2"/>
      <c r="E109" s="2"/>
      <c r="F109" s="2"/>
      <c r="G109" s="2"/>
      <c r="H109" s="2"/>
      <c r="I109" s="2"/>
      <c r="J109" s="559"/>
      <c r="K109" s="212"/>
      <c r="L109" s="212"/>
      <c r="M109" s="21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</row>
    <row r="110" spans="1:24" ht="12.75">
      <c r="A110" s="2"/>
      <c r="B110" s="2"/>
      <c r="C110" s="2"/>
      <c r="D110" s="2"/>
      <c r="E110" s="2"/>
      <c r="F110" s="2"/>
      <c r="G110" s="2"/>
      <c r="H110" s="2"/>
      <c r="I110" s="2"/>
      <c r="J110" s="559"/>
      <c r="K110" s="212"/>
      <c r="L110" s="212"/>
      <c r="M110" s="21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</row>
    <row r="111" spans="1:24" ht="12.75">
      <c r="A111" s="2"/>
      <c r="B111" s="2"/>
      <c r="C111" s="2"/>
      <c r="D111" s="2"/>
      <c r="E111" s="2"/>
      <c r="F111" s="2"/>
      <c r="G111" s="2"/>
      <c r="H111" s="2"/>
      <c r="I111" s="2"/>
      <c r="J111" s="559"/>
      <c r="K111" s="212"/>
      <c r="L111" s="212"/>
      <c r="M111" s="21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</row>
    <row r="112" spans="1:24" ht="12.75">
      <c r="A112" s="2"/>
      <c r="B112" s="2"/>
      <c r="C112" s="2"/>
      <c r="D112" s="2"/>
      <c r="E112" s="2"/>
      <c r="F112" s="2"/>
      <c r="G112" s="2"/>
      <c r="H112" s="2"/>
      <c r="I112" s="2"/>
      <c r="J112" s="559"/>
      <c r="K112" s="212"/>
      <c r="L112" s="212"/>
      <c r="M112" s="21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</row>
    <row r="113" spans="1:24" ht="12.75">
      <c r="A113" s="2"/>
      <c r="B113" s="2"/>
      <c r="C113" s="2"/>
      <c r="D113" s="2"/>
      <c r="E113" s="2"/>
      <c r="F113" s="2"/>
      <c r="G113" s="2"/>
      <c r="H113" s="2"/>
      <c r="I113" s="2"/>
      <c r="J113" s="559"/>
      <c r="K113" s="212"/>
      <c r="L113" s="212"/>
      <c r="M113" s="21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</row>
    <row r="114" spans="1:24" ht="12.75">
      <c r="A114" s="2"/>
      <c r="B114" s="2"/>
      <c r="C114" s="2"/>
      <c r="D114" s="2"/>
      <c r="E114" s="2"/>
      <c r="F114" s="2"/>
      <c r="G114" s="2"/>
      <c r="H114" s="2"/>
      <c r="I114" s="2"/>
      <c r="J114" s="559"/>
      <c r="K114" s="212"/>
      <c r="L114" s="212"/>
      <c r="M114" s="21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</row>
    <row r="115" spans="1:24" ht="12.75">
      <c r="A115" s="2"/>
      <c r="B115" s="2"/>
      <c r="C115" s="2"/>
      <c r="D115" s="2"/>
      <c r="E115" s="2"/>
      <c r="F115" s="2"/>
      <c r="G115" s="2"/>
      <c r="H115" s="2"/>
      <c r="I115" s="2"/>
      <c r="J115" s="559"/>
      <c r="K115" s="212"/>
      <c r="L115" s="212"/>
      <c r="M115" s="21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</row>
    <row r="116" spans="1:24" ht="12.75">
      <c r="A116" s="2"/>
      <c r="B116" s="2"/>
      <c r="C116" s="2"/>
      <c r="D116" s="2"/>
      <c r="E116" s="2"/>
      <c r="F116" s="2"/>
      <c r="G116" s="2"/>
      <c r="H116" s="2"/>
      <c r="I116" s="2"/>
      <c r="J116" s="559"/>
      <c r="K116" s="212"/>
      <c r="L116" s="212"/>
      <c r="M116" s="21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</row>
    <row r="117" spans="1:24" ht="12.75">
      <c r="A117" s="2"/>
      <c r="B117" s="2"/>
      <c r="C117" s="2"/>
      <c r="D117" s="2"/>
      <c r="E117" s="2"/>
      <c r="F117" s="2"/>
      <c r="G117" s="2"/>
      <c r="H117" s="2"/>
      <c r="I117" s="2"/>
      <c r="J117" s="559"/>
      <c r="K117" s="212"/>
      <c r="L117" s="212"/>
      <c r="M117" s="21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</row>
    <row r="118" spans="1:24" ht="12.75">
      <c r="A118" s="2"/>
      <c r="B118" s="2"/>
      <c r="C118" s="2"/>
      <c r="D118" s="2"/>
      <c r="E118" s="2"/>
      <c r="F118" s="2"/>
      <c r="G118" s="2"/>
      <c r="H118" s="2"/>
      <c r="I118" s="2"/>
      <c r="J118" s="559"/>
      <c r="K118" s="212"/>
      <c r="L118" s="212"/>
      <c r="M118" s="21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</row>
    <row r="119" spans="1:24" ht="12.75">
      <c r="A119" s="2"/>
      <c r="B119" s="2"/>
      <c r="C119" s="2"/>
      <c r="D119" s="2"/>
      <c r="E119" s="2"/>
      <c r="F119" s="2"/>
      <c r="G119" s="2"/>
      <c r="H119" s="2"/>
      <c r="I119" s="2"/>
      <c r="J119" s="559"/>
      <c r="K119" s="212"/>
      <c r="L119" s="212"/>
      <c r="M119" s="21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</row>
    <row r="120" spans="1:24" ht="12.75">
      <c r="A120" s="2"/>
      <c r="B120" s="2"/>
      <c r="C120" s="2"/>
      <c r="D120" s="2"/>
      <c r="E120" s="2"/>
      <c r="F120" s="2"/>
      <c r="G120" s="2"/>
      <c r="H120" s="2"/>
      <c r="I120" s="2"/>
      <c r="J120" s="559"/>
      <c r="K120" s="212"/>
      <c r="L120" s="212"/>
      <c r="M120" s="21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</row>
    <row r="121" spans="1:24" ht="12.75">
      <c r="A121" s="2"/>
      <c r="B121" s="2"/>
      <c r="C121" s="2"/>
      <c r="D121" s="2"/>
      <c r="E121" s="2"/>
      <c r="F121" s="2"/>
      <c r="G121" s="2"/>
      <c r="H121" s="2"/>
      <c r="I121" s="2"/>
      <c r="J121" s="559"/>
      <c r="K121" s="212"/>
      <c r="L121" s="212"/>
      <c r="M121" s="21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</row>
    <row r="122" spans="1:24" ht="12.75">
      <c r="A122" s="2"/>
      <c r="B122" s="2"/>
      <c r="C122" s="2"/>
      <c r="D122" s="2"/>
      <c r="E122" s="2"/>
      <c r="F122" s="2"/>
      <c r="G122" s="2"/>
      <c r="H122" s="2"/>
      <c r="I122" s="2"/>
      <c r="J122" s="559"/>
      <c r="K122" s="212"/>
      <c r="L122" s="212"/>
      <c r="M122" s="21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</row>
    <row r="123" spans="1:24" ht="12.75">
      <c r="A123" s="2"/>
      <c r="B123" s="2"/>
      <c r="C123" s="2"/>
      <c r="D123" s="2"/>
      <c r="E123" s="2"/>
      <c r="F123" s="2"/>
      <c r="G123" s="2"/>
      <c r="H123" s="2"/>
      <c r="I123" s="2"/>
      <c r="J123" s="559"/>
      <c r="K123" s="212"/>
      <c r="L123" s="212"/>
      <c r="M123" s="21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</row>
    <row r="124" spans="1:24" ht="12.75">
      <c r="A124" s="2"/>
      <c r="B124" s="2"/>
      <c r="C124" s="2"/>
      <c r="D124" s="2"/>
      <c r="E124" s="2"/>
      <c r="F124" s="2"/>
      <c r="G124" s="2"/>
      <c r="H124" s="2"/>
      <c r="I124" s="2"/>
      <c r="J124" s="559"/>
      <c r="K124" s="212"/>
      <c r="L124" s="212"/>
      <c r="M124" s="21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</row>
    <row r="125" spans="1:24" ht="12.75">
      <c r="A125" s="2"/>
      <c r="B125" s="2"/>
      <c r="C125" s="2"/>
      <c r="D125" s="2"/>
      <c r="E125" s="2"/>
      <c r="F125" s="2"/>
      <c r="G125" s="2"/>
      <c r="H125" s="2"/>
      <c r="I125" s="2"/>
      <c r="J125" s="559"/>
      <c r="K125" s="212"/>
      <c r="L125" s="212"/>
      <c r="M125" s="21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</row>
    <row r="126" spans="1:24" ht="12.75">
      <c r="A126" s="2"/>
      <c r="B126" s="2"/>
      <c r="C126" s="2"/>
      <c r="D126" s="2"/>
      <c r="E126" s="2"/>
      <c r="F126" s="2"/>
      <c r="G126" s="2"/>
      <c r="H126" s="2"/>
      <c r="I126" s="2"/>
      <c r="J126" s="559"/>
      <c r="K126" s="212"/>
      <c r="L126" s="212"/>
      <c r="M126" s="21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</row>
    <row r="127" spans="1:24" ht="12.75">
      <c r="A127" s="2"/>
      <c r="B127" s="2"/>
      <c r="C127" s="2"/>
      <c r="D127" s="2"/>
      <c r="E127" s="2"/>
      <c r="F127" s="2"/>
      <c r="G127" s="2"/>
      <c r="H127" s="2"/>
      <c r="I127" s="2"/>
      <c r="J127" s="559"/>
      <c r="K127" s="212"/>
      <c r="L127" s="212"/>
      <c r="M127" s="21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</row>
    <row r="128" spans="1:24" ht="12.75">
      <c r="A128" s="2"/>
      <c r="B128" s="2"/>
      <c r="C128" s="2"/>
      <c r="D128" s="2"/>
      <c r="E128" s="2"/>
      <c r="F128" s="2"/>
      <c r="G128" s="2"/>
      <c r="H128" s="2"/>
      <c r="I128" s="2"/>
      <c r="J128" s="559"/>
      <c r="K128" s="212"/>
      <c r="L128" s="212"/>
      <c r="M128" s="21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</row>
    <row r="129" spans="1:24" ht="12.75">
      <c r="A129" s="2"/>
      <c r="B129" s="2"/>
      <c r="C129" s="2"/>
      <c r="D129" s="2"/>
      <c r="E129" s="2"/>
      <c r="F129" s="2"/>
      <c r="G129" s="2"/>
      <c r="H129" s="2"/>
      <c r="I129" s="2"/>
      <c r="J129" s="559"/>
      <c r="K129" s="212"/>
      <c r="L129" s="212"/>
      <c r="M129" s="21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</row>
    <row r="130" spans="1:24" ht="12.75">
      <c r="A130" s="2"/>
      <c r="B130" s="2"/>
      <c r="C130" s="2"/>
      <c r="D130" s="2"/>
      <c r="E130" s="2"/>
      <c r="F130" s="2"/>
      <c r="G130" s="2"/>
      <c r="H130" s="2"/>
      <c r="I130" s="2"/>
      <c r="J130" s="559"/>
      <c r="K130" s="212"/>
      <c r="L130" s="212"/>
      <c r="M130" s="21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</row>
    <row r="131" spans="1:24" ht="12.75">
      <c r="A131" s="2"/>
      <c r="B131" s="2"/>
      <c r="C131" s="2"/>
      <c r="D131" s="2"/>
      <c r="E131" s="2"/>
      <c r="F131" s="2"/>
      <c r="G131" s="2"/>
      <c r="H131" s="2"/>
      <c r="I131" s="2"/>
      <c r="J131" s="559"/>
      <c r="K131" s="212"/>
      <c r="L131" s="212"/>
      <c r="M131" s="21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</row>
    <row r="132" spans="1:24" ht="12.75">
      <c r="A132" s="2"/>
      <c r="B132" s="2"/>
      <c r="C132" s="2"/>
      <c r="D132" s="2"/>
      <c r="E132" s="2"/>
      <c r="F132" s="2"/>
      <c r="G132" s="2"/>
      <c r="H132" s="2"/>
      <c r="I132" s="2"/>
      <c r="J132" s="559"/>
      <c r="K132" s="212"/>
      <c r="L132" s="212"/>
      <c r="M132" s="21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</row>
    <row r="133" spans="1:24" ht="12.75">
      <c r="A133" s="2"/>
      <c r="B133" s="2"/>
      <c r="C133" s="2"/>
      <c r="D133" s="2"/>
      <c r="E133" s="2"/>
      <c r="F133" s="2"/>
      <c r="G133" s="2"/>
      <c r="H133" s="2"/>
      <c r="I133" s="2"/>
      <c r="J133" s="559"/>
      <c r="K133" s="212"/>
      <c r="L133" s="212"/>
      <c r="M133" s="21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</row>
    <row r="134" spans="1:24" ht="12.75">
      <c r="A134" s="2"/>
      <c r="B134" s="2"/>
      <c r="C134" s="2"/>
      <c r="D134" s="2"/>
      <c r="E134" s="2"/>
      <c r="F134" s="2"/>
      <c r="G134" s="2"/>
      <c r="H134" s="2"/>
      <c r="I134" s="2"/>
      <c r="J134" s="559"/>
      <c r="K134" s="212"/>
      <c r="L134" s="212"/>
      <c r="M134" s="21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</row>
    <row r="135" spans="1:24" ht="12.75">
      <c r="A135" s="2"/>
      <c r="B135" s="2"/>
      <c r="C135" s="2"/>
      <c r="D135" s="2"/>
      <c r="E135" s="2"/>
      <c r="F135" s="2"/>
      <c r="G135" s="2"/>
      <c r="H135" s="2"/>
      <c r="I135" s="2"/>
      <c r="J135" s="559"/>
      <c r="K135" s="212"/>
      <c r="L135" s="212"/>
      <c r="M135" s="21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</row>
    <row r="136" spans="1:24" ht="12.75">
      <c r="A136" s="2"/>
      <c r="B136" s="2"/>
      <c r="C136" s="2"/>
      <c r="D136" s="2"/>
      <c r="E136" s="2"/>
      <c r="F136" s="2"/>
      <c r="G136" s="2"/>
      <c r="H136" s="2"/>
      <c r="I136" s="2"/>
      <c r="J136" s="559"/>
      <c r="K136" s="212"/>
      <c r="L136" s="212"/>
      <c r="M136" s="21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</row>
    <row r="137" spans="1:24" ht="12.75">
      <c r="A137" s="2"/>
      <c r="B137" s="2"/>
      <c r="C137" s="2"/>
      <c r="D137" s="2"/>
      <c r="E137" s="2"/>
      <c r="F137" s="2"/>
      <c r="G137" s="2"/>
      <c r="H137" s="2"/>
      <c r="I137" s="2"/>
      <c r="J137" s="559"/>
      <c r="K137" s="212"/>
      <c r="L137" s="212"/>
      <c r="M137" s="21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</row>
    <row r="138" spans="1:24" ht="12.75">
      <c r="A138" s="2"/>
      <c r="B138" s="2"/>
      <c r="C138" s="2"/>
      <c r="D138" s="2"/>
      <c r="E138" s="2"/>
      <c r="F138" s="2"/>
      <c r="G138" s="2"/>
      <c r="H138" s="2"/>
      <c r="I138" s="2"/>
      <c r="J138" s="559"/>
      <c r="K138" s="212"/>
      <c r="L138" s="212"/>
      <c r="M138" s="21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</row>
    <row r="139" spans="1:24" ht="12.75">
      <c r="A139" s="2"/>
      <c r="B139" s="2"/>
      <c r="C139" s="2"/>
      <c r="D139" s="2"/>
      <c r="E139" s="2"/>
      <c r="F139" s="2"/>
      <c r="G139" s="2"/>
      <c r="H139" s="2"/>
      <c r="I139" s="2"/>
      <c r="J139" s="559"/>
      <c r="K139" s="212"/>
      <c r="L139" s="212"/>
      <c r="M139" s="21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</row>
    <row r="140" spans="1:24" ht="12.75">
      <c r="A140" s="2"/>
      <c r="B140" s="2"/>
      <c r="C140" s="2"/>
      <c r="D140" s="2"/>
      <c r="E140" s="2"/>
      <c r="F140" s="2"/>
      <c r="G140" s="2"/>
      <c r="H140" s="2"/>
      <c r="I140" s="2"/>
      <c r="J140" s="559"/>
      <c r="K140" s="212"/>
      <c r="L140" s="212"/>
      <c r="M140" s="21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</row>
    <row r="141" spans="1:24" ht="12.75">
      <c r="A141" s="2"/>
      <c r="B141" s="2"/>
      <c r="C141" s="2"/>
      <c r="D141" s="2"/>
      <c r="E141" s="2"/>
      <c r="F141" s="2"/>
      <c r="G141" s="2"/>
      <c r="H141" s="2"/>
      <c r="I141" s="2"/>
      <c r="J141" s="559"/>
      <c r="K141" s="212"/>
      <c r="L141" s="212"/>
      <c r="M141" s="21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</row>
    <row r="142" spans="1:24" ht="12.75">
      <c r="A142" s="2"/>
      <c r="B142" s="2"/>
      <c r="C142" s="2"/>
      <c r="D142" s="2"/>
      <c r="E142" s="2"/>
      <c r="F142" s="2"/>
      <c r="G142" s="2"/>
      <c r="H142" s="2"/>
      <c r="I142" s="2"/>
      <c r="J142" s="559"/>
      <c r="K142" s="212"/>
      <c r="L142" s="212"/>
      <c r="M142" s="21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</row>
    <row r="143" spans="1:24" ht="12.75">
      <c r="A143" s="2"/>
      <c r="B143" s="2"/>
      <c r="C143" s="2"/>
      <c r="D143" s="2"/>
      <c r="E143" s="2"/>
      <c r="F143" s="2"/>
      <c r="G143" s="2"/>
      <c r="H143" s="2"/>
      <c r="I143" s="2"/>
      <c r="J143" s="559"/>
      <c r="K143" s="212"/>
      <c r="L143" s="212"/>
      <c r="M143" s="21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</row>
    <row r="144" spans="1:24" ht="12.75">
      <c r="A144" s="2"/>
      <c r="B144" s="2"/>
      <c r="C144" s="2"/>
      <c r="D144" s="2"/>
      <c r="E144" s="2"/>
      <c r="F144" s="2"/>
      <c r="G144" s="2"/>
      <c r="H144" s="2"/>
      <c r="I144" s="2"/>
      <c r="J144" s="559"/>
      <c r="K144" s="212"/>
      <c r="L144" s="212"/>
      <c r="M144" s="21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</row>
    <row r="145" spans="1:24" ht="12.75">
      <c r="A145" s="2"/>
      <c r="B145" s="2"/>
      <c r="C145" s="2"/>
      <c r="D145" s="2"/>
      <c r="E145" s="2"/>
      <c r="F145" s="2"/>
      <c r="G145" s="2"/>
      <c r="H145" s="2"/>
      <c r="I145" s="2"/>
      <c r="J145" s="559"/>
      <c r="K145" s="212"/>
      <c r="L145" s="212"/>
      <c r="M145" s="21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</row>
    <row r="146" spans="1:24" ht="12.75">
      <c r="A146" s="2"/>
      <c r="B146" s="2"/>
      <c r="C146" s="2"/>
      <c r="D146" s="2"/>
      <c r="E146" s="2"/>
      <c r="F146" s="2"/>
      <c r="G146" s="2"/>
      <c r="H146" s="2"/>
      <c r="I146" s="2"/>
      <c r="J146" s="559"/>
      <c r="K146" s="212"/>
      <c r="L146" s="212"/>
      <c r="M146" s="21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</row>
    <row r="147" spans="1:24" ht="12.75">
      <c r="A147" s="2"/>
      <c r="B147" s="2"/>
      <c r="C147" s="2"/>
      <c r="D147" s="2"/>
      <c r="E147" s="2"/>
      <c r="F147" s="2"/>
      <c r="G147" s="2"/>
      <c r="H147" s="2"/>
      <c r="I147" s="2"/>
      <c r="J147" s="559"/>
      <c r="K147" s="212"/>
      <c r="L147" s="212"/>
      <c r="M147" s="21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</row>
    <row r="148" spans="1:24" ht="12.75">
      <c r="A148" s="2"/>
      <c r="B148" s="2"/>
      <c r="C148" s="2"/>
      <c r="D148" s="2"/>
      <c r="E148" s="2"/>
      <c r="F148" s="2"/>
      <c r="G148" s="2"/>
      <c r="H148" s="2"/>
      <c r="I148" s="2"/>
      <c r="J148" s="559"/>
      <c r="K148" s="212"/>
      <c r="L148" s="212"/>
      <c r="M148" s="21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</row>
    <row r="149" spans="1:24" ht="12.75">
      <c r="A149" s="2"/>
      <c r="B149" s="2"/>
      <c r="C149" s="2"/>
      <c r="D149" s="2"/>
      <c r="E149" s="2"/>
      <c r="F149" s="2"/>
      <c r="G149" s="2"/>
      <c r="H149" s="2"/>
      <c r="I149" s="2"/>
      <c r="J149" s="559"/>
      <c r="K149" s="212"/>
      <c r="L149" s="212"/>
      <c r="M149" s="21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</row>
    <row r="150" spans="1:24" ht="12.75">
      <c r="A150" s="2"/>
      <c r="B150" s="2"/>
      <c r="C150" s="2"/>
      <c r="D150" s="2"/>
      <c r="E150" s="2"/>
      <c r="F150" s="2"/>
      <c r="G150" s="2"/>
      <c r="H150" s="2"/>
      <c r="I150" s="2"/>
      <c r="J150" s="559"/>
      <c r="K150" s="212"/>
      <c r="L150" s="212"/>
      <c r="M150" s="21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</row>
    <row r="151" spans="1:24" ht="12.75">
      <c r="A151" s="2"/>
      <c r="B151" s="2"/>
      <c r="C151" s="2"/>
      <c r="D151" s="2"/>
      <c r="E151" s="2"/>
      <c r="F151" s="2"/>
      <c r="G151" s="2"/>
      <c r="H151" s="2"/>
      <c r="I151" s="2"/>
      <c r="J151" s="559"/>
      <c r="K151" s="212"/>
      <c r="L151" s="212"/>
      <c r="M151" s="21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</row>
    <row r="152" spans="1:24" ht="12.75">
      <c r="A152" s="2"/>
      <c r="B152" s="2"/>
      <c r="C152" s="2"/>
      <c r="D152" s="2"/>
      <c r="E152" s="2"/>
      <c r="F152" s="2"/>
      <c r="G152" s="2"/>
      <c r="H152" s="2"/>
      <c r="I152" s="2"/>
      <c r="J152" s="559"/>
      <c r="K152" s="212"/>
      <c r="L152" s="212"/>
      <c r="M152" s="21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</row>
    <row r="153" spans="1:24" ht="12.75">
      <c r="A153" s="2"/>
      <c r="B153" s="2"/>
      <c r="C153" s="2"/>
      <c r="D153" s="2"/>
      <c r="E153" s="2"/>
      <c r="F153" s="2"/>
      <c r="G153" s="2"/>
      <c r="H153" s="2"/>
      <c r="I153" s="2"/>
      <c r="J153" s="559"/>
      <c r="K153" s="212"/>
      <c r="L153" s="212"/>
      <c r="M153" s="21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</row>
    <row r="154" spans="1:24" ht="12.75">
      <c r="A154" s="2"/>
      <c r="B154" s="2"/>
      <c r="C154" s="2"/>
      <c r="D154" s="2"/>
      <c r="E154" s="2"/>
      <c r="F154" s="2"/>
      <c r="G154" s="2"/>
      <c r="H154" s="2"/>
      <c r="I154" s="2"/>
      <c r="J154" s="559"/>
      <c r="K154" s="212"/>
      <c r="L154" s="212"/>
      <c r="M154" s="21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</row>
    <row r="155" spans="1:24" ht="12.75">
      <c r="A155" s="2"/>
      <c r="B155" s="2"/>
      <c r="C155" s="2"/>
      <c r="D155" s="2"/>
      <c r="E155" s="2"/>
      <c r="F155" s="2"/>
      <c r="G155" s="2"/>
      <c r="H155" s="2"/>
      <c r="I155" s="2"/>
      <c r="J155" s="559"/>
      <c r="K155" s="212"/>
      <c r="L155" s="212"/>
      <c r="M155" s="21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</row>
    <row r="156" spans="1:24" ht="12.75">
      <c r="A156" s="2"/>
      <c r="B156" s="2"/>
      <c r="C156" s="2"/>
      <c r="D156" s="2"/>
      <c r="E156" s="2"/>
      <c r="F156" s="2"/>
      <c r="G156" s="2"/>
      <c r="H156" s="2"/>
      <c r="I156" s="2"/>
      <c r="J156" s="559"/>
      <c r="K156" s="212"/>
      <c r="L156" s="212"/>
      <c r="M156" s="21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</row>
    <row r="157" spans="1:24" ht="12.75">
      <c r="A157" s="2"/>
      <c r="B157" s="2"/>
      <c r="C157" s="2"/>
      <c r="D157" s="2"/>
      <c r="E157" s="2"/>
      <c r="F157" s="2"/>
      <c r="G157" s="2"/>
      <c r="H157" s="2"/>
      <c r="I157" s="2"/>
      <c r="J157" s="559"/>
      <c r="K157" s="212"/>
      <c r="L157" s="212"/>
      <c r="M157" s="21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</row>
    <row r="158" spans="1:24" ht="12.75">
      <c r="A158" s="2"/>
      <c r="B158" s="2"/>
      <c r="C158" s="2"/>
      <c r="D158" s="2"/>
      <c r="E158" s="2"/>
      <c r="F158" s="2"/>
      <c r="G158" s="2"/>
      <c r="H158" s="2"/>
      <c r="I158" s="2"/>
      <c r="J158" s="559"/>
      <c r="K158" s="212"/>
      <c r="L158" s="212"/>
      <c r="M158" s="21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</row>
    <row r="159" spans="1:24" ht="12.75">
      <c r="A159" s="2"/>
      <c r="B159" s="2"/>
      <c r="C159" s="2"/>
      <c r="D159" s="2"/>
      <c r="E159" s="2"/>
      <c r="F159" s="2"/>
      <c r="G159" s="2"/>
      <c r="H159" s="2"/>
      <c r="I159" s="2"/>
      <c r="J159" s="559"/>
      <c r="K159" s="212"/>
      <c r="L159" s="212"/>
      <c r="M159" s="21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</row>
    <row r="160" spans="1:24" ht="12.75">
      <c r="A160" s="2"/>
      <c r="B160" s="2"/>
      <c r="C160" s="2"/>
      <c r="D160" s="2"/>
      <c r="E160" s="2"/>
      <c r="F160" s="2"/>
      <c r="G160" s="2"/>
      <c r="H160" s="2"/>
      <c r="I160" s="2"/>
      <c r="J160" s="559"/>
      <c r="K160" s="212"/>
      <c r="L160" s="212"/>
      <c r="M160" s="21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</row>
    <row r="161" spans="1:24" ht="12.75">
      <c r="A161" s="2"/>
      <c r="B161" s="2"/>
      <c r="C161" s="2"/>
      <c r="D161" s="2"/>
      <c r="E161" s="2"/>
      <c r="F161" s="2"/>
      <c r="G161" s="2"/>
      <c r="H161" s="2"/>
      <c r="I161" s="2"/>
      <c r="J161" s="559"/>
      <c r="K161" s="212"/>
      <c r="L161" s="212"/>
      <c r="M161" s="21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</row>
    <row r="162" spans="1:24" ht="12.75">
      <c r="A162" s="2"/>
      <c r="B162" s="2"/>
      <c r="C162" s="2"/>
      <c r="D162" s="2"/>
      <c r="E162" s="2"/>
      <c r="F162" s="2"/>
      <c r="G162" s="2"/>
      <c r="H162" s="2"/>
      <c r="I162" s="2"/>
      <c r="J162" s="559"/>
      <c r="K162" s="212"/>
      <c r="L162" s="212"/>
      <c r="M162" s="21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</row>
    <row r="163" spans="1:24" ht="12.75">
      <c r="A163" s="2"/>
      <c r="B163" s="2"/>
      <c r="C163" s="2"/>
      <c r="D163" s="2"/>
      <c r="E163" s="2"/>
      <c r="F163" s="2"/>
      <c r="G163" s="2"/>
      <c r="H163" s="2"/>
      <c r="I163" s="2"/>
      <c r="J163" s="559"/>
      <c r="K163" s="212"/>
      <c r="L163" s="212"/>
      <c r="M163" s="21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</row>
    <row r="164" spans="1:24" ht="12.75">
      <c r="A164" s="2"/>
      <c r="B164" s="2"/>
      <c r="C164" s="2"/>
      <c r="D164" s="2"/>
      <c r="E164" s="2"/>
      <c r="F164" s="2"/>
      <c r="G164" s="2"/>
      <c r="H164" s="2"/>
      <c r="I164" s="2"/>
      <c r="J164" s="559"/>
      <c r="K164" s="212"/>
      <c r="L164" s="212"/>
      <c r="M164" s="21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</row>
    <row r="165" spans="1:24" ht="12.75">
      <c r="A165" s="2"/>
      <c r="B165" s="2"/>
      <c r="C165" s="2"/>
      <c r="D165" s="2"/>
      <c r="E165" s="2"/>
      <c r="F165" s="2"/>
      <c r="G165" s="2"/>
      <c r="H165" s="2"/>
      <c r="I165" s="2"/>
      <c r="J165" s="559"/>
      <c r="K165" s="212"/>
      <c r="L165" s="212"/>
      <c r="M165" s="21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</row>
    <row r="166" spans="1:24" ht="12.75">
      <c r="A166" s="2"/>
      <c r="B166" s="2"/>
      <c r="C166" s="2"/>
      <c r="D166" s="2"/>
      <c r="E166" s="2"/>
      <c r="F166" s="2"/>
      <c r="G166" s="2"/>
      <c r="H166" s="2"/>
      <c r="I166" s="2"/>
      <c r="J166" s="559"/>
      <c r="K166" s="212"/>
      <c r="L166" s="212"/>
      <c r="M166" s="21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</row>
    <row r="167" spans="1:24" ht="12.75">
      <c r="A167" s="2"/>
      <c r="B167" s="2"/>
      <c r="C167" s="2"/>
      <c r="D167" s="2"/>
      <c r="E167" s="2"/>
      <c r="F167" s="2"/>
      <c r="G167" s="2"/>
      <c r="H167" s="2"/>
      <c r="I167" s="2"/>
      <c r="J167" s="559"/>
      <c r="K167" s="212"/>
      <c r="L167" s="212"/>
      <c r="M167" s="21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</row>
    <row r="168" spans="1:24" ht="12.75">
      <c r="A168" s="2"/>
      <c r="B168" s="2"/>
      <c r="C168" s="2"/>
      <c r="D168" s="2"/>
      <c r="E168" s="2"/>
      <c r="F168" s="2"/>
      <c r="G168" s="2"/>
      <c r="H168" s="2"/>
      <c r="I168" s="2"/>
      <c r="J168" s="559"/>
      <c r="K168" s="212"/>
      <c r="L168" s="212"/>
      <c r="M168" s="21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</row>
    <row r="169" spans="1:24" ht="12.75">
      <c r="A169" s="2"/>
      <c r="B169" s="2"/>
      <c r="C169" s="2"/>
      <c r="D169" s="2"/>
      <c r="E169" s="2"/>
      <c r="F169" s="2"/>
      <c r="G169" s="2"/>
      <c r="H169" s="2"/>
      <c r="I169" s="2"/>
      <c r="J169" s="559"/>
      <c r="K169" s="212"/>
      <c r="L169" s="212"/>
      <c r="M169" s="21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</row>
    <row r="170" spans="1:24" ht="12.75">
      <c r="A170" s="2"/>
      <c r="B170" s="2"/>
      <c r="C170" s="2"/>
      <c r="D170" s="2"/>
      <c r="E170" s="2"/>
      <c r="F170" s="2"/>
      <c r="G170" s="2"/>
      <c r="H170" s="2"/>
      <c r="I170" s="2"/>
      <c r="J170" s="559"/>
      <c r="K170" s="212"/>
      <c r="L170" s="212"/>
      <c r="M170" s="21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</row>
    <row r="171" spans="1:24" ht="12.75">
      <c r="A171" s="2"/>
      <c r="B171" s="2"/>
      <c r="C171" s="2"/>
      <c r="D171" s="2"/>
      <c r="E171" s="2"/>
      <c r="F171" s="2"/>
      <c r="G171" s="2"/>
      <c r="H171" s="2"/>
      <c r="I171" s="2"/>
      <c r="J171" s="559"/>
      <c r="K171" s="212"/>
      <c r="L171" s="212"/>
      <c r="M171" s="21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</row>
    <row r="172" spans="1:24" ht="12.75">
      <c r="A172" s="2"/>
      <c r="B172" s="2"/>
      <c r="C172" s="2"/>
      <c r="D172" s="2"/>
      <c r="E172" s="2"/>
      <c r="F172" s="2"/>
      <c r="G172" s="2"/>
      <c r="H172" s="2"/>
      <c r="I172" s="2"/>
      <c r="J172" s="559"/>
      <c r="K172" s="212"/>
      <c r="L172" s="212"/>
      <c r="M172" s="21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</row>
    <row r="173" spans="1:24" ht="12.75">
      <c r="A173" s="2"/>
      <c r="B173" s="2"/>
      <c r="C173" s="2"/>
      <c r="D173" s="2"/>
      <c r="E173" s="2"/>
      <c r="F173" s="2"/>
      <c r="G173" s="2"/>
      <c r="H173" s="2"/>
      <c r="I173" s="2"/>
      <c r="J173" s="559"/>
      <c r="K173" s="212"/>
      <c r="L173" s="212"/>
      <c r="M173" s="21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</row>
    <row r="174" spans="1:24" ht="12.75">
      <c r="A174" s="2"/>
      <c r="B174" s="2"/>
      <c r="C174" s="2"/>
      <c r="D174" s="2"/>
      <c r="E174" s="2"/>
      <c r="F174" s="2"/>
      <c r="G174" s="2"/>
      <c r="H174" s="2"/>
      <c r="I174" s="2"/>
      <c r="J174" s="559"/>
      <c r="K174" s="212"/>
      <c r="L174" s="212"/>
      <c r="M174" s="21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</row>
    <row r="175" spans="1:24" ht="12.75">
      <c r="A175" s="2"/>
      <c r="B175" s="2"/>
      <c r="C175" s="2"/>
      <c r="D175" s="2"/>
      <c r="E175" s="2"/>
      <c r="F175" s="2"/>
      <c r="G175" s="2"/>
      <c r="H175" s="2"/>
      <c r="I175" s="2"/>
      <c r="J175" s="559"/>
      <c r="K175" s="212"/>
      <c r="L175" s="212"/>
      <c r="M175" s="21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</row>
    <row r="176" spans="1:24" ht="12.75">
      <c r="A176" s="2"/>
      <c r="B176" s="2"/>
      <c r="C176" s="2"/>
      <c r="D176" s="2"/>
      <c r="E176" s="2"/>
      <c r="F176" s="2"/>
      <c r="G176" s="2"/>
      <c r="H176" s="2"/>
      <c r="I176" s="2"/>
      <c r="J176" s="559"/>
      <c r="K176" s="212"/>
      <c r="L176" s="212"/>
      <c r="M176" s="21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</row>
    <row r="177" spans="1:24" ht="12.75">
      <c r="A177" s="2"/>
      <c r="B177" s="2"/>
      <c r="C177" s="2"/>
      <c r="D177" s="2"/>
      <c r="E177" s="2"/>
      <c r="F177" s="2"/>
      <c r="G177" s="2"/>
      <c r="H177" s="2"/>
      <c r="I177" s="2"/>
      <c r="J177" s="559"/>
      <c r="K177" s="212"/>
      <c r="L177" s="212"/>
      <c r="M177" s="21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</row>
    <row r="178" spans="1:24" ht="12.75">
      <c r="A178" s="2"/>
      <c r="B178" s="2"/>
      <c r="C178" s="2"/>
      <c r="D178" s="2"/>
      <c r="E178" s="2"/>
      <c r="F178" s="2"/>
      <c r="G178" s="2"/>
      <c r="H178" s="2"/>
      <c r="I178" s="2"/>
      <c r="J178" s="559"/>
      <c r="K178" s="212"/>
      <c r="L178" s="212"/>
      <c r="M178" s="21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</row>
    <row r="179" spans="1:24" ht="12.75">
      <c r="A179" s="2"/>
      <c r="B179" s="2"/>
      <c r="C179" s="2"/>
      <c r="D179" s="2"/>
      <c r="E179" s="2"/>
      <c r="F179" s="2"/>
      <c r="G179" s="2"/>
      <c r="H179" s="2"/>
      <c r="I179" s="2"/>
      <c r="J179" s="559"/>
      <c r="K179" s="212"/>
      <c r="L179" s="212"/>
      <c r="M179" s="21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</row>
    <row r="180" spans="1:24" ht="12.75">
      <c r="A180" s="2"/>
      <c r="B180" s="2"/>
      <c r="C180" s="2"/>
      <c r="D180" s="2"/>
      <c r="E180" s="2"/>
      <c r="F180" s="2"/>
      <c r="G180" s="2"/>
      <c r="H180" s="2"/>
      <c r="I180" s="2"/>
      <c r="J180" s="559"/>
      <c r="K180" s="212"/>
      <c r="L180" s="212"/>
      <c r="M180" s="21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</row>
    <row r="181" spans="1:24" ht="12.75">
      <c r="A181" s="2"/>
      <c r="B181" s="2"/>
      <c r="C181" s="2"/>
      <c r="D181" s="2"/>
      <c r="E181" s="2"/>
      <c r="F181" s="2"/>
      <c r="G181" s="2"/>
      <c r="H181" s="2"/>
      <c r="I181" s="2"/>
      <c r="J181" s="559"/>
      <c r="K181" s="212"/>
      <c r="L181" s="212"/>
      <c r="M181" s="21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</row>
    <row r="182" spans="1:24" ht="12.75">
      <c r="A182" s="2"/>
      <c r="B182" s="2"/>
      <c r="C182" s="2"/>
      <c r="D182" s="2"/>
      <c r="E182" s="2"/>
      <c r="F182" s="2"/>
      <c r="G182" s="2"/>
      <c r="H182" s="2"/>
      <c r="I182" s="2"/>
      <c r="J182" s="559"/>
      <c r="K182" s="212"/>
      <c r="L182" s="212"/>
      <c r="M182" s="21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</row>
    <row r="183" spans="1:24" ht="12.75">
      <c r="A183" s="2"/>
      <c r="B183" s="2"/>
      <c r="C183" s="2"/>
      <c r="D183" s="2"/>
      <c r="E183" s="2"/>
      <c r="F183" s="2"/>
      <c r="G183" s="2"/>
      <c r="H183" s="2"/>
      <c r="I183" s="2"/>
      <c r="J183" s="559"/>
      <c r="K183" s="212"/>
      <c r="L183" s="212"/>
      <c r="M183" s="21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</row>
    <row r="184" spans="1:24" ht="12.75">
      <c r="A184" s="2"/>
      <c r="B184" s="2"/>
      <c r="C184" s="2"/>
      <c r="D184" s="2"/>
      <c r="E184" s="2"/>
      <c r="F184" s="2"/>
      <c r="G184" s="2"/>
      <c r="H184" s="2"/>
      <c r="I184" s="2"/>
      <c r="J184" s="559"/>
      <c r="K184" s="212"/>
      <c r="L184" s="212"/>
      <c r="M184" s="21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</row>
    <row r="185" spans="1:24" ht="12.75">
      <c r="A185" s="2"/>
      <c r="B185" s="2"/>
      <c r="C185" s="2"/>
      <c r="D185" s="2"/>
      <c r="E185" s="2"/>
      <c r="F185" s="2"/>
      <c r="G185" s="2"/>
      <c r="H185" s="2"/>
      <c r="I185" s="2"/>
      <c r="J185" s="559"/>
      <c r="K185" s="212"/>
      <c r="L185" s="212"/>
      <c r="M185" s="21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</row>
    <row r="186" spans="1:24" ht="12.75">
      <c r="A186" s="2"/>
      <c r="B186" s="2"/>
      <c r="C186" s="2"/>
      <c r="D186" s="2"/>
      <c r="E186" s="2"/>
      <c r="F186" s="2"/>
      <c r="G186" s="2"/>
      <c r="H186" s="2"/>
      <c r="I186" s="2"/>
      <c r="J186" s="559"/>
      <c r="K186" s="212"/>
      <c r="L186" s="212"/>
      <c r="M186" s="21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</row>
    <row r="187" spans="1:24" ht="12.75">
      <c r="A187" s="2"/>
      <c r="B187" s="2"/>
      <c r="C187" s="2"/>
      <c r="D187" s="2"/>
      <c r="E187" s="2"/>
      <c r="F187" s="2"/>
      <c r="G187" s="2"/>
      <c r="H187" s="2"/>
      <c r="I187" s="2"/>
      <c r="J187" s="559"/>
      <c r="K187" s="212"/>
      <c r="L187" s="212"/>
      <c r="M187" s="21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</row>
    <row r="188" spans="1:24" ht="12.75">
      <c r="A188" s="2"/>
      <c r="B188" s="2"/>
      <c r="C188" s="2"/>
      <c r="D188" s="2"/>
      <c r="E188" s="2"/>
      <c r="F188" s="2"/>
      <c r="G188" s="2"/>
      <c r="H188" s="2"/>
      <c r="I188" s="2"/>
      <c r="J188" s="559"/>
      <c r="K188" s="212"/>
      <c r="L188" s="212"/>
      <c r="M188" s="21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</row>
    <row r="189" spans="1:24" ht="12.75">
      <c r="A189" s="2"/>
      <c r="B189" s="2"/>
      <c r="C189" s="2"/>
      <c r="D189" s="2"/>
      <c r="E189" s="2"/>
      <c r="F189" s="2"/>
      <c r="G189" s="2"/>
      <c r="H189" s="2"/>
      <c r="I189" s="2"/>
      <c r="J189" s="559"/>
      <c r="K189" s="212"/>
      <c r="L189" s="212"/>
      <c r="M189" s="21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</row>
    <row r="190" spans="1:24" ht="12.75">
      <c r="A190" s="2"/>
      <c r="B190" s="2"/>
      <c r="C190" s="2"/>
      <c r="D190" s="2"/>
      <c r="E190" s="2"/>
      <c r="F190" s="2"/>
      <c r="G190" s="2"/>
      <c r="H190" s="2"/>
      <c r="I190" s="2"/>
      <c r="J190" s="559"/>
      <c r="K190" s="212"/>
      <c r="L190" s="212"/>
      <c r="M190" s="21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</row>
    <row r="191" spans="1:24" ht="12.75">
      <c r="A191" s="2"/>
      <c r="B191" s="2"/>
      <c r="C191" s="2"/>
      <c r="D191" s="2"/>
      <c r="E191" s="2"/>
      <c r="F191" s="2"/>
      <c r="G191" s="2"/>
      <c r="H191" s="2"/>
      <c r="I191" s="2"/>
      <c r="J191" s="559"/>
      <c r="K191" s="212"/>
      <c r="L191" s="212"/>
      <c r="M191" s="21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</row>
    <row r="192" spans="1:24" ht="12.75">
      <c r="A192" s="2"/>
      <c r="B192" s="2"/>
      <c r="C192" s="2"/>
      <c r="D192" s="2"/>
      <c r="E192" s="2"/>
      <c r="F192" s="2"/>
      <c r="G192" s="2"/>
      <c r="H192" s="2"/>
      <c r="I192" s="2"/>
      <c r="J192" s="559"/>
      <c r="K192" s="212"/>
      <c r="L192" s="212"/>
      <c r="M192" s="21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</row>
    <row r="193" spans="1:24" ht="12.75">
      <c r="A193" s="2"/>
      <c r="B193" s="2"/>
      <c r="C193" s="2"/>
      <c r="D193" s="2"/>
      <c r="E193" s="2"/>
      <c r="F193" s="2"/>
      <c r="G193" s="2"/>
      <c r="H193" s="2"/>
      <c r="I193" s="2"/>
      <c r="J193" s="559"/>
      <c r="K193" s="212"/>
      <c r="L193" s="212"/>
      <c r="M193" s="21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</row>
    <row r="194" spans="1:24" ht="12.75">
      <c r="A194" s="2"/>
      <c r="B194" s="2"/>
      <c r="C194" s="2"/>
      <c r="D194" s="2"/>
      <c r="E194" s="2"/>
      <c r="F194" s="2"/>
      <c r="G194" s="2"/>
      <c r="H194" s="2"/>
      <c r="I194" s="2"/>
      <c r="J194" s="559"/>
      <c r="K194" s="212"/>
      <c r="L194" s="212"/>
      <c r="M194" s="21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</row>
    <row r="195" spans="1:24" ht="12.75">
      <c r="A195" s="2"/>
      <c r="B195" s="2"/>
      <c r="C195" s="2"/>
      <c r="D195" s="2"/>
      <c r="E195" s="2"/>
      <c r="F195" s="2"/>
      <c r="G195" s="2"/>
      <c r="H195" s="2"/>
      <c r="I195" s="2"/>
      <c r="J195" s="559"/>
      <c r="K195" s="212"/>
      <c r="L195" s="212"/>
      <c r="M195" s="21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</row>
    <row r="196" spans="1:24" ht="12.75">
      <c r="A196" s="2"/>
      <c r="B196" s="2"/>
      <c r="C196" s="2"/>
      <c r="D196" s="2"/>
      <c r="E196" s="2"/>
      <c r="F196" s="2"/>
      <c r="G196" s="2"/>
      <c r="H196" s="2"/>
      <c r="I196" s="2"/>
      <c r="J196" s="559"/>
      <c r="K196" s="212"/>
      <c r="L196" s="212"/>
      <c r="M196" s="21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</row>
    <row r="197" spans="1:24" ht="12.75">
      <c r="A197" s="2"/>
      <c r="B197" s="2"/>
      <c r="C197" s="2"/>
      <c r="D197" s="2"/>
      <c r="E197" s="2"/>
      <c r="F197" s="2"/>
      <c r="G197" s="2"/>
      <c r="H197" s="2"/>
      <c r="I197" s="2"/>
      <c r="J197" s="559"/>
      <c r="K197" s="212"/>
      <c r="L197" s="212"/>
      <c r="M197" s="21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</row>
    <row r="198" spans="1:24" ht="12.75">
      <c r="A198" s="2"/>
      <c r="B198" s="2"/>
      <c r="C198" s="2"/>
      <c r="D198" s="2"/>
      <c r="E198" s="2"/>
      <c r="F198" s="2"/>
      <c r="G198" s="2"/>
      <c r="H198" s="2"/>
      <c r="I198" s="2"/>
      <c r="J198" s="559"/>
      <c r="K198" s="212"/>
      <c r="L198" s="212"/>
      <c r="M198" s="21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</row>
    <row r="199" spans="1:24" ht="12.75">
      <c r="A199" s="2"/>
      <c r="B199" s="2"/>
      <c r="C199" s="2"/>
      <c r="D199" s="2"/>
      <c r="E199" s="2"/>
      <c r="F199" s="2"/>
      <c r="G199" s="2"/>
      <c r="H199" s="2"/>
      <c r="I199" s="2"/>
      <c r="J199" s="559"/>
      <c r="K199" s="212"/>
      <c r="L199" s="212"/>
      <c r="M199" s="21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</row>
    <row r="200" spans="1:24" ht="12.75">
      <c r="A200" s="2"/>
      <c r="B200" s="2"/>
      <c r="C200" s="2"/>
      <c r="D200" s="2"/>
      <c r="E200" s="2"/>
      <c r="F200" s="2"/>
      <c r="G200" s="2"/>
      <c r="H200" s="2"/>
      <c r="I200" s="2"/>
      <c r="J200" s="559"/>
      <c r="K200" s="212"/>
      <c r="L200" s="212"/>
      <c r="M200" s="21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</row>
    <row r="201" spans="1:24" ht="12.75">
      <c r="A201" s="2"/>
      <c r="B201" s="2"/>
      <c r="C201" s="2"/>
      <c r="D201" s="2"/>
      <c r="E201" s="2"/>
      <c r="F201" s="2"/>
      <c r="G201" s="2"/>
      <c r="H201" s="2"/>
      <c r="I201" s="2"/>
      <c r="J201" s="559"/>
      <c r="K201" s="212"/>
      <c r="L201" s="212"/>
      <c r="M201" s="21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</row>
    <row r="202" spans="1:24" ht="12.75">
      <c r="A202" s="2"/>
      <c r="B202" s="2"/>
      <c r="C202" s="2"/>
      <c r="D202" s="2"/>
      <c r="E202" s="2"/>
      <c r="F202" s="2"/>
      <c r="G202" s="2"/>
      <c r="H202" s="2"/>
      <c r="I202" s="2"/>
      <c r="J202" s="559"/>
      <c r="K202" s="212"/>
      <c r="L202" s="212"/>
      <c r="M202" s="21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</row>
    <row r="203" spans="1:24" ht="12.75">
      <c r="A203" s="2"/>
      <c r="B203" s="2"/>
      <c r="C203" s="2"/>
      <c r="D203" s="2"/>
      <c r="E203" s="2"/>
      <c r="F203" s="2"/>
      <c r="G203" s="2"/>
      <c r="H203" s="2"/>
      <c r="I203" s="2"/>
      <c r="J203" s="559"/>
      <c r="K203" s="212"/>
      <c r="L203" s="212"/>
      <c r="M203" s="21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</row>
    <row r="204" spans="1:24" ht="12.75">
      <c r="A204" s="2"/>
      <c r="B204" s="2"/>
      <c r="C204" s="2"/>
      <c r="D204" s="2"/>
      <c r="E204" s="2"/>
      <c r="F204" s="2"/>
      <c r="G204" s="2"/>
      <c r="H204" s="2"/>
      <c r="I204" s="2"/>
      <c r="J204" s="559"/>
      <c r="K204" s="212"/>
      <c r="L204" s="212"/>
      <c r="M204" s="21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</row>
    <row r="205" spans="1:24" ht="12.75">
      <c r="A205" s="2"/>
      <c r="B205" s="2"/>
      <c r="C205" s="2"/>
      <c r="D205" s="2"/>
      <c r="E205" s="2"/>
      <c r="F205" s="2"/>
      <c r="G205" s="2"/>
      <c r="H205" s="2"/>
      <c r="I205" s="2"/>
      <c r="J205" s="559"/>
      <c r="K205" s="212"/>
      <c r="L205" s="212"/>
      <c r="M205" s="21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</row>
    <row r="206" spans="1:24" ht="12.75">
      <c r="A206" s="2"/>
      <c r="B206" s="2"/>
      <c r="C206" s="2"/>
      <c r="D206" s="2"/>
      <c r="E206" s="2"/>
      <c r="F206" s="2"/>
      <c r="G206" s="2"/>
      <c r="H206" s="2"/>
      <c r="I206" s="2"/>
      <c r="J206" s="559"/>
      <c r="K206" s="212"/>
      <c r="L206" s="212"/>
      <c r="M206" s="21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</row>
    <row r="207" spans="1:24" ht="12.75">
      <c r="A207" s="2"/>
      <c r="B207" s="2"/>
      <c r="C207" s="2"/>
      <c r="D207" s="2"/>
      <c r="E207" s="2"/>
      <c r="F207" s="2"/>
      <c r="G207" s="2"/>
      <c r="H207" s="2"/>
      <c r="I207" s="2"/>
      <c r="J207" s="559"/>
      <c r="K207" s="212"/>
      <c r="L207" s="212"/>
      <c r="M207" s="21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</row>
    <row r="208" spans="1:24" ht="12.75">
      <c r="A208" s="2"/>
      <c r="B208" s="2"/>
      <c r="C208" s="2"/>
      <c r="D208" s="2"/>
      <c r="E208" s="2"/>
      <c r="F208" s="2"/>
      <c r="G208" s="2"/>
      <c r="H208" s="2"/>
      <c r="I208" s="2"/>
      <c r="J208" s="559"/>
      <c r="K208" s="212"/>
      <c r="L208" s="212"/>
      <c r="M208" s="21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</row>
    <row r="209" spans="1:24" ht="12.75">
      <c r="A209" s="2"/>
      <c r="B209" s="2"/>
      <c r="C209" s="2"/>
      <c r="D209" s="2"/>
      <c r="E209" s="2"/>
      <c r="F209" s="2"/>
      <c r="G209" s="2"/>
      <c r="H209" s="2"/>
      <c r="I209" s="2"/>
      <c r="J209" s="559"/>
      <c r="K209" s="212"/>
      <c r="L209" s="212"/>
      <c r="M209" s="21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</row>
    <row r="210" spans="1:24" ht="12.75">
      <c r="A210" s="2"/>
      <c r="B210" s="2"/>
      <c r="C210" s="2"/>
      <c r="D210" s="2"/>
      <c r="E210" s="2"/>
      <c r="F210" s="2"/>
      <c r="G210" s="2"/>
      <c r="H210" s="2"/>
      <c r="I210" s="2"/>
      <c r="J210" s="559"/>
      <c r="K210" s="212"/>
      <c r="L210" s="212"/>
      <c r="M210" s="21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</row>
    <row r="211" spans="1:24" ht="12.75">
      <c r="A211" s="2"/>
      <c r="B211" s="2"/>
      <c r="C211" s="2"/>
      <c r="D211" s="2"/>
      <c r="E211" s="2"/>
      <c r="F211" s="2"/>
      <c r="G211" s="2"/>
      <c r="H211" s="2"/>
      <c r="I211" s="2"/>
      <c r="J211" s="559"/>
      <c r="K211" s="212"/>
      <c r="L211" s="212"/>
      <c r="M211" s="21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</row>
    <row r="212" spans="1:24" ht="12.75">
      <c r="A212" s="2"/>
      <c r="B212" s="2"/>
      <c r="C212" s="2"/>
      <c r="D212" s="2"/>
      <c r="E212" s="2"/>
      <c r="F212" s="2"/>
      <c r="G212" s="2"/>
      <c r="H212" s="2"/>
      <c r="I212" s="2"/>
      <c r="J212" s="559"/>
      <c r="K212" s="212"/>
      <c r="L212" s="212"/>
      <c r="M212" s="21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</row>
    <row r="213" spans="1:24" ht="12.75">
      <c r="A213" s="2"/>
      <c r="B213" s="2"/>
      <c r="C213" s="2"/>
      <c r="D213" s="2"/>
      <c r="E213" s="2"/>
      <c r="F213" s="2"/>
      <c r="G213" s="2"/>
      <c r="H213" s="2"/>
      <c r="I213" s="2"/>
      <c r="J213" s="559"/>
      <c r="K213" s="212"/>
      <c r="L213" s="212"/>
      <c r="M213" s="21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</row>
    <row r="214" spans="1:24" ht="12.75">
      <c r="A214" s="2"/>
      <c r="B214" s="2"/>
      <c r="C214" s="2"/>
      <c r="D214" s="2"/>
      <c r="E214" s="2"/>
      <c r="F214" s="2"/>
      <c r="G214" s="2"/>
      <c r="H214" s="2"/>
      <c r="I214" s="2"/>
      <c r="J214" s="559"/>
      <c r="K214" s="212"/>
      <c r="L214" s="212"/>
      <c r="M214" s="21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</row>
    <row r="215" spans="1:24" ht="12.75">
      <c r="A215" s="2"/>
      <c r="B215" s="2"/>
      <c r="C215" s="2"/>
      <c r="D215" s="2"/>
      <c r="E215" s="2"/>
      <c r="F215" s="2"/>
      <c r="G215" s="2"/>
      <c r="H215" s="2"/>
      <c r="I215" s="2"/>
      <c r="J215" s="559"/>
      <c r="K215" s="212"/>
      <c r="L215" s="212"/>
      <c r="M215" s="21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</row>
    <row r="216" spans="1:24" ht="12.75">
      <c r="A216" s="2"/>
      <c r="B216" s="2"/>
      <c r="C216" s="2"/>
      <c r="D216" s="2"/>
      <c r="E216" s="2"/>
      <c r="F216" s="2"/>
      <c r="G216" s="2"/>
      <c r="H216" s="2"/>
      <c r="I216" s="2"/>
      <c r="J216" s="559"/>
      <c r="K216" s="212"/>
      <c r="L216" s="212"/>
      <c r="M216" s="21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</row>
    <row r="217" spans="1:24" ht="12.75">
      <c r="A217" s="2"/>
      <c r="B217" s="2"/>
      <c r="C217" s="2"/>
      <c r="D217" s="2"/>
      <c r="E217" s="2"/>
      <c r="F217" s="2"/>
      <c r="G217" s="2"/>
      <c r="H217" s="2"/>
      <c r="I217" s="2"/>
      <c r="J217" s="559"/>
      <c r="K217" s="212"/>
      <c r="L217" s="212"/>
      <c r="M217" s="21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</row>
    <row r="218" spans="1:24" ht="12.75">
      <c r="A218" s="2"/>
      <c r="B218" s="2"/>
      <c r="C218" s="2"/>
      <c r="D218" s="2"/>
      <c r="E218" s="2"/>
      <c r="F218" s="2"/>
      <c r="G218" s="2"/>
      <c r="H218" s="2"/>
      <c r="I218" s="2"/>
      <c r="J218" s="559"/>
      <c r="K218" s="212"/>
      <c r="L218" s="212"/>
      <c r="M218" s="21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</row>
    <row r="219" spans="1:24" ht="12.75">
      <c r="A219" s="2"/>
      <c r="B219" s="2"/>
      <c r="C219" s="2"/>
      <c r="D219" s="2"/>
      <c r="E219" s="2"/>
      <c r="F219" s="2"/>
      <c r="G219" s="2"/>
      <c r="H219" s="2"/>
      <c r="I219" s="2"/>
      <c r="J219" s="559"/>
      <c r="K219" s="212"/>
      <c r="L219" s="212"/>
      <c r="M219" s="21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</row>
    <row r="220" spans="1:24" ht="12.75">
      <c r="A220" s="2"/>
      <c r="B220" s="2"/>
      <c r="C220" s="2"/>
      <c r="D220" s="2"/>
      <c r="E220" s="2"/>
      <c r="F220" s="2"/>
      <c r="G220" s="2"/>
      <c r="H220" s="2"/>
      <c r="I220" s="2"/>
      <c r="J220" s="559"/>
      <c r="K220" s="212"/>
      <c r="L220" s="212"/>
      <c r="M220" s="21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</row>
  </sheetData>
  <mergeCells count="3">
    <mergeCell ref="F13:F14"/>
    <mergeCell ref="G13:G14"/>
    <mergeCell ref="I13:I14"/>
  </mergeCells>
  <printOptions/>
  <pageMargins left="0.1968503937007874" right="0" top="0.984251968503937" bottom="0.984251968503937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IKawalkiewicz</dc:creator>
  <cp:keywords/>
  <dc:description/>
  <cp:lastModifiedBy>IKawalkiewicz</cp:lastModifiedBy>
  <cp:lastPrinted>2013-07-19T11:00:24Z</cp:lastPrinted>
  <dcterms:created xsi:type="dcterms:W3CDTF">2009-03-04T08:33:11Z</dcterms:created>
  <dcterms:modified xsi:type="dcterms:W3CDTF">2013-07-19T12:13:39Z</dcterms:modified>
  <cp:category/>
  <cp:version/>
  <cp:contentType/>
  <cp:contentStatus/>
</cp:coreProperties>
</file>