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<sst xmlns="http://schemas.openxmlformats.org/spreadsheetml/2006/main" count="227" uniqueCount="170">
  <si>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</si>
  <si>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</si>
  <si>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</si>
  <si>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</si>
  <si>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</si>
  <si>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</si>
  <si>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</si>
  <si>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</si>
  <si>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</si>
  <si>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</si>
  <si>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</si>
  <si>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</si>
  <si>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</si>
  <si>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</si>
  <si>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Nr 2 "Kraina Wesołej Zabawy" w Koninie</t>
  </si>
  <si>
    <t>Przedszkole     Nr 32</t>
  </si>
  <si>
    <t>I LO w Koninie</t>
  </si>
  <si>
    <t>Przedszkole nr 32 w Koninie</t>
  </si>
  <si>
    <t>Przedszkole nr 4 w Koninie</t>
  </si>
  <si>
    <t>Zespół Szkół im. M.Kopernika w Koninie</t>
  </si>
  <si>
    <t>Załącznik nr 2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</si>
  <si>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</si>
  <si>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</si>
  <si>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</si>
  <si>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</si>
  <si>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</si>
  <si>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</si>
  <si>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</si>
  <si>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</si>
  <si>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</si>
  <si>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</si>
  <si>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</si>
  <si>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</si>
  <si>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</si>
  <si>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</si>
  <si>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</si>
  <si>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</si>
  <si>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</si>
  <si>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</si>
  <si>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</si>
  <si>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- wydatki majątkowe</t>
  </si>
  <si>
    <t>1.1.2.1</t>
  </si>
  <si>
    <t>1.1.2.2</t>
  </si>
  <si>
    <t>1.1.2.3</t>
  </si>
  <si>
    <t>1.1.2.4</t>
  </si>
  <si>
    <t>1.1.2.5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</si>
  <si>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</si>
  <si>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</si>
  <si>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</si>
  <si>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</si>
  <si>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</si>
  <si>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</si>
  <si>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</si>
  <si>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</si>
  <si>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</si>
  <si>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</si>
  <si>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</si>
  <si>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</si>
  <si>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</si>
  <si>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</si>
  <si>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</si>
  <si>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</si>
  <si>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</si>
  <si>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</si>
  <si>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</si>
  <si>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</si>
  <si>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</si>
  <si>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</si>
  <si>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1.3.2.</t>
  </si>
  <si>
    <t>1.3.2.1</t>
  </si>
  <si>
    <t>1.3.2.2</t>
  </si>
  <si>
    <t>1.3.2.3</t>
  </si>
  <si>
    <t>1.3.2.4</t>
  </si>
  <si>
    <t>1.3.2.5</t>
  </si>
  <si>
    <t>1.3.</t>
  </si>
  <si>
    <t>jednostka odpowiedzialna lub koordynująca program</t>
  </si>
  <si>
    <t>Limity wydatków w poszczególnych latach                                (wszystkie lata)</t>
  </si>
  <si>
    <t>Wydatki na programy, projekty lub zadania związane z programami realizowanymi z udziałem środków, o których mowa w art. 5 ust. 1 pkt 2 i 3                            z tego:</t>
  </si>
  <si>
    <t>1.1.1.15</t>
  </si>
  <si>
    <t>Przedszkole nr 14 w Koninie</t>
  </si>
  <si>
    <t>1.1.2.6</t>
  </si>
  <si>
    <t>1.1.1.1</t>
  </si>
  <si>
    <t>Program Operacyjny Kapitał Ludzki</t>
  </si>
  <si>
    <t>1.1.1</t>
  </si>
  <si>
    <t>1.1.2.</t>
  </si>
  <si>
    <t>1.3.2.6</t>
  </si>
  <si>
    <t>1.3.2.7</t>
  </si>
  <si>
    <t>1.3.2.8</t>
  </si>
  <si>
    <t>1.3.2.9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</si>
  <si>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samozatrudnienie. </t>
  </si>
  <si>
    <t xml:space="preserve">Dobre przedszkole na dobry start. Cel: Upowszechnianie edukacji przedszkolnej na terenie miasta Konina i powiatu konińskiego. </t>
  </si>
  <si>
    <t xml:space="preserve">W drodze do wiedzy. Cel: Podniesienie jakości edukacji 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</si>
  <si>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dzieci. </t>
  </si>
  <si>
    <t xml:space="preserve">Twoja firma - wspomagamy przedsiębiorczych w Koninie.  Cel: Poprawa sytuacji niepełnosprawnych osób bezrobotnych na rynku pracy oraz rozwój przedsiębiorczości w Koninie.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</si>
  <si>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 r.</t>
  </si>
  <si>
    <t xml:space="preserve">Kompleksowa promocja markowego produktu turystyki wodnej Wielka Pętla Wielkopolski. Cel: Profesjonalna, kompleksowa kampania promocyjna markowego produktu o nazwie Wielka Pętla Wielkopolski łączącego 690 km dróg wodnych w wodny szlak turystyczny. </t>
  </si>
  <si>
    <t>1.3.1.17</t>
  </si>
  <si>
    <t>1.3.2.10</t>
  </si>
  <si>
    <t>1.3.2.11</t>
  </si>
  <si>
    <t>1.3.2.12</t>
  </si>
  <si>
    <t>Rozbudowa skrzyżowania ulic Stanisława Staszica, Romana Dmowskiego i Tadeusza Kościuszki na skrzyżowanie typu "rondo" w Koninie (dz. 600 rozdz. 60016).</t>
  </si>
  <si>
    <t>Modernizacja oświetlenia ulicznego miasta Konina na energooszczędne (dz. 900 rozdz. 90015).</t>
  </si>
  <si>
    <t>Budowa sygnalizacji świetlnej na skrzyżowaniu ul. Przemysłowej i ul. Gosławickiej wraz z doświetleniem przejść dla pieszych (dz. 900 rozdz. 90015).</t>
  </si>
  <si>
    <t>Doświetlenie przejść dla pieszych w Koninie (dz. 900 rozdz. 90015) .</t>
  </si>
  <si>
    <t>Przyjmowanie wpłat należności budżetowych na rzecz Miasta Konin (dz. 750 rozdz. 75023).</t>
  </si>
  <si>
    <t>Adaptacja pomieszczeń budynku Klubu Energetyk na potrzeby Młodzieżowego Domu Kultury w Koninie (dz. 921 rozdz. 92109).</t>
  </si>
  <si>
    <t>Wielkopolski Regionalny Program Operacyjny na lata 2007-20013 (dz. 630 rozdz. 63095)</t>
  </si>
  <si>
    <t xml:space="preserve">"Uczenie się przez całe życie" Partnerskie Projekty Szkół Comenius </t>
  </si>
  <si>
    <t>Towards a European Rememberance (W poszukiwaniu europejskiej pamięci). Cel: Poznawanie krajów partnerskich, doskonalenie umiejętności językowych i promowanie regionu (dz. 801 rozdz. 80195).</t>
  </si>
  <si>
    <t>The Earth cannot be recycled! Eco kids - Eco parents (Eko dzieci - Eko rodzice). Cel: Wzmacnianie europejskiego wymiaru edukacji poprzez promowanie współpracy międzynarodowej (dz. 801 rozdz. 80104).</t>
  </si>
  <si>
    <t xml:space="preserve">PI Wsparcie rozwoju narzędzi związanych z kontraktowaniem usług społecznych w Koninie. Cel: Poprawa warunków prawnych i administracyjnych do prowadzenia efektywnej polityki rozwoju gospodarczego przez Miasto Konin (dz. 853 rozdz. 85395). </t>
  </si>
  <si>
    <t>Dokształcanie to Twoja szansa. Cel: Podniesienie i uzupełnienie kwalifikacji kadry pedagogicznej i administracyjnej (dz. 853 rozdz. 853 rozdz. 85395).</t>
  </si>
  <si>
    <t xml:space="preserve">Nowe możliwości zawodowe - Twoja szansa na konińskim rynku. Cel: Podniesienie poziomu aktywności zawodowej osób niepełnosprawnych pozostających bez zatrudnienia (dz.853 rozdz. 85395). 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</si>
  <si>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 (dz.853 rozdz. 85395). </t>
  </si>
  <si>
    <t xml:space="preserve">Dobre przedszkole na dobry start. Cel: Upowszechnianie edukacji przedszkolnej na terenie miasta Konina i powiatu konińskiego (dz. 853 rozdz. 85395). </t>
  </si>
  <si>
    <t xml:space="preserve">Zawodowcy z Kopernika. Cel: Podniesienie atrakcyjności i jakości szkolnictwa zawodowego (dz. 853 rozdz. 85395). </t>
  </si>
  <si>
    <t xml:space="preserve">Twój zawód, Twoja praca-poprawa dostępu do zatrudnienia na konińskim rynku pracy. Cel: Wspomaganie osób bezrobotnych w przekwalifikowaniu i znalezieniu zatrudnienia (dz. 853 rozdz. 85395). </t>
  </si>
  <si>
    <t xml:space="preserve">W drodze do wiedzy. Cel: Podniesienie jakości edukacji (dz.853 rozdz. 85395).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</si>
  <si>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 (dz. 853 rozdz. 85395). </t>
  </si>
  <si>
    <t xml:space="preserve">Twoja firma - wspomagamy przedsiębiorczych w Koninie.  Cel: Poprawa sytuacji niepełnosprawnych osób bezrobotnych na rynku pracy oraz rozwój przedsiębiorczości w Koninie (dz. 853 rozdz. 85395). </t>
  </si>
  <si>
    <t xml:space="preserve">Słoneczny świat przedszkolaka. Cel: Upowszechnianie edukacji przedszkolnej wsród 35 dzieci w wieku 3-5 lat z terenu miasta Konina, powiatu konińskiego, tureckiego, kolskiego i słupeckiego (dz. 853 rozdz. 85395). 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</si>
  <si>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 r. (dz. 853 rozdz.85395).</t>
  </si>
  <si>
    <t xml:space="preserve">Sporządzenie miejscowych planów zagospodarowania przestrzennego oraz zmiany studium uwarunkowań i kierunków zagospodarowania przestrzennego miasta Konina (dz.710 rozdz. 71004). </t>
  </si>
  <si>
    <t xml:space="preserve">Bankowa obsługa budżetu Miasta Konina i podległych jednostek organizacyjnych (dz. 750 rozdz. 75023). </t>
  </si>
  <si>
    <t xml:space="preserve">Wykonanie auditów pośrednich w nadzorze i auditu odnowieniowego w zakresie nadzoru nad Systemem Zarządzania Jakością w Urzędzie Miejskim w Koninie (dz. 750 rozdz. 75023). </t>
  </si>
  <si>
    <t xml:space="preserve">Wykonanie i dostawa dokumentów komunikacyjnych (dz. 750 rozdz. 75020). </t>
  </si>
  <si>
    <t xml:space="preserve">Utrzymanie bieżące - konserwacja techniczna sygnalizacji świetlnych na terenie Miasta Konina (dz. 900 rozdz. 90015).  </t>
  </si>
  <si>
    <t xml:space="preserve">Urządzanie, pielęgnacja i porządkowanie terenów zieleni wraz z prowadzeniem i ochroną Mini ZOO (dz. 900 rozdz. 90004). </t>
  </si>
  <si>
    <t>Realizacja Programu opieki nad zwierzętami bezdomnymi oraz zapobieganie bezdomności zwierząt na terenie miasta Konina (dz.900 rozdz. 90013).</t>
  </si>
  <si>
    <t xml:space="preserve">Utrzymanie szaletów miejskich na terenie miasta Konina (dz.900 rozdz. 90095). </t>
  </si>
  <si>
    <t xml:space="preserve">Wykonanie i dostawa tablic rejestracyjnych (dz. 750 rozdz. 75020). </t>
  </si>
  <si>
    <t xml:space="preserve">Zarządzanie nieruchomościami zabudowanymi budynkami komunalnymimieszkalnymi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</si>
  <si>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Konwojowanie gotówki z kasy Urzędu Miejskiego w Koninie przy ul. Przemysłowej (dz. 750 rozdz. 75023). </t>
  </si>
  <si>
    <t xml:space="preserve">Utrzymanie ciągłości funkcjonowania systemów informatycznych (dz. 750 rozdz. 75023). </t>
  </si>
  <si>
    <t xml:space="preserve">Dofinansowanie remontów i zakupów bieżących Komendy Miejskiej Policji w Koninie (dz. 754 rozdz. 75405).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</si>
  <si>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</si>
  <si>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</si>
  <si>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Nabycie nieruchomości gruntowych (dz. 700 rozdz. 70005). </t>
  </si>
  <si>
    <t>Przebudowa ulicy Stodolnianej w Koninie (dz. 600 rozdz. 60016).</t>
  </si>
  <si>
    <t xml:space="preserve">Budowa kanalizacji deszczowej na terenie osiedla Pątnów w Koninie (dz. 900 rozdz. 90095). </t>
  </si>
  <si>
    <t xml:space="preserve">Rozbudowa boisk przy ZSGE ul. Kard. Wyszyńskiego 3 w Koninie (dz. 926 rozdz. 92601). </t>
  </si>
  <si>
    <t xml:space="preserve">Adaptacja budynku przy ul. Benesza 1 w Koninie na cele administracyjne (dz. 750 rozdz. 75095). </t>
  </si>
  <si>
    <t>Budowa ulic: Jesionowej, Modrzewiowej, Lipowej, Klonowej i Cisowej w Koninie (dz. 600 rozdz. 60016).</t>
  </si>
  <si>
    <t>Budowa ulicy Leopolda Staffa w Koninie (dz. 600 rozdz. 60016).</t>
  </si>
  <si>
    <t xml:space="preserve">Słoneczny świat przedszkolaka. Cel: Upowszechnianie edukacji przedszkolnej wsród 35 dzieci w wieku 3-5 lat z terenu miasta Konina, powiatu konińskiego, tureckiego, kolskiego i słupeckiego.  </t>
  </si>
  <si>
    <t>1.1.2.7</t>
  </si>
  <si>
    <t>1.3.1.18</t>
  </si>
  <si>
    <t>Utworzenie grupy zakupowej energii elektrycznej dla jednostek organizacyjnych Miasta Konina (dz.801 rozdz. 80195).</t>
  </si>
  <si>
    <t>1.3.1.19</t>
  </si>
  <si>
    <t>1.3.1.20</t>
  </si>
  <si>
    <t>Utrzymanie zimowe dróg gminnych oraz dróg w miastach na prawach powiatu na terenie miasta Konina (dz. 600 rozdz. 60015, 60016).</t>
  </si>
  <si>
    <t>Remonty dróg gminnych oraz dróg w miastach na prawach powiatu na terenie miasta Konina lewobrzeżnego i prawobrzeżnego (dz. 600 rozdz. 60015, 60016).</t>
  </si>
  <si>
    <t>1.3.1.21</t>
  </si>
  <si>
    <t>1.3.1.22</t>
  </si>
  <si>
    <t>Świadczenie usług dystrybucji energii elektrycznej dla sygnalizacji świetlnych, oświetlenia ulic, przepompowni i osadników wód deszczowych (dz. 900 rozdz. 90015).</t>
  </si>
  <si>
    <t>Dostawa energii elektrycznej dla celów oświetlenia ulic (dz. 900 rozdz. 90015).</t>
  </si>
  <si>
    <t>1.3.1.23</t>
  </si>
  <si>
    <t>Aglomeracja konińska - współpraca JST kluczem do nowoczesnego rozwoju gospodarczego (dz. 853 rozdz. 85395).</t>
  </si>
  <si>
    <t>1.1.1.16</t>
  </si>
  <si>
    <t>Mistrz w zawodzie - praktyki zagraniczne dla uczniów. Cel: Doskonalenie kompetencji zawodowych oraz szkolenie językowe i kulturowe (dz.801 rozdz.80195).</t>
  </si>
  <si>
    <t>1.3.2.13</t>
  </si>
  <si>
    <t>Wniesienie wkładu pieniężnego na budowę sieci kanalizacji sanitarnej i wodociągu w ulicy Rudzickiej (dz. 900 rozdz. 90095).</t>
  </si>
  <si>
    <t>1.3.2.14</t>
  </si>
  <si>
    <t>Budowa ul. Paprotkowej, Azaliowej i Kameliowej (dz. 600 rozdz. 60016).</t>
  </si>
  <si>
    <t xml:space="preserve">"Uczenie się przez całe życie" Leonardo da Vinci </t>
  </si>
  <si>
    <t xml:space="preserve">Zespół Szkół Budowlanych                                 w Koninie </t>
  </si>
  <si>
    <t xml:space="preserve">do Uchwały nr        </t>
  </si>
  <si>
    <t xml:space="preserve">z dnia 31 lipca 2013 roku                   </t>
  </si>
  <si>
    <t>Przebudowa ul. Żwirki i Wigury wraz z kanalizacją deszczową (dz. 600 rozdz. 60015).</t>
  </si>
  <si>
    <t>1.3.2.15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</si>
</sst>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8"/>
  <sheetViews>
    <sheetView tabSelected="1" zoomScalePageLayoutView="0" workbookViewId="0" topLeftCell="A64">
      <selection activeCell="E69" sqref="E69"/>
    </sheetView>
  </sheetViews>
  <sheetFormatPr defaultColWidth="9.140625" defaultRowHeight="12.75"/>
  <cols>
    <col min="1" max="1" width="6.28125" style="40" customWidth="1"/>
    <col min="2" max="2" width="26.140625" style="1" customWidth="1"/>
    <col min="3" max="3" width="15.421875" style="2" customWidth="1"/>
    <col min="4" max="4" width="5.421875" style="1" customWidth="1"/>
    <col min="5" max="5" width="5.28125" style="1" customWidth="1"/>
    <col min="6" max="6" width="13.57421875" style="1" customWidth="1"/>
    <col min="7" max="7" width="13.140625" style="1" customWidth="1"/>
    <col min="8" max="8" width="13.00390625" style="1" customWidth="1"/>
    <col min="9" max="9" width="13.28125" style="1" customWidth="1"/>
    <col min="10" max="10" width="11.57421875" style="1" customWidth="1"/>
    <col min="11" max="11" width="11.00390625" style="1" customWidth="1"/>
    <col min="12" max="12" width="13.00390625" style="1" customWidth="1"/>
    <col min="13" max="13" width="13.140625" style="1" customWidth="1"/>
    <col min="14" max="14" width="12.421875" style="1" customWidth="1"/>
    <col min="15" max="16" width="11.7109375" style="1" bestFit="1" customWidth="1"/>
    <col min="17" max="17" width="10.140625" style="1" bestFit="1" customWidth="1"/>
    <col min="18" max="19" width="11.7109375" style="1" bestFit="1" customWidth="1"/>
    <col min="20" max="16384" width="9.140625" style="1" customWidth="1"/>
  </cols>
  <sheetData>
    <row r="1" ht="18.75">
      <c r="H1" s="15" t="s">
        <v>20</v>
      </c>
    </row>
    <row r="2" ht="15.75">
      <c r="H2" s="3" t="s">
        <v>166</v>
      </c>
    </row>
    <row r="3" ht="15.75">
      <c r="H3" s="3" t="s">
        <v>10</v>
      </c>
    </row>
    <row r="4" ht="15.75">
      <c r="H4" s="3" t="s">
        <v>167</v>
      </c>
    </row>
    <row r="5" ht="15.75">
      <c r="H5" s="3"/>
    </row>
    <row r="6" spans="2:6" ht="18.75">
      <c r="B6" s="16" t="s">
        <v>12</v>
      </c>
      <c r="C6" s="16"/>
      <c r="D6" s="16"/>
      <c r="E6" s="16"/>
      <c r="F6" s="16"/>
    </row>
    <row r="9" spans="1:12" s="14" customFormat="1" ht="56.25" customHeight="1">
      <c r="A9" s="61" t="s">
        <v>0</v>
      </c>
      <c r="B9" s="62" t="s">
        <v>1</v>
      </c>
      <c r="C9" s="62" t="s">
        <v>75</v>
      </c>
      <c r="D9" s="63" t="s">
        <v>2</v>
      </c>
      <c r="E9" s="63"/>
      <c r="F9" s="69" t="s">
        <v>3</v>
      </c>
      <c r="G9" s="63" t="s">
        <v>76</v>
      </c>
      <c r="H9" s="63"/>
      <c r="I9" s="63"/>
      <c r="J9" s="63"/>
      <c r="K9" s="63"/>
      <c r="L9" s="68" t="s">
        <v>13</v>
      </c>
    </row>
    <row r="10" spans="1:12" s="14" customFormat="1" ht="24" customHeight="1">
      <c r="A10" s="61"/>
      <c r="B10" s="62"/>
      <c r="C10" s="62"/>
      <c r="D10" s="64" t="s">
        <v>4</v>
      </c>
      <c r="E10" s="64"/>
      <c r="F10" s="70"/>
      <c r="G10" s="63"/>
      <c r="H10" s="63"/>
      <c r="I10" s="63"/>
      <c r="J10" s="63"/>
      <c r="K10" s="63"/>
      <c r="L10" s="68"/>
    </row>
    <row r="11" spans="1:12" ht="12.75">
      <c r="A11" s="61"/>
      <c r="B11" s="62"/>
      <c r="C11" s="62"/>
      <c r="D11" s="17" t="s">
        <v>5</v>
      </c>
      <c r="E11" s="17" t="s">
        <v>6</v>
      </c>
      <c r="F11" s="71"/>
      <c r="G11" s="17">
        <v>2013</v>
      </c>
      <c r="H11" s="17">
        <v>2014</v>
      </c>
      <c r="I11" s="17">
        <v>2015</v>
      </c>
      <c r="J11" s="17">
        <v>2016</v>
      </c>
      <c r="K11" s="17">
        <v>2017</v>
      </c>
      <c r="L11" s="68"/>
    </row>
    <row r="12" spans="1:12" s="39" customFormat="1" ht="13.5">
      <c r="A12" s="42">
        <v>1</v>
      </c>
      <c r="B12" s="36">
        <v>2</v>
      </c>
      <c r="C12" s="36">
        <v>3</v>
      </c>
      <c r="D12" s="37">
        <v>4</v>
      </c>
      <c r="E12" s="37">
        <v>5</v>
      </c>
      <c r="F12" s="38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48">
        <v>12</v>
      </c>
    </row>
    <row r="13" spans="1:12" ht="13.5">
      <c r="A13" s="41" t="s">
        <v>23</v>
      </c>
      <c r="B13" s="66" t="s">
        <v>22</v>
      </c>
      <c r="C13" s="66"/>
      <c r="D13" s="66"/>
      <c r="E13" s="66"/>
      <c r="F13" s="18">
        <f aca="true" t="shared" si="0" ref="F13:L13">+F14+F15</f>
        <v>102761473.16</v>
      </c>
      <c r="G13" s="18">
        <f t="shared" si="0"/>
        <v>29021106.83</v>
      </c>
      <c r="H13" s="18">
        <f t="shared" si="0"/>
        <v>53352375.08</v>
      </c>
      <c r="I13" s="18">
        <f t="shared" si="0"/>
        <v>15099120.58</v>
      </c>
      <c r="J13" s="18">
        <f t="shared" si="0"/>
        <v>1485150</v>
      </c>
      <c r="K13" s="18">
        <f t="shared" si="0"/>
        <v>959050</v>
      </c>
      <c r="L13" s="18">
        <f t="shared" si="0"/>
        <v>96673261.67</v>
      </c>
    </row>
    <row r="14" spans="1:12" ht="13.5">
      <c r="A14" s="43" t="s">
        <v>24</v>
      </c>
      <c r="B14" s="66" t="s">
        <v>7</v>
      </c>
      <c r="C14" s="66"/>
      <c r="D14" s="66"/>
      <c r="E14" s="66"/>
      <c r="F14" s="19">
        <f aca="true" t="shared" si="1" ref="F14:L14">F17+F51</f>
        <v>68569302.63</v>
      </c>
      <c r="G14" s="19">
        <f t="shared" si="1"/>
        <v>17171448.18</v>
      </c>
      <c r="H14" s="19">
        <f t="shared" si="1"/>
        <v>34003846.25</v>
      </c>
      <c r="I14" s="19">
        <f t="shared" si="1"/>
        <v>12989120.58</v>
      </c>
      <c r="J14" s="19">
        <f t="shared" si="1"/>
        <v>1375150</v>
      </c>
      <c r="K14" s="19">
        <f t="shared" si="1"/>
        <v>959050</v>
      </c>
      <c r="L14" s="19">
        <f t="shared" si="1"/>
        <v>63255074.19</v>
      </c>
    </row>
    <row r="15" spans="1:15" ht="13.5">
      <c r="A15" s="43" t="s">
        <v>25</v>
      </c>
      <c r="B15" s="66" t="s">
        <v>8</v>
      </c>
      <c r="C15" s="66"/>
      <c r="D15" s="66"/>
      <c r="E15" s="66"/>
      <c r="F15" s="19">
        <f aca="true" t="shared" si="2" ref="F15:L15">F38+F75</f>
        <v>34192170.53</v>
      </c>
      <c r="G15" s="19">
        <f t="shared" si="2"/>
        <v>11849658.649999999</v>
      </c>
      <c r="H15" s="19">
        <f t="shared" si="2"/>
        <v>19348528.83</v>
      </c>
      <c r="I15" s="19">
        <f t="shared" si="2"/>
        <v>2110000</v>
      </c>
      <c r="J15" s="19">
        <f t="shared" si="2"/>
        <v>110000</v>
      </c>
      <c r="K15" s="19">
        <f t="shared" si="2"/>
        <v>0</v>
      </c>
      <c r="L15" s="19">
        <f t="shared" si="2"/>
        <v>33418187.480000004</v>
      </c>
      <c r="O15" s="13"/>
    </row>
    <row r="16" spans="1:12" ht="57" customHeight="1">
      <c r="A16" s="43" t="s">
        <v>26</v>
      </c>
      <c r="B16" s="67" t="s">
        <v>77</v>
      </c>
      <c r="C16" s="67"/>
      <c r="D16" s="67"/>
      <c r="E16" s="67"/>
      <c r="F16" s="18">
        <f aca="true" t="shared" si="3" ref="F16:L16">F17+F38</f>
        <v>11653434.059999999</v>
      </c>
      <c r="G16" s="18">
        <f t="shared" si="3"/>
        <v>6465512.26</v>
      </c>
      <c r="H16" s="18">
        <f t="shared" si="3"/>
        <v>3921450.4400000004</v>
      </c>
      <c r="I16" s="18">
        <f t="shared" si="3"/>
        <v>177680</v>
      </c>
      <c r="J16" s="18">
        <f t="shared" si="3"/>
        <v>0</v>
      </c>
      <c r="K16" s="18">
        <f t="shared" si="3"/>
        <v>0</v>
      </c>
      <c r="L16" s="18">
        <f t="shared" si="3"/>
        <v>9478313.7</v>
      </c>
    </row>
    <row r="17" spans="1:12" ht="13.5">
      <c r="A17" s="45" t="s">
        <v>83</v>
      </c>
      <c r="B17" s="65" t="s">
        <v>9</v>
      </c>
      <c r="C17" s="65"/>
      <c r="D17" s="65"/>
      <c r="E17" s="65"/>
      <c r="F17" s="19">
        <f>SUM(F19:F37)</f>
        <v>9121584.059999999</v>
      </c>
      <c r="G17" s="19">
        <f aca="true" t="shared" si="4" ref="G17:L17">SUM(G19:G37)</f>
        <v>4777212.26</v>
      </c>
      <c r="H17" s="19">
        <f t="shared" si="4"/>
        <v>3121450.4400000004</v>
      </c>
      <c r="I17" s="19">
        <f t="shared" si="4"/>
        <v>177680</v>
      </c>
      <c r="J17" s="19">
        <f t="shared" si="4"/>
        <v>0</v>
      </c>
      <c r="K17" s="19">
        <f t="shared" si="4"/>
        <v>0</v>
      </c>
      <c r="L17" s="19">
        <f t="shared" si="4"/>
        <v>6990013.699999999</v>
      </c>
    </row>
    <row r="18" spans="1:12" ht="33.75" customHeight="1">
      <c r="A18" s="43"/>
      <c r="B18" s="49" t="s">
        <v>82</v>
      </c>
      <c r="C18" s="50"/>
      <c r="D18" s="50"/>
      <c r="E18" s="50"/>
      <c r="F18" s="19"/>
      <c r="G18" s="19"/>
      <c r="H18" s="19"/>
      <c r="I18" s="19"/>
      <c r="J18" s="19"/>
      <c r="K18" s="19"/>
      <c r="L18" s="19"/>
    </row>
    <row r="19" spans="1:15" s="10" customFormat="1" ht="131.25" customHeight="1">
      <c r="A19" s="43" t="s">
        <v>81</v>
      </c>
      <c r="B19" s="20" t="s">
        <v>110</v>
      </c>
      <c r="C19" s="25" t="s">
        <v>11</v>
      </c>
      <c r="D19" s="21">
        <v>2012</v>
      </c>
      <c r="E19" s="21">
        <v>2014</v>
      </c>
      <c r="F19" s="24">
        <v>938884</v>
      </c>
      <c r="G19" s="24">
        <f>215853.2+21178.27</f>
        <v>237031.47</v>
      </c>
      <c r="H19" s="24">
        <v>448777.5</v>
      </c>
      <c r="I19" s="22"/>
      <c r="J19" s="22"/>
      <c r="K19" s="22"/>
      <c r="L19" s="22">
        <f>616825.7+21178.27</f>
        <v>638003.97</v>
      </c>
      <c r="M19" s="31"/>
      <c r="N19" s="31"/>
      <c r="O19" s="31"/>
    </row>
    <row r="20" spans="1:14" s="10" customFormat="1" ht="81.75" customHeight="1">
      <c r="A20" s="43" t="s">
        <v>27</v>
      </c>
      <c r="B20" s="20" t="s">
        <v>111</v>
      </c>
      <c r="C20" s="25" t="s">
        <v>14</v>
      </c>
      <c r="D20" s="21">
        <v>2012</v>
      </c>
      <c r="E20" s="21">
        <v>2014</v>
      </c>
      <c r="F20" s="24">
        <v>133707.7</v>
      </c>
      <c r="G20" s="24">
        <f>71940+5590.02</f>
        <v>77530.02</v>
      </c>
      <c r="H20" s="24">
        <v>7680</v>
      </c>
      <c r="I20" s="22"/>
      <c r="J20" s="22"/>
      <c r="K20" s="22"/>
      <c r="L20" s="22">
        <f>65859+5590.02</f>
        <v>71449.02</v>
      </c>
      <c r="M20" s="31"/>
      <c r="N20" s="31"/>
    </row>
    <row r="21" spans="1:14" s="10" customFormat="1" ht="116.25" customHeight="1">
      <c r="A21" s="43" t="s">
        <v>28</v>
      </c>
      <c r="B21" s="20" t="s">
        <v>112</v>
      </c>
      <c r="C21" s="20" t="s">
        <v>11</v>
      </c>
      <c r="D21" s="21">
        <v>2012</v>
      </c>
      <c r="E21" s="21">
        <v>2014</v>
      </c>
      <c r="F21" s="24">
        <v>856064.58</v>
      </c>
      <c r="G21" s="24">
        <f>599567.39+5030.31</f>
        <v>604597.7000000001</v>
      </c>
      <c r="H21" s="24">
        <v>225666</v>
      </c>
      <c r="I21" s="22"/>
      <c r="J21" s="22"/>
      <c r="K21" s="22"/>
      <c r="L21" s="22">
        <f>825233.39+5030.31</f>
        <v>830263.7000000001</v>
      </c>
      <c r="M21" s="31"/>
      <c r="N21" s="31"/>
    </row>
    <row r="22" spans="1:14" s="10" customFormat="1" ht="168" customHeight="1">
      <c r="A22" s="43" t="s">
        <v>29</v>
      </c>
      <c r="B22" s="20" t="s">
        <v>113</v>
      </c>
      <c r="C22" s="20" t="s">
        <v>11</v>
      </c>
      <c r="D22" s="21">
        <v>2012</v>
      </c>
      <c r="E22" s="21">
        <v>2014</v>
      </c>
      <c r="F22" s="24">
        <v>996651.45</v>
      </c>
      <c r="G22" s="24">
        <v>893225.1</v>
      </c>
      <c r="H22" s="24">
        <v>66675</v>
      </c>
      <c r="I22" s="22"/>
      <c r="J22" s="22"/>
      <c r="K22" s="22"/>
      <c r="L22" s="22">
        <v>959900.1</v>
      </c>
      <c r="M22" s="31"/>
      <c r="N22" s="31"/>
    </row>
    <row r="23" spans="1:16" s="28" customFormat="1" ht="81.75" customHeight="1">
      <c r="A23" s="43" t="s">
        <v>30</v>
      </c>
      <c r="B23" s="20" t="s">
        <v>114</v>
      </c>
      <c r="C23" s="25" t="s">
        <v>18</v>
      </c>
      <c r="D23" s="21">
        <v>2012</v>
      </c>
      <c r="E23" s="21">
        <v>2014</v>
      </c>
      <c r="F23" s="24">
        <v>630294.44</v>
      </c>
      <c r="G23" s="24">
        <f>300469.72+2983.83</f>
        <v>303453.55</v>
      </c>
      <c r="H23" s="24">
        <v>159087.12</v>
      </c>
      <c r="I23" s="22"/>
      <c r="J23" s="22"/>
      <c r="K23" s="22"/>
      <c r="L23" s="22">
        <f>52003.84+2983.83</f>
        <v>54987.67</v>
      </c>
      <c r="M23" s="31"/>
      <c r="N23" s="33"/>
      <c r="P23" s="32"/>
    </row>
    <row r="24" spans="1:14" s="28" customFormat="1" ht="69" customHeight="1">
      <c r="A24" s="43" t="s">
        <v>31</v>
      </c>
      <c r="B24" s="20" t="s">
        <v>115</v>
      </c>
      <c r="C24" s="25" t="s">
        <v>19</v>
      </c>
      <c r="D24" s="21">
        <v>2012</v>
      </c>
      <c r="E24" s="21">
        <v>2014</v>
      </c>
      <c r="F24" s="24">
        <f>933970-14400</f>
        <v>919570</v>
      </c>
      <c r="G24" s="24">
        <f>416830-7192.46</f>
        <v>409637.54</v>
      </c>
      <c r="H24" s="24">
        <f>173980-7200</f>
        <v>166780</v>
      </c>
      <c r="I24" s="22"/>
      <c r="J24" s="22"/>
      <c r="K24" s="22"/>
      <c r="L24" s="22">
        <f>42600-14400+7.54</f>
        <v>28207.54</v>
      </c>
      <c r="M24" s="31"/>
      <c r="N24" s="33"/>
    </row>
    <row r="25" spans="1:14" s="28" customFormat="1" ht="118.5" customHeight="1">
      <c r="A25" s="43" t="s">
        <v>32</v>
      </c>
      <c r="B25" s="20" t="s">
        <v>116</v>
      </c>
      <c r="C25" s="25" t="s">
        <v>11</v>
      </c>
      <c r="D25" s="21">
        <v>2012</v>
      </c>
      <c r="E25" s="21">
        <v>2014</v>
      </c>
      <c r="F25" s="24">
        <v>1488247.04</v>
      </c>
      <c r="G25" s="24">
        <v>889437.59</v>
      </c>
      <c r="H25" s="24">
        <v>598809.45</v>
      </c>
      <c r="I25" s="22"/>
      <c r="J25" s="22"/>
      <c r="K25" s="22"/>
      <c r="L25" s="22">
        <v>1488247.04</v>
      </c>
      <c r="M25" s="31"/>
      <c r="N25" s="33"/>
    </row>
    <row r="26" spans="1:16" s="10" customFormat="1" ht="40.5" customHeight="1">
      <c r="A26" s="43" t="s">
        <v>33</v>
      </c>
      <c r="B26" s="20" t="s">
        <v>117</v>
      </c>
      <c r="C26" s="25" t="s">
        <v>15</v>
      </c>
      <c r="D26" s="21">
        <v>2012</v>
      </c>
      <c r="E26" s="21">
        <v>2014</v>
      </c>
      <c r="F26" s="24">
        <v>256448</v>
      </c>
      <c r="G26" s="24">
        <f>106142+1372.24</f>
        <v>107514.24</v>
      </c>
      <c r="H26" s="24">
        <v>11200</v>
      </c>
      <c r="I26" s="22"/>
      <c r="J26" s="22"/>
      <c r="K26" s="22"/>
      <c r="L26" s="22">
        <f>52142+1372.24</f>
        <v>53514.24</v>
      </c>
      <c r="M26" s="31"/>
      <c r="N26" s="33"/>
      <c r="P26" s="31"/>
    </row>
    <row r="27" spans="1:13" s="10" customFormat="1" ht="155.25" customHeight="1">
      <c r="A27" s="43" t="s">
        <v>34</v>
      </c>
      <c r="B27" s="20" t="s">
        <v>118</v>
      </c>
      <c r="C27" s="25" t="s">
        <v>17</v>
      </c>
      <c r="D27" s="21">
        <v>2012</v>
      </c>
      <c r="E27" s="21">
        <v>2014</v>
      </c>
      <c r="F27" s="24">
        <f>298435-14400-6000</f>
        <v>278035</v>
      </c>
      <c r="G27" s="24">
        <f>210855+40.04-8400-6000</f>
        <v>196495.04</v>
      </c>
      <c r="H27" s="24">
        <f>83180-6000</f>
        <v>77180</v>
      </c>
      <c r="I27" s="24"/>
      <c r="J27" s="22"/>
      <c r="K27" s="22"/>
      <c r="L27" s="22">
        <f>294035+40.04-14400-6000</f>
        <v>273675.04</v>
      </c>
      <c r="M27" s="34"/>
    </row>
    <row r="28" spans="1:14" s="10" customFormat="1" ht="105.75" customHeight="1">
      <c r="A28" s="43" t="s">
        <v>35</v>
      </c>
      <c r="B28" s="20" t="s">
        <v>119</v>
      </c>
      <c r="C28" s="25" t="s">
        <v>11</v>
      </c>
      <c r="D28" s="21">
        <v>2013</v>
      </c>
      <c r="E28" s="21">
        <v>2014</v>
      </c>
      <c r="F28" s="24">
        <v>604489.38</v>
      </c>
      <c r="G28" s="24">
        <v>167818.38</v>
      </c>
      <c r="H28" s="24">
        <v>436671</v>
      </c>
      <c r="I28" s="22"/>
      <c r="J28" s="22"/>
      <c r="K28" s="22"/>
      <c r="L28" s="22">
        <v>604489.38</v>
      </c>
      <c r="M28" s="31"/>
      <c r="N28" s="33"/>
    </row>
    <row r="29" spans="1:14" s="28" customFormat="1" ht="119.25" customHeight="1">
      <c r="A29" s="43" t="s">
        <v>36</v>
      </c>
      <c r="B29" s="20" t="s">
        <v>120</v>
      </c>
      <c r="C29" s="25" t="s">
        <v>21</v>
      </c>
      <c r="D29" s="21">
        <v>2013</v>
      </c>
      <c r="E29" s="21">
        <v>2015</v>
      </c>
      <c r="F29" s="24">
        <f>876494.5-34500</f>
        <v>841994.5</v>
      </c>
      <c r="G29" s="24">
        <f>392366.5-34500-10240</f>
        <v>347626.5</v>
      </c>
      <c r="H29" s="24">
        <f>412790+9280</f>
        <v>422070</v>
      </c>
      <c r="I29" s="24">
        <f>71338+960</f>
        <v>72298</v>
      </c>
      <c r="J29" s="22"/>
      <c r="K29" s="22"/>
      <c r="L29" s="22">
        <f>876494.5-34500</f>
        <v>841994.5</v>
      </c>
      <c r="M29" s="31"/>
      <c r="N29" s="33"/>
    </row>
    <row r="30" spans="1:14" s="10" customFormat="1" ht="182.25" customHeight="1">
      <c r="A30" s="43" t="s">
        <v>37</v>
      </c>
      <c r="B30" s="20" t="s">
        <v>121</v>
      </c>
      <c r="C30" s="25" t="s">
        <v>79</v>
      </c>
      <c r="D30" s="21">
        <v>2013</v>
      </c>
      <c r="E30" s="21">
        <v>2015</v>
      </c>
      <c r="F30" s="24">
        <f>SUM(G30:I30)</f>
        <v>542024</v>
      </c>
      <c r="G30" s="24">
        <f>253578-7848</f>
        <v>245730</v>
      </c>
      <c r="H30" s="24">
        <f>187062+3850</f>
        <v>190912</v>
      </c>
      <c r="I30" s="22">
        <f>101384+3998</f>
        <v>105382</v>
      </c>
      <c r="J30" s="22"/>
      <c r="K30" s="22"/>
      <c r="L30" s="22">
        <v>542024</v>
      </c>
      <c r="M30" s="31"/>
      <c r="N30" s="33"/>
    </row>
    <row r="31" spans="1:14" s="28" customFormat="1" ht="51.75" customHeight="1">
      <c r="A31" s="43"/>
      <c r="B31" s="49" t="s">
        <v>106</v>
      </c>
      <c r="C31" s="25"/>
      <c r="D31" s="21"/>
      <c r="E31" s="21"/>
      <c r="F31" s="24"/>
      <c r="G31" s="24"/>
      <c r="H31" s="24"/>
      <c r="I31" s="24"/>
      <c r="J31" s="22"/>
      <c r="K31" s="22"/>
      <c r="L31" s="22"/>
      <c r="M31" s="31"/>
      <c r="N31" s="33"/>
    </row>
    <row r="32" spans="1:14" s="10" customFormat="1" ht="146.25" customHeight="1">
      <c r="A32" s="43" t="s">
        <v>38</v>
      </c>
      <c r="B32" s="20" t="s">
        <v>95</v>
      </c>
      <c r="C32" s="20" t="s">
        <v>11</v>
      </c>
      <c r="D32" s="21">
        <v>2012</v>
      </c>
      <c r="E32" s="21">
        <v>2014</v>
      </c>
      <c r="F32" s="24">
        <v>45000</v>
      </c>
      <c r="G32" s="24">
        <v>30000</v>
      </c>
      <c r="H32" s="24">
        <v>15000</v>
      </c>
      <c r="I32" s="22"/>
      <c r="J32" s="22"/>
      <c r="K32" s="22"/>
      <c r="L32" s="22">
        <v>45000</v>
      </c>
      <c r="M32" s="31"/>
      <c r="N32" s="31"/>
    </row>
    <row r="33" spans="1:14" s="10" customFormat="1" ht="40.5" customHeight="1">
      <c r="A33" s="43"/>
      <c r="B33" s="49" t="s">
        <v>107</v>
      </c>
      <c r="C33" s="20"/>
      <c r="D33" s="21"/>
      <c r="E33" s="21"/>
      <c r="F33" s="24"/>
      <c r="G33" s="24"/>
      <c r="H33" s="24"/>
      <c r="I33" s="22"/>
      <c r="J33" s="22"/>
      <c r="K33" s="22"/>
      <c r="L33" s="22"/>
      <c r="M33" s="31"/>
      <c r="N33" s="31"/>
    </row>
    <row r="34" spans="1:16" s="10" customFormat="1" ht="119.25" customHeight="1">
      <c r="A34" s="43" t="s">
        <v>39</v>
      </c>
      <c r="B34" s="20" t="s">
        <v>108</v>
      </c>
      <c r="C34" s="26" t="s">
        <v>16</v>
      </c>
      <c r="D34" s="21">
        <v>2012</v>
      </c>
      <c r="E34" s="21">
        <v>2014</v>
      </c>
      <c r="F34" s="24">
        <f>83888-2148.8</f>
        <v>81739.2</v>
      </c>
      <c r="G34" s="24">
        <f>62610.4+306.52-2148.8</f>
        <v>60768.119999999995</v>
      </c>
      <c r="H34" s="24">
        <v>16777.6</v>
      </c>
      <c r="I34" s="22"/>
      <c r="J34" s="22"/>
      <c r="K34" s="22"/>
      <c r="L34" s="22">
        <f>79388+306.52-2148.8</f>
        <v>77545.72</v>
      </c>
      <c r="M34" s="31"/>
      <c r="N34" s="31"/>
      <c r="P34" s="31"/>
    </row>
    <row r="35" spans="1:16" s="28" customFormat="1" ht="105" customHeight="1">
      <c r="A35" s="43" t="s">
        <v>78</v>
      </c>
      <c r="B35" s="20" t="s">
        <v>109</v>
      </c>
      <c r="C35" s="25" t="s">
        <v>17</v>
      </c>
      <c r="D35" s="21">
        <v>2012</v>
      </c>
      <c r="E35" s="21">
        <v>2014</v>
      </c>
      <c r="F35" s="24">
        <v>83838</v>
      </c>
      <c r="G35" s="24">
        <f>45885+7262.01</f>
        <v>53147.01</v>
      </c>
      <c r="H35" s="24">
        <v>6768</v>
      </c>
      <c r="I35" s="22"/>
      <c r="J35" s="22"/>
      <c r="K35" s="22"/>
      <c r="L35" s="22">
        <f>48853+7262.01</f>
        <v>56115.01</v>
      </c>
      <c r="M35" s="31"/>
      <c r="N35" s="31"/>
      <c r="P35" s="32"/>
    </row>
    <row r="36" spans="1:16" s="28" customFormat="1" ht="27.75" customHeight="1">
      <c r="A36" s="43"/>
      <c r="B36" s="49" t="s">
        <v>164</v>
      </c>
      <c r="C36" s="25"/>
      <c r="D36" s="21"/>
      <c r="E36" s="21"/>
      <c r="F36" s="24"/>
      <c r="G36" s="24"/>
      <c r="H36" s="24"/>
      <c r="I36" s="22"/>
      <c r="J36" s="22"/>
      <c r="K36" s="22"/>
      <c r="L36" s="22"/>
      <c r="M36" s="31"/>
      <c r="N36" s="31"/>
      <c r="P36" s="32"/>
    </row>
    <row r="37" spans="1:16" s="28" customFormat="1" ht="81.75" customHeight="1">
      <c r="A37" s="43" t="s">
        <v>158</v>
      </c>
      <c r="B37" s="20" t="s">
        <v>159</v>
      </c>
      <c r="C37" s="25" t="s">
        <v>165</v>
      </c>
      <c r="D37" s="21">
        <v>2013</v>
      </c>
      <c r="E37" s="21">
        <v>2014</v>
      </c>
      <c r="F37" s="24">
        <f>SUM(G37:H37)</f>
        <v>424596.77</v>
      </c>
      <c r="G37" s="24">
        <v>153200</v>
      </c>
      <c r="H37" s="24">
        <v>271396.77</v>
      </c>
      <c r="I37" s="22"/>
      <c r="J37" s="22"/>
      <c r="K37" s="22"/>
      <c r="L37" s="22">
        <f>SUM(G37:H37)</f>
        <v>424596.77</v>
      </c>
      <c r="M37" s="31"/>
      <c r="N37" s="31"/>
      <c r="P37" s="32"/>
    </row>
    <row r="38" spans="1:14" s="10" customFormat="1" ht="20.25" customHeight="1">
      <c r="A38" s="45" t="s">
        <v>84</v>
      </c>
      <c r="B38" s="47" t="s">
        <v>40</v>
      </c>
      <c r="C38" s="23"/>
      <c r="D38" s="21"/>
      <c r="E38" s="21"/>
      <c r="F38" s="24">
        <f>SUM(F40:F46)</f>
        <v>2531850</v>
      </c>
      <c r="G38" s="24">
        <f aca="true" t="shared" si="5" ref="G38:L38">SUM(G40:G46)</f>
        <v>1688300</v>
      </c>
      <c r="H38" s="24">
        <f t="shared" si="5"/>
        <v>800000</v>
      </c>
      <c r="I38" s="24">
        <f t="shared" si="5"/>
        <v>0</v>
      </c>
      <c r="J38" s="24">
        <f t="shared" si="5"/>
        <v>0</v>
      </c>
      <c r="K38" s="24">
        <f t="shared" si="5"/>
        <v>0</v>
      </c>
      <c r="L38" s="24">
        <f t="shared" si="5"/>
        <v>2488300</v>
      </c>
      <c r="M38" s="31"/>
      <c r="N38" s="33"/>
    </row>
    <row r="39" spans="1:14" s="10" customFormat="1" ht="33.75" customHeight="1">
      <c r="A39" s="45"/>
      <c r="B39" s="49" t="s">
        <v>82</v>
      </c>
      <c r="C39" s="23"/>
      <c r="D39" s="21"/>
      <c r="E39" s="21"/>
      <c r="F39" s="24"/>
      <c r="G39" s="24"/>
      <c r="H39" s="24"/>
      <c r="I39" s="24"/>
      <c r="J39" s="24"/>
      <c r="K39" s="24"/>
      <c r="L39" s="24"/>
      <c r="M39" s="31"/>
      <c r="N39" s="33"/>
    </row>
    <row r="40" spans="1:14" s="10" customFormat="1" ht="157.5" customHeight="1">
      <c r="A40" s="43" t="s">
        <v>41</v>
      </c>
      <c r="B40" s="20" t="s">
        <v>89</v>
      </c>
      <c r="C40" s="20" t="s">
        <v>11</v>
      </c>
      <c r="D40" s="21">
        <v>2012</v>
      </c>
      <c r="E40" s="21">
        <v>2014</v>
      </c>
      <c r="F40" s="24">
        <v>1600000</v>
      </c>
      <c r="G40" s="24">
        <v>1600000</v>
      </c>
      <c r="H40" s="22"/>
      <c r="I40" s="22"/>
      <c r="J40" s="22"/>
      <c r="K40" s="22"/>
      <c r="L40" s="22">
        <v>1600000</v>
      </c>
      <c r="M40" s="31"/>
      <c r="N40" s="31"/>
    </row>
    <row r="41" spans="1:16" s="28" customFormat="1" ht="69" customHeight="1">
      <c r="A41" s="43" t="s">
        <v>42</v>
      </c>
      <c r="B41" s="20" t="s">
        <v>90</v>
      </c>
      <c r="C41" s="25" t="s">
        <v>18</v>
      </c>
      <c r="D41" s="21">
        <v>2012</v>
      </c>
      <c r="E41" s="21">
        <v>2014</v>
      </c>
      <c r="F41" s="24">
        <v>32550</v>
      </c>
      <c r="G41" s="24">
        <v>0</v>
      </c>
      <c r="H41" s="24">
        <v>0</v>
      </c>
      <c r="I41" s="22"/>
      <c r="J41" s="22"/>
      <c r="K41" s="22"/>
      <c r="L41" s="22">
        <v>0</v>
      </c>
      <c r="M41" s="31"/>
      <c r="N41" s="33"/>
      <c r="P41" s="32"/>
    </row>
    <row r="42" spans="1:16" s="10" customFormat="1" ht="37.5" customHeight="1">
      <c r="A42" s="43" t="s">
        <v>43</v>
      </c>
      <c r="B42" s="20" t="s">
        <v>91</v>
      </c>
      <c r="C42" s="25" t="s">
        <v>15</v>
      </c>
      <c r="D42" s="21">
        <v>2012</v>
      </c>
      <c r="E42" s="21">
        <v>2014</v>
      </c>
      <c r="F42" s="24">
        <v>11000</v>
      </c>
      <c r="G42" s="24">
        <v>0</v>
      </c>
      <c r="H42" s="24">
        <v>0</v>
      </c>
      <c r="I42" s="22"/>
      <c r="J42" s="22"/>
      <c r="K42" s="22"/>
      <c r="L42" s="22">
        <v>0</v>
      </c>
      <c r="M42" s="31"/>
      <c r="N42" s="33"/>
      <c r="P42" s="31"/>
    </row>
    <row r="43" spans="1:13" s="10" customFormat="1" ht="152.25" customHeight="1">
      <c r="A43" s="43" t="s">
        <v>44</v>
      </c>
      <c r="B43" s="20" t="s">
        <v>92</v>
      </c>
      <c r="C43" s="25" t="s">
        <v>17</v>
      </c>
      <c r="D43" s="21">
        <v>2012</v>
      </c>
      <c r="E43" s="21">
        <v>2014</v>
      </c>
      <c r="F43" s="24">
        <f>38000+6000</f>
        <v>44000</v>
      </c>
      <c r="G43" s="24">
        <f>38000+6000</f>
        <v>44000</v>
      </c>
      <c r="H43" s="24"/>
      <c r="I43" s="24"/>
      <c r="J43" s="22"/>
      <c r="K43" s="22"/>
      <c r="L43" s="22">
        <f>38000+6000</f>
        <v>44000</v>
      </c>
      <c r="M43" s="34"/>
    </row>
    <row r="44" spans="1:14" s="10" customFormat="1" ht="93.75" customHeight="1">
      <c r="A44" s="43" t="s">
        <v>45</v>
      </c>
      <c r="B44" s="20" t="s">
        <v>93</v>
      </c>
      <c r="C44" s="25" t="s">
        <v>11</v>
      </c>
      <c r="D44" s="21">
        <v>2013</v>
      </c>
      <c r="E44" s="21">
        <v>2014</v>
      </c>
      <c r="F44" s="24">
        <v>800000</v>
      </c>
      <c r="G44" s="24">
        <v>0</v>
      </c>
      <c r="H44" s="24">
        <v>800000</v>
      </c>
      <c r="I44" s="22"/>
      <c r="J44" s="22"/>
      <c r="K44" s="22"/>
      <c r="L44" s="22">
        <v>800000</v>
      </c>
      <c r="M44" s="31"/>
      <c r="N44" s="33"/>
    </row>
    <row r="45" spans="1:14" s="10" customFormat="1" ht="111.75" customHeight="1">
      <c r="A45" s="43" t="s">
        <v>80</v>
      </c>
      <c r="B45" s="20" t="s">
        <v>144</v>
      </c>
      <c r="C45" s="25" t="s">
        <v>21</v>
      </c>
      <c r="D45" s="21">
        <v>2013</v>
      </c>
      <c r="E45" s="21">
        <v>2015</v>
      </c>
      <c r="F45" s="24">
        <f>SUM(G45)</f>
        <v>34500</v>
      </c>
      <c r="G45" s="24">
        <v>34500</v>
      </c>
      <c r="H45" s="24"/>
      <c r="I45" s="22"/>
      <c r="J45" s="22"/>
      <c r="K45" s="22"/>
      <c r="L45" s="22">
        <f>SUM(G45:K45)</f>
        <v>34500</v>
      </c>
      <c r="M45" s="31"/>
      <c r="N45" s="33"/>
    </row>
    <row r="46" spans="1:14" s="10" customFormat="1" ht="172.5" customHeight="1">
      <c r="A46" s="43" t="s">
        <v>145</v>
      </c>
      <c r="B46" s="20" t="s">
        <v>94</v>
      </c>
      <c r="C46" s="25" t="s">
        <v>79</v>
      </c>
      <c r="D46" s="21">
        <v>2013</v>
      </c>
      <c r="E46" s="21">
        <v>2015</v>
      </c>
      <c r="F46" s="24">
        <f>SUM(G46)</f>
        <v>9800</v>
      </c>
      <c r="G46" s="24">
        <v>9800</v>
      </c>
      <c r="H46" s="24"/>
      <c r="I46" s="22"/>
      <c r="J46" s="22"/>
      <c r="K46" s="22"/>
      <c r="L46" s="22">
        <v>9800</v>
      </c>
      <c r="M46" s="31"/>
      <c r="N46" s="33"/>
    </row>
    <row r="47" spans="1:14" s="10" customFormat="1" ht="29.25" customHeight="1">
      <c r="A47" s="43" t="s">
        <v>46</v>
      </c>
      <c r="B47" s="67" t="s">
        <v>47</v>
      </c>
      <c r="C47" s="67"/>
      <c r="D47" s="67"/>
      <c r="E47" s="67"/>
      <c r="F47" s="27">
        <f aca="true" t="shared" si="6" ref="F47:L47">+F48+F49</f>
        <v>0</v>
      </c>
      <c r="G47" s="27">
        <f t="shared" si="6"/>
        <v>0</v>
      </c>
      <c r="H47" s="27">
        <f t="shared" si="6"/>
        <v>0</v>
      </c>
      <c r="I47" s="27"/>
      <c r="J47" s="27"/>
      <c r="K47" s="27">
        <f t="shared" si="6"/>
        <v>0</v>
      </c>
      <c r="L47" s="27">
        <f t="shared" si="6"/>
        <v>0</v>
      </c>
      <c r="M47" s="31"/>
      <c r="N47" s="33"/>
    </row>
    <row r="48" spans="1:14" s="10" customFormat="1" ht="16.5" customHeight="1">
      <c r="A48" s="43" t="s">
        <v>48</v>
      </c>
      <c r="B48" s="73" t="s">
        <v>7</v>
      </c>
      <c r="C48" s="73"/>
      <c r="D48" s="73"/>
      <c r="E48" s="73"/>
      <c r="F48" s="24">
        <v>0</v>
      </c>
      <c r="G48" s="24">
        <v>0</v>
      </c>
      <c r="H48" s="24">
        <v>0</v>
      </c>
      <c r="I48" s="24"/>
      <c r="J48" s="24"/>
      <c r="K48" s="24">
        <v>0</v>
      </c>
      <c r="L48" s="24">
        <v>0</v>
      </c>
      <c r="M48" s="31"/>
      <c r="N48" s="33"/>
    </row>
    <row r="49" spans="1:14" s="10" customFormat="1" ht="16.5" customHeight="1">
      <c r="A49" s="43" t="s">
        <v>49</v>
      </c>
      <c r="B49" s="73" t="s">
        <v>8</v>
      </c>
      <c r="C49" s="73"/>
      <c r="D49" s="73"/>
      <c r="E49" s="73"/>
      <c r="F49" s="24">
        <v>0</v>
      </c>
      <c r="G49" s="24">
        <v>0</v>
      </c>
      <c r="H49" s="24">
        <v>0</v>
      </c>
      <c r="I49" s="24"/>
      <c r="J49" s="24"/>
      <c r="K49" s="24">
        <v>0</v>
      </c>
      <c r="L49" s="24">
        <v>0</v>
      </c>
      <c r="M49" s="31"/>
      <c r="N49" s="33"/>
    </row>
    <row r="50" spans="1:14" s="2" customFormat="1" ht="27.75" customHeight="1">
      <c r="A50" s="43" t="s">
        <v>74</v>
      </c>
      <c r="B50" s="67" t="s">
        <v>50</v>
      </c>
      <c r="C50" s="67"/>
      <c r="D50" s="67"/>
      <c r="E50" s="67"/>
      <c r="F50" s="27">
        <f>F51+F75</f>
        <v>91108039.1</v>
      </c>
      <c r="G50" s="27">
        <f aca="true" t="shared" si="7" ref="G50:L50">G51+G75</f>
        <v>22555594.57</v>
      </c>
      <c r="H50" s="27">
        <f t="shared" si="7"/>
        <v>49430924.64</v>
      </c>
      <c r="I50" s="27">
        <f t="shared" si="7"/>
        <v>14921440.58</v>
      </c>
      <c r="J50" s="27">
        <f t="shared" si="7"/>
        <v>1485150</v>
      </c>
      <c r="K50" s="27">
        <f t="shared" si="7"/>
        <v>959050</v>
      </c>
      <c r="L50" s="27">
        <f t="shared" si="7"/>
        <v>87194947.97</v>
      </c>
      <c r="M50" s="31"/>
      <c r="N50" s="33"/>
    </row>
    <row r="51" spans="1:14" s="2" customFormat="1" ht="16.5" customHeight="1">
      <c r="A51" s="45" t="s">
        <v>51</v>
      </c>
      <c r="B51" s="72" t="s">
        <v>7</v>
      </c>
      <c r="C51" s="72"/>
      <c r="D51" s="72"/>
      <c r="E51" s="72"/>
      <c r="F51" s="24">
        <f>SUM(F52:F74)</f>
        <v>59447718.57</v>
      </c>
      <c r="G51" s="24">
        <f aca="true" t="shared" si="8" ref="G51:L51">SUM(G52:G74)</f>
        <v>12394235.92</v>
      </c>
      <c r="H51" s="24">
        <f t="shared" si="8"/>
        <v>30882395.810000002</v>
      </c>
      <c r="I51" s="24">
        <f t="shared" si="8"/>
        <v>12811440.58</v>
      </c>
      <c r="J51" s="24">
        <f t="shared" si="8"/>
        <v>1375150</v>
      </c>
      <c r="K51" s="24">
        <f t="shared" si="8"/>
        <v>959050</v>
      </c>
      <c r="L51" s="24">
        <f t="shared" si="8"/>
        <v>56265060.49</v>
      </c>
      <c r="M51" s="31"/>
      <c r="N51" s="33"/>
    </row>
    <row r="52" spans="1:19" s="2" customFormat="1" ht="93.75" customHeight="1">
      <c r="A52" s="43" t="s">
        <v>52</v>
      </c>
      <c r="B52" s="20" t="s">
        <v>122</v>
      </c>
      <c r="C52" s="30" t="s">
        <v>11</v>
      </c>
      <c r="D52" s="21">
        <v>2011</v>
      </c>
      <c r="E52" s="21">
        <v>2015</v>
      </c>
      <c r="F52" s="24">
        <f>383317-72229.76+60000+1800+2700+90000</f>
        <v>465587.24</v>
      </c>
      <c r="G52" s="24">
        <f>209572.67-45963.53+2700+15000</f>
        <v>181309.14</v>
      </c>
      <c r="H52" s="24">
        <f>45000+45000</f>
        <v>90000</v>
      </c>
      <c r="I52" s="24">
        <v>45000</v>
      </c>
      <c r="J52" s="24"/>
      <c r="K52" s="24"/>
      <c r="L52" s="24">
        <f>66671.74+90000</f>
        <v>156671.74</v>
      </c>
      <c r="M52" s="31"/>
      <c r="N52" s="33"/>
      <c r="P52" s="11"/>
      <c r="S52" s="11"/>
    </row>
    <row r="53" spans="1:19" s="2" customFormat="1" ht="52.5" customHeight="1">
      <c r="A53" s="43" t="s">
        <v>53</v>
      </c>
      <c r="B53" s="29" t="s">
        <v>123</v>
      </c>
      <c r="C53" s="30" t="s">
        <v>11</v>
      </c>
      <c r="D53" s="21">
        <v>2012</v>
      </c>
      <c r="E53" s="21">
        <v>2017</v>
      </c>
      <c r="F53" s="24">
        <f>1785750-1530000</f>
        <v>255750</v>
      </c>
      <c r="G53" s="24">
        <f>357150-300000</f>
        <v>57150</v>
      </c>
      <c r="H53" s="24">
        <f>357150-300000</f>
        <v>57150</v>
      </c>
      <c r="I53" s="24">
        <f>357150-300000</f>
        <v>57150</v>
      </c>
      <c r="J53" s="24">
        <f>357150-300000</f>
        <v>57150</v>
      </c>
      <c r="K53" s="24">
        <f>119050-100000</f>
        <v>19050</v>
      </c>
      <c r="L53" s="22">
        <f>SUM(G53:K53)</f>
        <v>247650</v>
      </c>
      <c r="M53" s="31"/>
      <c r="N53" s="33"/>
      <c r="O53" s="11"/>
      <c r="P53" s="11"/>
      <c r="Q53" s="11"/>
      <c r="R53" s="11"/>
      <c r="S53" s="11"/>
    </row>
    <row r="54" spans="1:19" s="2" customFormat="1" ht="106.5" customHeight="1">
      <c r="A54" s="43" t="s">
        <v>54</v>
      </c>
      <c r="B54" s="29" t="s">
        <v>124</v>
      </c>
      <c r="C54" s="30" t="s">
        <v>11</v>
      </c>
      <c r="D54" s="21">
        <v>2011</v>
      </c>
      <c r="E54" s="21">
        <v>2014</v>
      </c>
      <c r="F54" s="24">
        <v>27060</v>
      </c>
      <c r="G54" s="24">
        <v>7380</v>
      </c>
      <c r="H54" s="24">
        <v>12300</v>
      </c>
      <c r="I54" s="24"/>
      <c r="J54" s="24"/>
      <c r="K54" s="24"/>
      <c r="L54" s="22">
        <v>0</v>
      </c>
      <c r="M54" s="31"/>
      <c r="N54" s="33"/>
      <c r="P54" s="11"/>
      <c r="S54" s="11"/>
    </row>
    <row r="55" spans="1:16" s="2" customFormat="1" ht="55.5" customHeight="1">
      <c r="A55" s="43" t="s">
        <v>55</v>
      </c>
      <c r="B55" s="29" t="s">
        <v>125</v>
      </c>
      <c r="C55" s="30" t="s">
        <v>11</v>
      </c>
      <c r="D55" s="21">
        <v>2012</v>
      </c>
      <c r="E55" s="21">
        <v>2014</v>
      </c>
      <c r="F55" s="24">
        <v>2565264.28</v>
      </c>
      <c r="G55" s="24">
        <v>857163.72</v>
      </c>
      <c r="H55" s="24">
        <v>962355.9</v>
      </c>
      <c r="I55" s="24"/>
      <c r="J55" s="24"/>
      <c r="K55" s="24"/>
      <c r="L55" s="22">
        <v>0</v>
      </c>
      <c r="M55" s="31"/>
      <c r="N55" s="33"/>
      <c r="O55" s="11"/>
      <c r="P55" s="11"/>
    </row>
    <row r="56" spans="1:16" s="2" customFormat="1" ht="64.5" customHeight="1">
      <c r="A56" s="43" t="s">
        <v>56</v>
      </c>
      <c r="B56" s="29" t="s">
        <v>126</v>
      </c>
      <c r="C56" s="30" t="s">
        <v>11</v>
      </c>
      <c r="D56" s="21">
        <v>2011</v>
      </c>
      <c r="E56" s="21">
        <v>2014</v>
      </c>
      <c r="F56" s="24">
        <v>273318.3</v>
      </c>
      <c r="G56" s="24">
        <v>75423.6</v>
      </c>
      <c r="H56" s="24">
        <v>82951.2</v>
      </c>
      <c r="I56" s="24"/>
      <c r="J56" s="24"/>
      <c r="K56" s="24"/>
      <c r="L56" s="22">
        <v>0</v>
      </c>
      <c r="M56" s="31"/>
      <c r="N56" s="33"/>
      <c r="O56" s="11"/>
      <c r="P56" s="11"/>
    </row>
    <row r="57" spans="1:14" s="2" customFormat="1" ht="69" customHeight="1">
      <c r="A57" s="43" t="s">
        <v>57</v>
      </c>
      <c r="B57" s="29" t="s">
        <v>127</v>
      </c>
      <c r="C57" s="30" t="s">
        <v>11</v>
      </c>
      <c r="D57" s="21">
        <v>2012</v>
      </c>
      <c r="E57" s="21">
        <v>2014</v>
      </c>
      <c r="F57" s="24">
        <f>SUM(G57:H57)</f>
        <v>2460000</v>
      </c>
      <c r="G57" s="24">
        <v>2200000</v>
      </c>
      <c r="H57" s="24">
        <v>260000</v>
      </c>
      <c r="I57" s="24"/>
      <c r="J57" s="24"/>
      <c r="K57" s="24"/>
      <c r="L57" s="22">
        <f>SUM(G57:H57)</f>
        <v>2460000</v>
      </c>
      <c r="M57" s="31"/>
      <c r="N57" s="33"/>
    </row>
    <row r="58" spans="1:14" s="2" customFormat="1" ht="81.75" customHeight="1">
      <c r="A58" s="43" t="s">
        <v>58</v>
      </c>
      <c r="B58" s="29" t="s">
        <v>128</v>
      </c>
      <c r="C58" s="30" t="s">
        <v>11</v>
      </c>
      <c r="D58" s="21">
        <v>2012</v>
      </c>
      <c r="E58" s="21">
        <v>2014</v>
      </c>
      <c r="F58" s="24">
        <f>SUM(G58:H58)</f>
        <v>38000</v>
      </c>
      <c r="G58" s="24">
        <v>30000</v>
      </c>
      <c r="H58" s="24">
        <v>8000</v>
      </c>
      <c r="I58" s="24"/>
      <c r="J58" s="24"/>
      <c r="K58" s="24"/>
      <c r="L58" s="22">
        <f>SUM(G58:H58)</f>
        <v>38000</v>
      </c>
      <c r="M58" s="31"/>
      <c r="N58" s="33"/>
    </row>
    <row r="59" spans="1:14" s="2" customFormat="1" ht="43.5" customHeight="1">
      <c r="A59" s="43" t="s">
        <v>59</v>
      </c>
      <c r="B59" s="29" t="s">
        <v>129</v>
      </c>
      <c r="C59" s="30" t="s">
        <v>11</v>
      </c>
      <c r="D59" s="21">
        <v>2012</v>
      </c>
      <c r="E59" s="21">
        <v>2015</v>
      </c>
      <c r="F59" s="24">
        <f>SUM(G59:I59)</f>
        <v>337000</v>
      </c>
      <c r="G59" s="24">
        <v>147000</v>
      </c>
      <c r="H59" s="24">
        <v>150000</v>
      </c>
      <c r="I59" s="24">
        <v>40000</v>
      </c>
      <c r="J59" s="24"/>
      <c r="K59" s="24"/>
      <c r="L59" s="22">
        <f>SUM(G59:I59)</f>
        <v>337000</v>
      </c>
      <c r="M59" s="31"/>
      <c r="N59" s="33"/>
    </row>
    <row r="60" spans="1:14" s="2" customFormat="1" ht="42.75" customHeight="1">
      <c r="A60" s="43" t="s">
        <v>60</v>
      </c>
      <c r="B60" s="29" t="s">
        <v>130</v>
      </c>
      <c r="C60" s="30" t="s">
        <v>11</v>
      </c>
      <c r="D60" s="21">
        <v>2012</v>
      </c>
      <c r="E60" s="21">
        <v>2015</v>
      </c>
      <c r="F60" s="24">
        <f>551788.03+27106.55</f>
        <v>578894.5800000001</v>
      </c>
      <c r="G60" s="24">
        <f>168516.15+13710.81</f>
        <v>182226.96</v>
      </c>
      <c r="H60" s="24">
        <f>183643.49+9321.37</f>
        <v>192964.86</v>
      </c>
      <c r="I60" s="24">
        <f>199628.39+4074.37</f>
        <v>203702.76</v>
      </c>
      <c r="J60" s="24"/>
      <c r="K60" s="24"/>
      <c r="L60" s="22">
        <f>551788.03+27106.55</f>
        <v>578894.5800000001</v>
      </c>
      <c r="M60" s="31"/>
      <c r="N60" s="33"/>
    </row>
    <row r="61" spans="1:14" s="2" customFormat="1" ht="225" customHeight="1">
      <c r="A61" s="43" t="s">
        <v>61</v>
      </c>
      <c r="B61" s="29" t="s">
        <v>131</v>
      </c>
      <c r="C61" s="30" t="s">
        <v>11</v>
      </c>
      <c r="D61" s="21">
        <v>2012</v>
      </c>
      <c r="E61" s="21">
        <v>2016</v>
      </c>
      <c r="F61" s="24">
        <v>1200000</v>
      </c>
      <c r="G61" s="24">
        <v>240000</v>
      </c>
      <c r="H61" s="24">
        <v>320000</v>
      </c>
      <c r="I61" s="24">
        <v>320000</v>
      </c>
      <c r="J61" s="24">
        <v>320000</v>
      </c>
      <c r="K61" s="24"/>
      <c r="L61" s="22">
        <f>SUM(G61:K61)</f>
        <v>1200000</v>
      </c>
      <c r="M61" s="31"/>
      <c r="N61" s="33"/>
    </row>
    <row r="62" spans="1:14" s="2" customFormat="1" ht="53.25" customHeight="1">
      <c r="A62" s="43" t="s">
        <v>62</v>
      </c>
      <c r="B62" s="29" t="s">
        <v>132</v>
      </c>
      <c r="C62" s="30" t="s">
        <v>11</v>
      </c>
      <c r="D62" s="21">
        <v>2012</v>
      </c>
      <c r="E62" s="21">
        <v>2014</v>
      </c>
      <c r="F62" s="24">
        <v>30000</v>
      </c>
      <c r="G62" s="24">
        <v>15000</v>
      </c>
      <c r="H62" s="24">
        <v>15000</v>
      </c>
      <c r="I62" s="24"/>
      <c r="J62" s="24"/>
      <c r="K62" s="24"/>
      <c r="L62" s="22">
        <v>30000</v>
      </c>
      <c r="M62" s="31"/>
      <c r="N62" s="33"/>
    </row>
    <row r="63" spans="1:14" s="2" customFormat="1" ht="56.25" customHeight="1">
      <c r="A63" s="43" t="s">
        <v>63</v>
      </c>
      <c r="B63" s="29" t="s">
        <v>133</v>
      </c>
      <c r="C63" s="30" t="s">
        <v>11</v>
      </c>
      <c r="D63" s="21">
        <v>2013</v>
      </c>
      <c r="E63" s="21">
        <v>2014</v>
      </c>
      <c r="F63" s="24">
        <v>117500</v>
      </c>
      <c r="G63" s="24">
        <v>94000</v>
      </c>
      <c r="H63" s="24">
        <v>23500</v>
      </c>
      <c r="I63" s="24"/>
      <c r="J63" s="24"/>
      <c r="K63" s="24"/>
      <c r="L63" s="22">
        <f>SUM(G63:K63)</f>
        <v>117500</v>
      </c>
      <c r="M63" s="31"/>
      <c r="N63" s="33"/>
    </row>
    <row r="64" spans="1:14" s="2" customFormat="1" ht="57" customHeight="1">
      <c r="A64" s="43" t="s">
        <v>64</v>
      </c>
      <c r="B64" s="29" t="s">
        <v>134</v>
      </c>
      <c r="C64" s="30" t="s">
        <v>11</v>
      </c>
      <c r="D64" s="21">
        <v>2012</v>
      </c>
      <c r="E64" s="21">
        <v>2014</v>
      </c>
      <c r="F64" s="24">
        <f>600000-150000</f>
        <v>450000</v>
      </c>
      <c r="G64" s="24">
        <f>300000-150000</f>
        <v>150000</v>
      </c>
      <c r="H64" s="24">
        <v>300000</v>
      </c>
      <c r="I64" s="24"/>
      <c r="J64" s="24"/>
      <c r="K64" s="24"/>
      <c r="L64" s="22">
        <f>SUM(G64:K64)</f>
        <v>450000</v>
      </c>
      <c r="M64" s="31"/>
      <c r="N64" s="33"/>
    </row>
    <row r="65" spans="1:14" s="2" customFormat="1" ht="54" customHeight="1">
      <c r="A65" s="43" t="s">
        <v>65</v>
      </c>
      <c r="B65" s="29" t="s">
        <v>135</v>
      </c>
      <c r="C65" s="30" t="s">
        <v>11</v>
      </c>
      <c r="D65" s="21">
        <v>2013</v>
      </c>
      <c r="E65" s="21">
        <v>2015</v>
      </c>
      <c r="F65" s="24">
        <v>32000000</v>
      </c>
      <c r="G65" s="24">
        <v>8000000</v>
      </c>
      <c r="H65" s="24">
        <v>16000000</v>
      </c>
      <c r="I65" s="24">
        <v>8000000</v>
      </c>
      <c r="J65" s="24"/>
      <c r="K65" s="24"/>
      <c r="L65" s="22">
        <f>SUM(G65:I65)</f>
        <v>32000000</v>
      </c>
      <c r="M65" s="31"/>
      <c r="N65" s="33"/>
    </row>
    <row r="66" spans="1:14" s="2" customFormat="1" ht="145.5" customHeight="1">
      <c r="A66" s="43" t="s">
        <v>66</v>
      </c>
      <c r="B66" s="29" t="s">
        <v>136</v>
      </c>
      <c r="C66" s="30" t="s">
        <v>11</v>
      </c>
      <c r="D66" s="21">
        <v>2013</v>
      </c>
      <c r="E66" s="21">
        <v>2017</v>
      </c>
      <c r="F66" s="24">
        <v>80000</v>
      </c>
      <c r="G66" s="24">
        <v>12000</v>
      </c>
      <c r="H66" s="24">
        <v>14000</v>
      </c>
      <c r="I66" s="24">
        <v>16000</v>
      </c>
      <c r="J66" s="24">
        <v>18000</v>
      </c>
      <c r="K66" s="24">
        <v>20000</v>
      </c>
      <c r="L66" s="22">
        <f>SUM(G66:K66)</f>
        <v>80000</v>
      </c>
      <c r="M66" s="31"/>
      <c r="N66" s="33"/>
    </row>
    <row r="67" spans="1:19" s="2" customFormat="1" ht="39.75" customHeight="1">
      <c r="A67" s="43" t="s">
        <v>67</v>
      </c>
      <c r="B67" s="29" t="s">
        <v>137</v>
      </c>
      <c r="C67" s="30" t="s">
        <v>11</v>
      </c>
      <c r="D67" s="21">
        <v>2012</v>
      </c>
      <c r="E67" s="21">
        <v>2016</v>
      </c>
      <c r="F67" s="24">
        <v>379320</v>
      </c>
      <c r="G67" s="24">
        <v>109320</v>
      </c>
      <c r="H67" s="24">
        <v>90000</v>
      </c>
      <c r="I67" s="24">
        <v>90000</v>
      </c>
      <c r="J67" s="24">
        <v>90000</v>
      </c>
      <c r="K67" s="24"/>
      <c r="L67" s="24">
        <v>379320</v>
      </c>
      <c r="M67" s="31"/>
      <c r="N67" s="33"/>
      <c r="S67" s="11"/>
    </row>
    <row r="68" spans="1:19" s="2" customFormat="1" ht="56.25" customHeight="1">
      <c r="A68" s="43" t="s">
        <v>96</v>
      </c>
      <c r="B68" s="29" t="s">
        <v>104</v>
      </c>
      <c r="C68" s="30" t="s">
        <v>11</v>
      </c>
      <c r="D68" s="21">
        <v>2013</v>
      </c>
      <c r="E68" s="21">
        <v>2014</v>
      </c>
      <c r="F68" s="24">
        <f>SUM(G68:H68)</f>
        <v>40000</v>
      </c>
      <c r="G68" s="24">
        <v>25000</v>
      </c>
      <c r="H68" s="24">
        <v>15000</v>
      </c>
      <c r="I68" s="24"/>
      <c r="J68" s="24"/>
      <c r="K68" s="24"/>
      <c r="L68" s="24">
        <f>SUM(G68:H68)</f>
        <v>40000</v>
      </c>
      <c r="M68" s="31"/>
      <c r="N68" s="33"/>
      <c r="S68" s="11"/>
    </row>
    <row r="69" spans="1:19" s="2" customFormat="1" ht="69" customHeight="1">
      <c r="A69" s="43" t="s">
        <v>146</v>
      </c>
      <c r="B69" s="29" t="s">
        <v>147</v>
      </c>
      <c r="C69" s="30" t="s">
        <v>11</v>
      </c>
      <c r="D69" s="21">
        <v>2013</v>
      </c>
      <c r="E69" s="21">
        <v>2015</v>
      </c>
      <c r="F69" s="60">
        <f>SUM(G69:I69)</f>
        <v>2416501.67</v>
      </c>
      <c r="G69" s="60">
        <v>6200</v>
      </c>
      <c r="H69" s="60">
        <f>55800+1118986.35-27900</f>
        <v>1146886.35</v>
      </c>
      <c r="I69" s="60">
        <f>1235515.32+27900</f>
        <v>1263415.32</v>
      </c>
      <c r="J69" s="24"/>
      <c r="K69" s="24"/>
      <c r="L69" s="60">
        <f>SUM(G69:I69)</f>
        <v>2416501.67</v>
      </c>
      <c r="M69" s="31"/>
      <c r="N69" s="33"/>
      <c r="S69" s="11"/>
    </row>
    <row r="70" spans="1:19" s="2" customFormat="1" ht="69" customHeight="1">
      <c r="A70" s="43" t="s">
        <v>148</v>
      </c>
      <c r="B70" s="29" t="s">
        <v>150</v>
      </c>
      <c r="C70" s="30" t="s">
        <v>11</v>
      </c>
      <c r="D70" s="21">
        <v>2013</v>
      </c>
      <c r="E70" s="21">
        <v>2015</v>
      </c>
      <c r="F70" s="24">
        <f>SUM(G70:I70)</f>
        <v>3700000</v>
      </c>
      <c r="G70" s="24">
        <v>0</v>
      </c>
      <c r="H70" s="24">
        <v>1800000</v>
      </c>
      <c r="I70" s="24">
        <v>1900000</v>
      </c>
      <c r="J70" s="24"/>
      <c r="K70" s="24"/>
      <c r="L70" s="24">
        <f>SUM(G70:J70)</f>
        <v>3700000</v>
      </c>
      <c r="M70" s="31"/>
      <c r="N70" s="33"/>
      <c r="S70" s="11"/>
    </row>
    <row r="71" spans="1:19" s="28" customFormat="1" ht="79.5" customHeight="1">
      <c r="A71" s="54" t="s">
        <v>149</v>
      </c>
      <c r="B71" s="29" t="s">
        <v>151</v>
      </c>
      <c r="C71" s="30" t="s">
        <v>11</v>
      </c>
      <c r="D71" s="21">
        <v>2013</v>
      </c>
      <c r="E71" s="21">
        <v>2014</v>
      </c>
      <c r="F71" s="24">
        <f>SUM(G71:H71)</f>
        <v>7800000</v>
      </c>
      <c r="G71" s="24">
        <v>0</v>
      </c>
      <c r="H71" s="24">
        <v>7800000</v>
      </c>
      <c r="I71" s="24"/>
      <c r="J71" s="24"/>
      <c r="K71" s="24"/>
      <c r="L71" s="24">
        <f>SUM(G71:I71)</f>
        <v>7800000</v>
      </c>
      <c r="M71" s="32"/>
      <c r="N71" s="32"/>
      <c r="S71" s="32"/>
    </row>
    <row r="72" spans="1:19" s="28" customFormat="1" ht="90" customHeight="1">
      <c r="A72" s="54" t="s">
        <v>152</v>
      </c>
      <c r="B72" s="29" t="s">
        <v>154</v>
      </c>
      <c r="C72" s="30" t="s">
        <v>11</v>
      </c>
      <c r="D72" s="21">
        <v>2013</v>
      </c>
      <c r="E72" s="21">
        <v>2017</v>
      </c>
      <c r="F72" s="24">
        <f>SUM(G72:K72)</f>
        <v>3530000</v>
      </c>
      <c r="G72" s="24">
        <v>0</v>
      </c>
      <c r="H72" s="24">
        <v>850000</v>
      </c>
      <c r="I72" s="24">
        <v>870000</v>
      </c>
      <c r="J72" s="24">
        <v>890000</v>
      </c>
      <c r="K72" s="24">
        <v>920000</v>
      </c>
      <c r="L72" s="24">
        <f>SUM(G72:K72)</f>
        <v>3530000</v>
      </c>
      <c r="M72" s="32"/>
      <c r="N72" s="32"/>
      <c r="S72" s="32"/>
    </row>
    <row r="73" spans="1:19" s="28" customFormat="1" ht="49.5" customHeight="1">
      <c r="A73" s="54" t="s">
        <v>153</v>
      </c>
      <c r="B73" s="29" t="s">
        <v>155</v>
      </c>
      <c r="C73" s="30" t="s">
        <v>11</v>
      </c>
      <c r="D73" s="21">
        <v>2013</v>
      </c>
      <c r="E73" s="21">
        <v>2014</v>
      </c>
      <c r="F73" s="24">
        <f>SUM(G73:H73)</f>
        <v>660000</v>
      </c>
      <c r="G73" s="24">
        <v>0</v>
      </c>
      <c r="H73" s="24">
        <v>660000</v>
      </c>
      <c r="I73" s="24"/>
      <c r="J73" s="24"/>
      <c r="K73" s="24"/>
      <c r="L73" s="24">
        <f>SUM(G73:J73)</f>
        <v>660000</v>
      </c>
      <c r="M73" s="32"/>
      <c r="N73" s="32"/>
      <c r="S73" s="32"/>
    </row>
    <row r="74" spans="1:19" s="28" customFormat="1" ht="69.75" customHeight="1">
      <c r="A74" s="54" t="s">
        <v>156</v>
      </c>
      <c r="B74" s="29" t="s">
        <v>157</v>
      </c>
      <c r="C74" s="30" t="s">
        <v>11</v>
      </c>
      <c r="D74" s="21">
        <v>2013</v>
      </c>
      <c r="E74" s="21">
        <v>2015</v>
      </c>
      <c r="F74" s="24">
        <f>SUM(G74:I74)</f>
        <v>43522.5</v>
      </c>
      <c r="G74" s="24">
        <v>5062.5</v>
      </c>
      <c r="H74" s="24">
        <v>32287.5</v>
      </c>
      <c r="I74" s="24">
        <v>6172.5</v>
      </c>
      <c r="J74" s="24"/>
      <c r="K74" s="24"/>
      <c r="L74" s="24">
        <f>SUM(G74:I74)</f>
        <v>43522.5</v>
      </c>
      <c r="M74" s="32"/>
      <c r="N74" s="32"/>
      <c r="S74" s="32"/>
    </row>
    <row r="75" spans="1:15" s="2" customFormat="1" ht="19.5" customHeight="1">
      <c r="A75" s="45" t="s">
        <v>68</v>
      </c>
      <c r="B75" s="46" t="s">
        <v>40</v>
      </c>
      <c r="C75" s="30"/>
      <c r="D75" s="21"/>
      <c r="E75" s="21"/>
      <c r="F75" s="24">
        <f>SUM(F76:F90)</f>
        <v>31660320.53</v>
      </c>
      <c r="G75" s="24">
        <f aca="true" t="shared" si="9" ref="G75:L75">SUM(G76:G90)</f>
        <v>10161358.649999999</v>
      </c>
      <c r="H75" s="24">
        <f t="shared" si="9"/>
        <v>18548528.83</v>
      </c>
      <c r="I75" s="24">
        <f t="shared" si="9"/>
        <v>2110000</v>
      </c>
      <c r="J75" s="24">
        <f t="shared" si="9"/>
        <v>110000</v>
      </c>
      <c r="K75" s="24">
        <f t="shared" si="9"/>
        <v>0</v>
      </c>
      <c r="L75" s="24">
        <f t="shared" si="9"/>
        <v>30929887.480000004</v>
      </c>
      <c r="M75" s="31"/>
      <c r="N75" s="33"/>
      <c r="O75" s="11"/>
    </row>
    <row r="76" spans="1:19" s="2" customFormat="1" ht="42.75" customHeight="1">
      <c r="A76" s="43" t="s">
        <v>69</v>
      </c>
      <c r="B76" s="29" t="s">
        <v>137</v>
      </c>
      <c r="C76" s="30" t="s">
        <v>11</v>
      </c>
      <c r="D76" s="21">
        <v>2012</v>
      </c>
      <c r="E76" s="21">
        <v>2016</v>
      </c>
      <c r="F76" s="24">
        <f>1111982.1+128000+146460</f>
        <v>1386442.1</v>
      </c>
      <c r="G76" s="24">
        <f>591549.05+73000</f>
        <v>664549.05</v>
      </c>
      <c r="H76" s="24">
        <f>110000+128000+73460</f>
        <v>311460</v>
      </c>
      <c r="I76" s="24">
        <v>110000</v>
      </c>
      <c r="J76" s="24">
        <v>110000</v>
      </c>
      <c r="K76" s="24"/>
      <c r="L76" s="24">
        <f>921549.05+128000+146460</f>
        <v>1196009.05</v>
      </c>
      <c r="M76" s="31"/>
      <c r="N76" s="33"/>
      <c r="S76" s="11"/>
    </row>
    <row r="77" spans="1:15" s="2" customFormat="1" ht="42" customHeight="1">
      <c r="A77" s="43" t="s">
        <v>70</v>
      </c>
      <c r="B77" s="29" t="s">
        <v>138</v>
      </c>
      <c r="C77" s="30" t="s">
        <v>11</v>
      </c>
      <c r="D77" s="21">
        <v>2012</v>
      </c>
      <c r="E77" s="21">
        <v>2014</v>
      </c>
      <c r="F77" s="24">
        <f>SUM(G77:H77)</f>
        <v>4500000</v>
      </c>
      <c r="G77" s="24">
        <f>1500000-1400000-13000+1400000</f>
        <v>1487000</v>
      </c>
      <c r="H77" s="24">
        <f>3000000+1413000-1400000</f>
        <v>3013000</v>
      </c>
      <c r="I77" s="24"/>
      <c r="J77" s="24"/>
      <c r="K77" s="24"/>
      <c r="L77" s="22">
        <f>SUM(G77:H77)</f>
        <v>4500000</v>
      </c>
      <c r="M77" s="31"/>
      <c r="N77" s="33"/>
      <c r="O77" s="11"/>
    </row>
    <row r="78" spans="1:15" s="2" customFormat="1" ht="51" customHeight="1">
      <c r="A78" s="43" t="s">
        <v>71</v>
      </c>
      <c r="B78" s="29" t="s">
        <v>139</v>
      </c>
      <c r="C78" s="30" t="s">
        <v>11</v>
      </c>
      <c r="D78" s="21">
        <v>2012</v>
      </c>
      <c r="E78" s="21">
        <v>2014</v>
      </c>
      <c r="F78" s="24">
        <f>SUM(G78:H78)</f>
        <v>575000</v>
      </c>
      <c r="G78" s="24">
        <v>75000</v>
      </c>
      <c r="H78" s="24">
        <v>500000</v>
      </c>
      <c r="I78" s="24"/>
      <c r="J78" s="24"/>
      <c r="K78" s="24"/>
      <c r="L78" s="22">
        <f>SUM(G78:K78)</f>
        <v>575000</v>
      </c>
      <c r="M78" s="31"/>
      <c r="N78" s="33"/>
      <c r="O78" s="11"/>
    </row>
    <row r="79" spans="1:15" s="2" customFormat="1" ht="52.5" customHeight="1">
      <c r="A79" s="43" t="s">
        <v>72</v>
      </c>
      <c r="B79" s="29" t="s">
        <v>140</v>
      </c>
      <c r="C79" s="30" t="s">
        <v>11</v>
      </c>
      <c r="D79" s="21">
        <v>2013</v>
      </c>
      <c r="E79" s="21">
        <v>2014</v>
      </c>
      <c r="F79" s="24">
        <f>SUM(G79:H79)</f>
        <v>1500000</v>
      </c>
      <c r="G79" s="24">
        <v>500000</v>
      </c>
      <c r="H79" s="24">
        <v>1000000</v>
      </c>
      <c r="I79" s="24"/>
      <c r="J79" s="24"/>
      <c r="K79" s="24"/>
      <c r="L79" s="22">
        <f aca="true" t="shared" si="10" ref="L79:L90">SUM(G79:H79)</f>
        <v>1500000</v>
      </c>
      <c r="M79" s="31"/>
      <c r="N79" s="33"/>
      <c r="O79" s="11"/>
    </row>
    <row r="80" spans="1:18" s="2" customFormat="1" ht="51.75" customHeight="1">
      <c r="A80" s="43" t="s">
        <v>73</v>
      </c>
      <c r="B80" s="29" t="s">
        <v>141</v>
      </c>
      <c r="C80" s="30" t="s">
        <v>11</v>
      </c>
      <c r="D80" s="21">
        <v>2012</v>
      </c>
      <c r="E80" s="21">
        <v>2014</v>
      </c>
      <c r="F80" s="24">
        <v>2440000</v>
      </c>
      <c r="G80" s="24">
        <v>950000</v>
      </c>
      <c r="H80" s="24">
        <v>950000</v>
      </c>
      <c r="I80" s="24"/>
      <c r="J80" s="24"/>
      <c r="K80" s="24"/>
      <c r="L80" s="22">
        <f t="shared" si="10"/>
        <v>1900000</v>
      </c>
      <c r="M80" s="31"/>
      <c r="N80" s="33"/>
      <c r="O80" s="11"/>
      <c r="P80" s="11"/>
      <c r="R80" s="11"/>
    </row>
    <row r="81" spans="1:18" s="2" customFormat="1" ht="54" customHeight="1">
      <c r="A81" s="43" t="s">
        <v>85</v>
      </c>
      <c r="B81" s="29" t="s">
        <v>142</v>
      </c>
      <c r="C81" s="30" t="s">
        <v>11</v>
      </c>
      <c r="D81" s="21">
        <v>2013</v>
      </c>
      <c r="E81" s="21">
        <v>2014</v>
      </c>
      <c r="F81" s="24">
        <f aca="true" t="shared" si="11" ref="F81:F90">SUM(G81:H81)</f>
        <v>2500000</v>
      </c>
      <c r="G81" s="24">
        <v>1000000</v>
      </c>
      <c r="H81" s="24">
        <v>1500000</v>
      </c>
      <c r="I81" s="24"/>
      <c r="J81" s="24"/>
      <c r="K81" s="24"/>
      <c r="L81" s="22">
        <f>SUM(G81:H81)</f>
        <v>2500000</v>
      </c>
      <c r="M81" s="31"/>
      <c r="N81" s="33"/>
      <c r="O81" s="11"/>
      <c r="P81" s="11"/>
      <c r="R81" s="11"/>
    </row>
    <row r="82" spans="1:18" s="2" customFormat="1" ht="44.25" customHeight="1">
      <c r="A82" s="43" t="s">
        <v>86</v>
      </c>
      <c r="B82" s="29" t="s">
        <v>143</v>
      </c>
      <c r="C82" s="30" t="s">
        <v>11</v>
      </c>
      <c r="D82" s="21">
        <v>2013</v>
      </c>
      <c r="E82" s="21">
        <v>2014</v>
      </c>
      <c r="F82" s="24">
        <f t="shared" si="11"/>
        <v>2900000</v>
      </c>
      <c r="G82" s="24">
        <v>900000</v>
      </c>
      <c r="H82" s="24">
        <v>2000000</v>
      </c>
      <c r="I82" s="24"/>
      <c r="J82" s="24"/>
      <c r="K82" s="24"/>
      <c r="L82" s="22">
        <f>SUM(G82:H82)</f>
        <v>2900000</v>
      </c>
      <c r="M82" s="31"/>
      <c r="N82" s="33"/>
      <c r="O82" s="11"/>
      <c r="P82" s="11"/>
      <c r="R82" s="11"/>
    </row>
    <row r="83" spans="1:12" ht="78.75" customHeight="1">
      <c r="A83" s="43" t="s">
        <v>87</v>
      </c>
      <c r="B83" s="20" t="s">
        <v>100</v>
      </c>
      <c r="C83" s="30" t="s">
        <v>11</v>
      </c>
      <c r="D83" s="21">
        <v>2013</v>
      </c>
      <c r="E83" s="51">
        <v>2014</v>
      </c>
      <c r="F83" s="22">
        <f t="shared" si="11"/>
        <v>1501857.05</v>
      </c>
      <c r="G83" s="22">
        <v>1500000</v>
      </c>
      <c r="H83" s="22">
        <v>1857.05</v>
      </c>
      <c r="I83" s="22"/>
      <c r="J83" s="22"/>
      <c r="K83" s="22"/>
      <c r="L83" s="22">
        <f t="shared" si="10"/>
        <v>1501857.05</v>
      </c>
    </row>
    <row r="84" spans="1:12" ht="94.5" customHeight="1">
      <c r="A84" s="43" t="s">
        <v>88</v>
      </c>
      <c r="B84" s="20" t="s">
        <v>102</v>
      </c>
      <c r="C84" s="30" t="s">
        <v>11</v>
      </c>
      <c r="D84" s="21">
        <v>2013</v>
      </c>
      <c r="E84" s="51">
        <v>2014</v>
      </c>
      <c r="F84" s="22">
        <f t="shared" si="11"/>
        <v>106149.61</v>
      </c>
      <c r="G84" s="22">
        <v>105000</v>
      </c>
      <c r="H84" s="22">
        <v>1149.61</v>
      </c>
      <c r="I84" s="22"/>
      <c r="J84" s="22"/>
      <c r="K84" s="22"/>
      <c r="L84" s="22">
        <f t="shared" si="10"/>
        <v>106149.61</v>
      </c>
    </row>
    <row r="85" spans="1:12" ht="41.25" customHeight="1">
      <c r="A85" s="43" t="s">
        <v>97</v>
      </c>
      <c r="B85" s="20" t="s">
        <v>103</v>
      </c>
      <c r="C85" s="30" t="s">
        <v>11</v>
      </c>
      <c r="D85" s="21">
        <v>2013</v>
      </c>
      <c r="E85" s="51">
        <v>2014</v>
      </c>
      <c r="F85" s="22">
        <f t="shared" si="11"/>
        <v>150442.17</v>
      </c>
      <c r="G85" s="22">
        <v>150000</v>
      </c>
      <c r="H85" s="22">
        <v>442.17</v>
      </c>
      <c r="I85" s="22"/>
      <c r="J85" s="22"/>
      <c r="K85" s="22"/>
      <c r="L85" s="22">
        <f t="shared" si="10"/>
        <v>150442.17</v>
      </c>
    </row>
    <row r="86" spans="1:12" ht="54" customHeight="1">
      <c r="A86" s="43" t="s">
        <v>98</v>
      </c>
      <c r="B86" s="20" t="s">
        <v>101</v>
      </c>
      <c r="C86" s="30" t="s">
        <v>11</v>
      </c>
      <c r="D86" s="21">
        <v>2013</v>
      </c>
      <c r="E86" s="51">
        <v>2015</v>
      </c>
      <c r="F86" s="22">
        <f>SUM(G86:I86)</f>
        <v>4126909.6</v>
      </c>
      <c r="G86" s="22">
        <f>78000+48909.6</f>
        <v>126909.6</v>
      </c>
      <c r="H86" s="22">
        <v>2000000</v>
      </c>
      <c r="I86" s="22">
        <v>2000000</v>
      </c>
      <c r="J86" s="22"/>
      <c r="K86" s="22"/>
      <c r="L86" s="22">
        <f>SUM(G86:I86)</f>
        <v>4126909.6</v>
      </c>
    </row>
    <row r="87" spans="1:12" ht="70.5" customHeight="1">
      <c r="A87" s="43" t="s">
        <v>99</v>
      </c>
      <c r="B87" s="20" t="s">
        <v>161</v>
      </c>
      <c r="C87" s="30" t="s">
        <v>11</v>
      </c>
      <c r="D87" s="21">
        <v>2013</v>
      </c>
      <c r="E87" s="51">
        <v>2014</v>
      </c>
      <c r="F87" s="22">
        <f>SUM(G87:H87)</f>
        <v>533520</v>
      </c>
      <c r="G87" s="22">
        <v>262900</v>
      </c>
      <c r="H87" s="22">
        <v>270620</v>
      </c>
      <c r="I87" s="22"/>
      <c r="J87" s="22"/>
      <c r="K87" s="22"/>
      <c r="L87" s="22">
        <f>SUM(G87:H87)</f>
        <v>533520</v>
      </c>
    </row>
    <row r="88" spans="1:12" ht="48" customHeight="1">
      <c r="A88" s="43" t="s">
        <v>160</v>
      </c>
      <c r="B88" s="20" t="s">
        <v>163</v>
      </c>
      <c r="C88" s="30" t="s">
        <v>11</v>
      </c>
      <c r="D88" s="21">
        <v>2013</v>
      </c>
      <c r="E88" s="51">
        <v>2014</v>
      </c>
      <c r="F88" s="22">
        <f>SUM(G88:H88)</f>
        <v>2200000</v>
      </c>
      <c r="G88" s="22">
        <v>1000000</v>
      </c>
      <c r="H88" s="22">
        <v>1200000</v>
      </c>
      <c r="I88" s="22"/>
      <c r="J88" s="22"/>
      <c r="K88" s="22"/>
      <c r="L88" s="22">
        <f>SUM(G88:H88)</f>
        <v>2200000</v>
      </c>
    </row>
    <row r="89" spans="1:12" ht="63.75" customHeight="1">
      <c r="A89" s="43" t="s">
        <v>162</v>
      </c>
      <c r="B89" s="55" t="s">
        <v>168</v>
      </c>
      <c r="C89" s="56" t="s">
        <v>11</v>
      </c>
      <c r="D89" s="57">
        <v>2013</v>
      </c>
      <c r="E89" s="58">
        <v>2014</v>
      </c>
      <c r="F89" s="59">
        <f>SUM(G89:H89)</f>
        <v>5800000</v>
      </c>
      <c r="G89" s="59">
        <v>1100000</v>
      </c>
      <c r="H89" s="59">
        <v>4700000</v>
      </c>
      <c r="I89" s="59"/>
      <c r="J89" s="59"/>
      <c r="K89" s="59"/>
      <c r="L89" s="59">
        <f>SUM(G89:H89)</f>
        <v>5800000</v>
      </c>
    </row>
    <row r="90" spans="1:12" ht="66.75" customHeight="1">
      <c r="A90" s="43" t="s">
        <v>169</v>
      </c>
      <c r="B90" s="52" t="s">
        <v>105</v>
      </c>
      <c r="C90" s="30" t="s">
        <v>11</v>
      </c>
      <c r="D90" s="21">
        <v>2013</v>
      </c>
      <c r="E90" s="51">
        <v>2014</v>
      </c>
      <c r="F90" s="22">
        <f t="shared" si="11"/>
        <v>1440000</v>
      </c>
      <c r="G90" s="22">
        <v>340000</v>
      </c>
      <c r="H90" s="22">
        <v>1100000</v>
      </c>
      <c r="I90" s="22"/>
      <c r="J90" s="22"/>
      <c r="K90" s="22"/>
      <c r="L90" s="22">
        <f t="shared" si="10"/>
        <v>1440000</v>
      </c>
    </row>
    <row r="91" spans="1:12" ht="13.5">
      <c r="A91" s="44"/>
      <c r="B91" s="4"/>
      <c r="C91" s="5"/>
      <c r="D91" s="6"/>
      <c r="E91" s="7"/>
      <c r="F91" s="8"/>
      <c r="G91" s="8"/>
      <c r="H91" s="8"/>
      <c r="I91" s="8"/>
      <c r="J91" s="8"/>
      <c r="K91" s="8"/>
      <c r="L91" s="9"/>
    </row>
    <row r="92" spans="1:12" ht="13.5">
      <c r="A92" s="44"/>
      <c r="B92" s="4"/>
      <c r="C92" s="35"/>
      <c r="D92" s="6"/>
      <c r="E92" s="7"/>
      <c r="F92" s="12"/>
      <c r="G92" s="8"/>
      <c r="H92" s="12"/>
      <c r="I92" s="12"/>
      <c r="J92" s="12"/>
      <c r="K92" s="8"/>
      <c r="L92" s="9"/>
    </row>
    <row r="93" spans="1:12" ht="13.5">
      <c r="A93" s="44"/>
      <c r="B93" s="4"/>
      <c r="C93" s="35"/>
      <c r="D93" s="6"/>
      <c r="E93" s="7"/>
      <c r="F93" s="12"/>
      <c r="G93" s="8"/>
      <c r="H93" s="12"/>
      <c r="I93" s="12"/>
      <c r="J93" s="12"/>
      <c r="K93" s="8"/>
      <c r="L93" s="9"/>
    </row>
    <row r="94" spans="1:12" ht="13.5">
      <c r="A94" s="44"/>
      <c r="B94" s="4"/>
      <c r="C94" s="35"/>
      <c r="D94" s="6"/>
      <c r="E94" s="7"/>
      <c r="F94" s="12"/>
      <c r="G94" s="8"/>
      <c r="H94" s="12"/>
      <c r="I94" s="12"/>
      <c r="J94" s="12"/>
      <c r="K94" s="8"/>
      <c r="L94" s="9"/>
    </row>
    <row r="95" spans="1:12" ht="13.5">
      <c r="A95" s="44"/>
      <c r="B95" s="4"/>
      <c r="C95" s="35"/>
      <c r="D95" s="6"/>
      <c r="E95" s="7"/>
      <c r="F95" s="12"/>
      <c r="G95" s="8"/>
      <c r="H95" s="12"/>
      <c r="I95" s="12"/>
      <c r="J95" s="12"/>
      <c r="K95" s="8"/>
      <c r="L95" s="9"/>
    </row>
    <row r="96" spans="1:12" ht="13.5">
      <c r="A96" s="44"/>
      <c r="B96" s="4"/>
      <c r="C96" s="35"/>
      <c r="D96" s="6"/>
      <c r="E96" s="7"/>
      <c r="F96" s="12"/>
      <c r="G96" s="12"/>
      <c r="H96" s="12"/>
      <c r="I96" s="12"/>
      <c r="J96" s="12"/>
      <c r="K96" s="8"/>
      <c r="L96" s="9"/>
    </row>
    <row r="97" spans="1:12" ht="13.5">
      <c r="A97" s="44"/>
      <c r="B97" s="4"/>
      <c r="C97" s="35"/>
      <c r="D97" s="6"/>
      <c r="E97" s="7"/>
      <c r="F97" s="12"/>
      <c r="G97" s="12"/>
      <c r="H97" s="12"/>
      <c r="I97" s="12"/>
      <c r="J97" s="12"/>
      <c r="K97" s="8"/>
      <c r="L97" s="9"/>
    </row>
    <row r="98" spans="1:12" ht="13.5">
      <c r="A98" s="44"/>
      <c r="B98" s="4"/>
      <c r="C98" s="35"/>
      <c r="D98" s="6"/>
      <c r="E98" s="7"/>
      <c r="F98" s="12"/>
      <c r="G98" s="12"/>
      <c r="H98" s="12"/>
      <c r="I98" s="12"/>
      <c r="J98" s="12"/>
      <c r="K98" s="8"/>
      <c r="L98" s="9"/>
    </row>
    <row r="99" spans="1:12" ht="13.5">
      <c r="A99" s="44"/>
      <c r="B99" s="4"/>
      <c r="C99" s="35"/>
      <c r="D99" s="6"/>
      <c r="E99" s="7"/>
      <c r="F99" s="12"/>
      <c r="G99" s="12"/>
      <c r="H99" s="12"/>
      <c r="I99" s="12"/>
      <c r="J99" s="12"/>
      <c r="K99" s="8"/>
      <c r="L99" s="9"/>
    </row>
    <row r="100" spans="1:12" ht="13.5">
      <c r="A100" s="44"/>
      <c r="B100" s="4"/>
      <c r="C100" s="35"/>
      <c r="D100" s="6"/>
      <c r="E100" s="7"/>
      <c r="F100" s="12"/>
      <c r="G100" s="12"/>
      <c r="H100" s="12"/>
      <c r="I100" s="12"/>
      <c r="J100" s="12"/>
      <c r="K100" s="8"/>
      <c r="L100" s="9"/>
    </row>
    <row r="101" spans="1:12" ht="13.5">
      <c r="A101" s="44"/>
      <c r="B101" s="4"/>
      <c r="C101" s="35"/>
      <c r="D101" s="6"/>
      <c r="E101" s="7"/>
      <c r="F101" s="12"/>
      <c r="G101" s="12"/>
      <c r="H101" s="12"/>
      <c r="I101" s="12"/>
      <c r="J101" s="12"/>
      <c r="K101" s="8"/>
      <c r="L101" s="9"/>
    </row>
    <row r="102" spans="1:12" ht="13.5">
      <c r="A102" s="44"/>
      <c r="B102" s="4"/>
      <c r="C102" s="35"/>
      <c r="D102" s="6"/>
      <c r="E102" s="7"/>
      <c r="F102" s="12"/>
      <c r="G102" s="12"/>
      <c r="H102" s="12"/>
      <c r="I102" s="12"/>
      <c r="J102" s="12"/>
      <c r="K102" s="8"/>
      <c r="L102" s="9"/>
    </row>
    <row r="103" spans="1:12" ht="13.5">
      <c r="A103" s="44"/>
      <c r="B103" s="4"/>
      <c r="C103" s="35"/>
      <c r="D103" s="6"/>
      <c r="E103" s="7"/>
      <c r="F103" s="12"/>
      <c r="G103" s="12"/>
      <c r="H103" s="12"/>
      <c r="I103" s="12"/>
      <c r="J103" s="12"/>
      <c r="K103" s="8"/>
      <c r="L103" s="9"/>
    </row>
    <row r="104" spans="1:12" ht="13.5">
      <c r="A104" s="44"/>
      <c r="B104" s="4"/>
      <c r="C104" s="35"/>
      <c r="D104" s="6"/>
      <c r="E104" s="7"/>
      <c r="F104" s="12"/>
      <c r="G104" s="12"/>
      <c r="H104" s="12"/>
      <c r="I104" s="12"/>
      <c r="J104" s="12"/>
      <c r="K104" s="8"/>
      <c r="L104" s="9"/>
    </row>
    <row r="105" spans="1:12" ht="13.5">
      <c r="A105" s="44"/>
      <c r="B105" s="4"/>
      <c r="C105" s="35"/>
      <c r="D105" s="6"/>
      <c r="E105" s="7"/>
      <c r="F105" s="12"/>
      <c r="G105" s="12"/>
      <c r="H105" s="12"/>
      <c r="I105" s="12"/>
      <c r="J105" s="12"/>
      <c r="K105" s="8"/>
      <c r="L105" s="9"/>
    </row>
    <row r="106" spans="1:12" ht="13.5">
      <c r="A106" s="44"/>
      <c r="B106" s="4"/>
      <c r="C106" s="35"/>
      <c r="D106" s="6"/>
      <c r="E106" s="7"/>
      <c r="F106" s="12"/>
      <c r="G106" s="12"/>
      <c r="H106" s="12"/>
      <c r="I106" s="12"/>
      <c r="J106" s="12"/>
      <c r="K106" s="8"/>
      <c r="L106" s="9"/>
    </row>
    <row r="107" spans="1:12" ht="13.5">
      <c r="A107" s="44"/>
      <c r="B107" s="4"/>
      <c r="C107" s="35"/>
      <c r="D107" s="6"/>
      <c r="E107" s="7"/>
      <c r="F107" s="12"/>
      <c r="G107" s="12"/>
      <c r="H107" s="12"/>
      <c r="I107" s="12"/>
      <c r="J107" s="12"/>
      <c r="K107" s="8"/>
      <c r="L107" s="9"/>
    </row>
    <row r="108" spans="1:12" ht="13.5">
      <c r="A108" s="44"/>
      <c r="B108" s="4"/>
      <c r="C108" s="35"/>
      <c r="D108" s="6"/>
      <c r="E108" s="7"/>
      <c r="F108" s="12"/>
      <c r="G108" s="12"/>
      <c r="H108" s="8"/>
      <c r="I108" s="8"/>
      <c r="J108" s="8"/>
      <c r="K108" s="8"/>
      <c r="L108" s="9"/>
    </row>
    <row r="109" spans="1:12" ht="13.5">
      <c r="A109" s="44"/>
      <c r="B109" s="4"/>
      <c r="C109" s="35"/>
      <c r="D109" s="6"/>
      <c r="E109" s="7"/>
      <c r="F109" s="12"/>
      <c r="G109" s="12"/>
      <c r="H109" s="8"/>
      <c r="I109" s="8"/>
      <c r="J109" s="8"/>
      <c r="K109" s="8"/>
      <c r="L109" s="9"/>
    </row>
    <row r="110" spans="1:12" ht="13.5">
      <c r="A110" s="44"/>
      <c r="B110" s="4"/>
      <c r="C110" s="5"/>
      <c r="D110" s="6"/>
      <c r="E110" s="7"/>
      <c r="F110" s="12"/>
      <c r="G110" s="12"/>
      <c r="H110" s="8"/>
      <c r="I110" s="8"/>
      <c r="J110" s="8"/>
      <c r="K110" s="8"/>
      <c r="L110" s="9"/>
    </row>
    <row r="111" spans="1:12" ht="13.5">
      <c r="A111" s="44"/>
      <c r="B111" s="4"/>
      <c r="C111" s="5"/>
      <c r="D111" s="6"/>
      <c r="E111" s="7"/>
      <c r="F111" s="12"/>
      <c r="G111" s="12"/>
      <c r="H111" s="8"/>
      <c r="I111" s="8"/>
      <c r="J111" s="8"/>
      <c r="K111" s="8"/>
      <c r="L111" s="9"/>
    </row>
    <row r="112" spans="6:7" ht="13.5">
      <c r="F112" s="13"/>
      <c r="G112" s="12"/>
    </row>
    <row r="113" ht="12.75">
      <c r="G113" s="13"/>
    </row>
    <row r="114" ht="12.75">
      <c r="G114" s="13"/>
    </row>
    <row r="115" ht="12.75">
      <c r="G115" s="13"/>
    </row>
    <row r="116" ht="12.75">
      <c r="G116" s="13"/>
    </row>
    <row r="117" ht="12.75">
      <c r="G117" s="13"/>
    </row>
    <row r="118" ht="12.75">
      <c r="G118" s="13"/>
    </row>
    <row r="119" ht="12.75">
      <c r="G119" s="13"/>
    </row>
    <row r="120" ht="12.75">
      <c r="G120" s="13"/>
    </row>
    <row r="121" ht="12.75">
      <c r="G121" s="13"/>
    </row>
    <row r="122" ht="12.75">
      <c r="G122" s="13"/>
    </row>
    <row r="123" ht="12.75">
      <c r="G123" s="13"/>
    </row>
    <row r="124" ht="12.75">
      <c r="G124" s="13"/>
    </row>
    <row r="125" ht="12.75">
      <c r="G125" s="13"/>
    </row>
    <row r="126" ht="12.75">
      <c r="G126" s="13"/>
    </row>
    <row r="127" ht="12.75">
      <c r="G127" s="13"/>
    </row>
    <row r="128" ht="12.75">
      <c r="G128" s="13"/>
    </row>
    <row r="129" ht="12.75">
      <c r="G129" s="13"/>
    </row>
    <row r="130" ht="12.75">
      <c r="G130" s="13"/>
    </row>
    <row r="131" ht="12.75">
      <c r="G131" s="13"/>
    </row>
    <row r="132" ht="12.75">
      <c r="G132" s="13"/>
    </row>
    <row r="133" ht="12.75">
      <c r="G133" s="13"/>
    </row>
    <row r="134" ht="12.75">
      <c r="G134" s="13"/>
    </row>
    <row r="135" ht="12.75">
      <c r="G135" s="13"/>
    </row>
    <row r="136" ht="12.75">
      <c r="G136" s="13"/>
    </row>
    <row r="137" ht="12.75">
      <c r="G137" s="13"/>
    </row>
    <row r="138" ht="12.75">
      <c r="G138" s="13"/>
    </row>
    <row r="139" ht="12.75">
      <c r="G139" s="13"/>
    </row>
    <row r="140" ht="12.75">
      <c r="G140" s="13"/>
    </row>
    <row r="141" ht="12.75">
      <c r="G141" s="13"/>
    </row>
    <row r="142" ht="12.75">
      <c r="G142" s="13"/>
    </row>
    <row r="143" ht="12.75">
      <c r="G143" s="13"/>
    </row>
    <row r="144" ht="12.75">
      <c r="G144" s="13"/>
    </row>
    <row r="145" ht="12.75">
      <c r="G145" s="13"/>
    </row>
    <row r="146" ht="12.75">
      <c r="G146" s="13"/>
    </row>
    <row r="147" ht="12.75">
      <c r="G147" s="13"/>
    </row>
    <row r="148" ht="12.75">
      <c r="G148" s="13"/>
    </row>
    <row r="149" ht="12.75">
      <c r="G149" s="13"/>
    </row>
    <row r="150" ht="12.75">
      <c r="G150" s="13"/>
    </row>
    <row r="151" ht="12.75">
      <c r="G151" s="13"/>
    </row>
    <row r="152" ht="12.75">
      <c r="G152" s="13"/>
    </row>
    <row r="153" ht="12.75">
      <c r="G153" s="13"/>
    </row>
    <row r="154" ht="12.75">
      <c r="G154" s="13"/>
    </row>
    <row r="155" ht="12.75">
      <c r="G155" s="1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  <row r="180" ht="12.75">
      <c r="A180" s="53"/>
    </row>
    <row r="181" ht="12.75">
      <c r="A181" s="53"/>
    </row>
    <row r="182" ht="12.75">
      <c r="A182" s="53"/>
    </row>
    <row r="183" ht="12.75">
      <c r="A183" s="53"/>
    </row>
    <row r="184" ht="12.75">
      <c r="A184" s="53"/>
    </row>
    <row r="185" ht="12.75">
      <c r="A185" s="53"/>
    </row>
    <row r="186" ht="12.75">
      <c r="A186" s="53"/>
    </row>
    <row r="187" ht="12.75">
      <c r="A187" s="53"/>
    </row>
    <row r="188" ht="12.75">
      <c r="A188" s="53"/>
    </row>
    <row r="189" ht="12.75">
      <c r="A189" s="53"/>
    </row>
    <row r="190" ht="12.75">
      <c r="A190" s="53"/>
    </row>
    <row r="191" ht="12.75">
      <c r="A191" s="53"/>
    </row>
    <row r="192" ht="12.75">
      <c r="A192" s="53"/>
    </row>
    <row r="193" ht="12.75">
      <c r="A193" s="53"/>
    </row>
    <row r="194" ht="12.75">
      <c r="A194" s="53"/>
    </row>
    <row r="195" ht="12.75">
      <c r="A195" s="53"/>
    </row>
    <row r="196" ht="12.75">
      <c r="A196" s="53"/>
    </row>
    <row r="197" ht="12.75">
      <c r="A197" s="53"/>
    </row>
    <row r="198" ht="12.75">
      <c r="A198" s="53"/>
    </row>
    <row r="199" ht="12.75">
      <c r="A199" s="53"/>
    </row>
    <row r="200" ht="12.75">
      <c r="A200" s="53"/>
    </row>
    <row r="201" ht="12.75">
      <c r="A201" s="53"/>
    </row>
    <row r="202" ht="12.75">
      <c r="A202" s="53"/>
    </row>
    <row r="203" ht="12.75">
      <c r="A203" s="53"/>
    </row>
    <row r="204" ht="12.75">
      <c r="A204" s="53"/>
    </row>
    <row r="205" ht="12.75">
      <c r="A205" s="53"/>
    </row>
    <row r="206" ht="12.75">
      <c r="A206" s="53"/>
    </row>
    <row r="207" ht="12.75">
      <c r="A207" s="53"/>
    </row>
    <row r="208" ht="12.75">
      <c r="A208" s="53"/>
    </row>
    <row r="209" ht="12.75">
      <c r="A209" s="53"/>
    </row>
    <row r="210" ht="12.75">
      <c r="A210" s="53"/>
    </row>
    <row r="211" ht="12.75">
      <c r="A211" s="53"/>
    </row>
    <row r="212" ht="12.75">
      <c r="A212" s="53"/>
    </row>
    <row r="213" ht="12.75">
      <c r="A213" s="53"/>
    </row>
    <row r="214" ht="12.75">
      <c r="A214" s="53"/>
    </row>
    <row r="215" ht="12.75">
      <c r="A215" s="53"/>
    </row>
    <row r="216" ht="12.75">
      <c r="A216" s="53"/>
    </row>
    <row r="217" ht="12.75">
      <c r="A217" s="53"/>
    </row>
    <row r="218" ht="12.75">
      <c r="A218" s="53"/>
    </row>
    <row r="219" ht="12.75">
      <c r="A219" s="53"/>
    </row>
    <row r="220" ht="12.75">
      <c r="A220" s="53"/>
    </row>
    <row r="221" ht="12.75">
      <c r="A221" s="53"/>
    </row>
    <row r="222" ht="12.75">
      <c r="A222" s="53"/>
    </row>
    <row r="223" ht="12.75">
      <c r="A223" s="53"/>
    </row>
    <row r="224" ht="12.75">
      <c r="A224" s="53"/>
    </row>
    <row r="225" ht="12.75">
      <c r="A225" s="53"/>
    </row>
    <row r="226" ht="12.75">
      <c r="A226" s="53"/>
    </row>
    <row r="227" ht="12.75">
      <c r="A227" s="53"/>
    </row>
    <row r="228" ht="12.75">
      <c r="A228" s="53"/>
    </row>
    <row r="229" ht="12.75">
      <c r="A229" s="53"/>
    </row>
    <row r="230" ht="12.75">
      <c r="A230" s="53"/>
    </row>
    <row r="231" ht="12.75">
      <c r="A231" s="53"/>
    </row>
    <row r="232" ht="12.75">
      <c r="A232" s="53"/>
    </row>
    <row r="233" ht="12.75">
      <c r="A233" s="53"/>
    </row>
    <row r="234" ht="12.75">
      <c r="A234" s="53"/>
    </row>
    <row r="235" ht="12.75">
      <c r="A235" s="53"/>
    </row>
    <row r="236" ht="12.75">
      <c r="A236" s="53"/>
    </row>
    <row r="237" ht="12.75">
      <c r="A237" s="53"/>
    </row>
    <row r="238" ht="12.75">
      <c r="A238" s="53"/>
    </row>
    <row r="239" ht="12.75">
      <c r="A239" s="53"/>
    </row>
    <row r="240" ht="12.75">
      <c r="A240" s="53"/>
    </row>
    <row r="241" ht="12.75">
      <c r="A241" s="53"/>
    </row>
    <row r="242" ht="12.75">
      <c r="A242" s="53"/>
    </row>
    <row r="243" ht="12.75">
      <c r="A243" s="53"/>
    </row>
    <row r="244" ht="12.75">
      <c r="A244" s="53"/>
    </row>
    <row r="245" ht="12.75">
      <c r="A245" s="53"/>
    </row>
    <row r="246" ht="12.75">
      <c r="A246" s="53"/>
    </row>
    <row r="247" ht="12.75">
      <c r="A247" s="53"/>
    </row>
    <row r="248" ht="12.75">
      <c r="A248" s="53"/>
    </row>
    <row r="249" ht="12.75">
      <c r="A249" s="53"/>
    </row>
    <row r="250" ht="12.75">
      <c r="A250" s="53"/>
    </row>
    <row r="251" ht="12.75">
      <c r="A251" s="53"/>
    </row>
    <row r="252" ht="12.75">
      <c r="A252" s="53"/>
    </row>
    <row r="253" ht="12.75">
      <c r="A253" s="53"/>
    </row>
    <row r="254" ht="12.75">
      <c r="A254" s="53"/>
    </row>
    <row r="255" ht="12.75">
      <c r="A255" s="53"/>
    </row>
    <row r="256" ht="12.75">
      <c r="A256" s="53"/>
    </row>
    <row r="257" ht="12.75">
      <c r="A257" s="53"/>
    </row>
    <row r="258" ht="12.75">
      <c r="A258" s="53"/>
    </row>
    <row r="259" ht="12.75">
      <c r="A259" s="53"/>
    </row>
    <row r="260" ht="12.75">
      <c r="A260" s="53"/>
    </row>
    <row r="261" ht="12.75">
      <c r="A261" s="53"/>
    </row>
    <row r="262" ht="12.75">
      <c r="A262" s="53"/>
    </row>
    <row r="305" ht="12.75">
      <c r="A305" s="53"/>
    </row>
    <row r="306" ht="12.75">
      <c r="A306" s="53"/>
    </row>
    <row r="307" ht="12.75">
      <c r="A307" s="53"/>
    </row>
    <row r="308" ht="12.75">
      <c r="A308" s="53"/>
    </row>
    <row r="309" ht="12.75">
      <c r="A309" s="53"/>
    </row>
    <row r="310" ht="12.75">
      <c r="A310" s="53"/>
    </row>
    <row r="311" ht="12.75">
      <c r="A311" s="53"/>
    </row>
    <row r="312" ht="12.75">
      <c r="A312" s="53"/>
    </row>
    <row r="313" ht="12.75">
      <c r="A313" s="53"/>
    </row>
    <row r="314" ht="12.75">
      <c r="A314" s="53"/>
    </row>
    <row r="315" ht="12.75">
      <c r="A315" s="53"/>
    </row>
    <row r="316" ht="12.75">
      <c r="A316" s="53"/>
    </row>
    <row r="317" ht="12.75">
      <c r="A317" s="53"/>
    </row>
    <row r="318" ht="12.75">
      <c r="A318" s="53"/>
    </row>
    <row r="319" ht="12.75">
      <c r="A319" s="53"/>
    </row>
    <row r="320" ht="12.75">
      <c r="A320" s="53"/>
    </row>
    <row r="321" ht="12.75">
      <c r="A321" s="53"/>
    </row>
    <row r="322" ht="12.75">
      <c r="A322" s="53"/>
    </row>
    <row r="323" ht="12.75">
      <c r="A323" s="53"/>
    </row>
    <row r="324" ht="12.75">
      <c r="A324" s="53"/>
    </row>
    <row r="325" ht="12.75">
      <c r="A325" s="53"/>
    </row>
    <row r="326" ht="12.75">
      <c r="A326" s="53"/>
    </row>
    <row r="327" ht="12.75">
      <c r="A327" s="53"/>
    </row>
    <row r="328" ht="12.75">
      <c r="A328" s="53"/>
    </row>
    <row r="329" ht="12.75">
      <c r="A329" s="53"/>
    </row>
    <row r="330" ht="12.75">
      <c r="A330" s="53"/>
    </row>
    <row r="331" ht="12.75">
      <c r="A331" s="53"/>
    </row>
    <row r="332" ht="12.75">
      <c r="A332" s="53"/>
    </row>
    <row r="333" ht="12.75">
      <c r="A333" s="53"/>
    </row>
    <row r="334" ht="12.75">
      <c r="A334" s="53"/>
    </row>
    <row r="335" ht="12.75">
      <c r="A335" s="53"/>
    </row>
    <row r="336" ht="12.75">
      <c r="A336" s="53"/>
    </row>
    <row r="337" ht="12.75">
      <c r="A337" s="53"/>
    </row>
    <row r="338" ht="12.75">
      <c r="A338" s="53"/>
    </row>
    <row r="339" ht="12.75">
      <c r="A339" s="53"/>
    </row>
    <row r="340" ht="12.75">
      <c r="A340" s="53"/>
    </row>
    <row r="341" ht="12.75">
      <c r="A341" s="53"/>
    </row>
    <row r="342" ht="12.75">
      <c r="A342" s="53"/>
    </row>
    <row r="343" ht="12.75">
      <c r="A343" s="53"/>
    </row>
    <row r="344" ht="12.75">
      <c r="A344" s="53"/>
    </row>
    <row r="345" ht="12.75">
      <c r="A345" s="53"/>
    </row>
    <row r="346" ht="12.75">
      <c r="A346" s="53"/>
    </row>
    <row r="347" ht="12.75">
      <c r="A347" s="53"/>
    </row>
    <row r="348" ht="12.75">
      <c r="A348" s="53"/>
    </row>
  </sheetData>
  <sheetProtection/>
  <mergeCells count="19">
    <mergeCell ref="L9:L11"/>
    <mergeCell ref="G10:K10"/>
    <mergeCell ref="F9:F11"/>
    <mergeCell ref="G9:K9"/>
    <mergeCell ref="B51:E51"/>
    <mergeCell ref="B47:E47"/>
    <mergeCell ref="B48:E48"/>
    <mergeCell ref="B49:E49"/>
    <mergeCell ref="B50:E50"/>
    <mergeCell ref="B15:E15"/>
    <mergeCell ref="A9:A11"/>
    <mergeCell ref="B9:B11"/>
    <mergeCell ref="C9:C11"/>
    <mergeCell ref="D9:E9"/>
    <mergeCell ref="D10:E10"/>
    <mergeCell ref="B17:E17"/>
    <mergeCell ref="B13:E13"/>
    <mergeCell ref="B16:E16"/>
    <mergeCell ref="B14:E14"/>
  </mergeCells>
  <hyperlinks>
    <hyperlink ref="L9" r:id="rId1" display="_ftn1"/>
  </hyperlinks>
  <printOptions/>
  <pageMargins left="0.15748031496062992" right="0.15748031496062992" top="0.3937007874015748" bottom="0.3937007874015748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2013-07-16T09:31:50Z</cp:lastPrinted>
  <dcterms:created xsi:type="dcterms:W3CDTF">2010-09-24T07:39:40Z</dcterms:created>
  <dcterms:modified xsi:type="dcterms:W3CDTF">2013-07-19T11:04:36Z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