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Uch.nr   RM nr  z 26.08.2013." sheetId="1" r:id="rId1"/>
    <sheet name="zał. nr 1" sheetId="2" r:id="rId2"/>
  </sheets>
  <definedNames>
    <definedName name="_xlnm.Print_Titles" localSheetId="1">'zał. nr 1'!$10:$12</definedName>
  </definedNames>
  <calcPr fullCalcOnLoad="1"/>
</workbook>
</file>

<file path=xl/sharedStrings.xml><?xml version="1.0" encoding="utf-8"?>
<sst xmlns="http://schemas.openxmlformats.org/spreadsheetml/2006/main" count="657" uniqueCount="435">
  <si>
    <t>Przebudowa - likwidacja kolizji sieci elektroenergetycznej obręb Maliniec</t>
  </si>
  <si>
    <t>Budowa ul. Paprotkowej, Azaliowej i Kameliowej w Koninie</t>
  </si>
  <si>
    <t>Zainstalowanie klimatyzacji w budynku Urzędu Miejskiego plac Wolności 1</t>
  </si>
  <si>
    <t>Wniesienie wkładu pieniężnego na budowę kanalizacji sanitarnej w ulicy Magnoliowej</t>
  </si>
  <si>
    <t>Zakupy inwestycyjne dla Obiektu Rekreacyjno Sportowego „Rondo” w Koninie</t>
  </si>
  <si>
    <t>Zakup samochodu dostawczego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</si>
  <si>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</si>
  <si>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</si>
  <si>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</si>
  <si>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</si>
  <si>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</si>
  <si>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</si>
  <si>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</si>
  <si>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</si>
  <si>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</si>
  <si>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</si>
  <si>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</si>
  <si>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</si>
  <si>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</si>
  <si>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</si>
  <si>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</si>
  <si>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</si>
  <si>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</si>
  <si>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 xml:space="preserve">o finansach  publicznych (Dz. U.   Nr  157 poz. 1240 ze zm.)   R a d a    M i a s t a   K o n i n a  </t>
  </si>
  <si>
    <t xml:space="preserve"> u c h w a l a,  co następuje :</t>
  </si>
  <si>
    <t xml:space="preserve">Zakup sztandaru dla Szkoły Podstawowej nr 12  w Koninie
</t>
  </si>
  <si>
    <t>SP nr 12/WO</t>
  </si>
  <si>
    <t>Podłączenie I Liceum Ogólnokształcącego i Filii MBP Starówka do sieci KoMAN</t>
  </si>
  <si>
    <t>zastępuje się kwotą</t>
  </si>
  <si>
    <t>Zagospodarowanie terenów pogórniczych os. Zatorze - w zakresie budowy ścieżki spacerowej - Etap IV</t>
  </si>
  <si>
    <t>dokumentacja projektowo-kosztorysowa, wykonawstwo</t>
  </si>
  <si>
    <t xml:space="preserve">           1) kwotę  wydatków  gminy  ogółem                      </t>
  </si>
  <si>
    <t>z tego;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</si>
  <si>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</si>
  <si>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</si>
  <si>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</si>
  <si>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</si>
  <si>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t>600</t>
  </si>
  <si>
    <t>60016</t>
  </si>
  <si>
    <t>dz. 600 rozdz.60016 § 6050 zwiększa się o kwotę</t>
  </si>
  <si>
    <t>60015</t>
  </si>
  <si>
    <t>Dokumentacje przyszłościowe</t>
  </si>
  <si>
    <t xml:space="preserve">opracowanie dokumentacji projektowej w zakresie budowy łącznika ulic Poznańska - Rumiankowa - Zakładowa - Kleczewska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</si>
  <si>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</si>
  <si>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</si>
  <si>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</si>
  <si>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</si>
  <si>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</si>
  <si>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</si>
  <si>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</si>
  <si>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</si>
  <si>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</si>
  <si>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 xml:space="preserve">         W uchwale Nr 506 Rady Miasta Konina z dnia 19 grudnia 2012 r. w sprawie uchwalenia budżetu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</si>
  <si>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</si>
  <si>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</si>
  <si>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</si>
  <si>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</si>
  <si>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</si>
  <si>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</si>
  <si>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</si>
  <si>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</si>
  <si>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</si>
  <si>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</si>
  <si>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</si>
  <si>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</si>
  <si>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</si>
  <si>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</si>
  <si>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</si>
  <si>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</si>
  <si>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</si>
  <si>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</si>
  <si>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</si>
  <si>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</si>
  <si>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</si>
  <si>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</si>
  <si>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</si>
  <si>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</si>
  <si>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place zabaw</t>
  </si>
  <si>
    <t>hangar plus wyposażenie</t>
  </si>
  <si>
    <t>Zakup laptopa dla Przedszkola nr 10</t>
  </si>
  <si>
    <t>Zakup wyposażenia placu zabaw dla Przedszkola nr 10</t>
  </si>
  <si>
    <t>zakup laptopa</t>
  </si>
  <si>
    <t xml:space="preserve">zakup wyposażenia placu zabaw 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</si>
  <si>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</si>
  <si>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</si>
  <si>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</si>
  <si>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</si>
  <si>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</si>
  <si>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</si>
  <si>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</si>
  <si>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</si>
  <si>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</si>
  <si>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 xml:space="preserve">                                     UCHWAŁA  NR  </t>
  </si>
  <si>
    <t xml:space="preserve">                                     z dnia  26 sierpnia  2013 roku</t>
  </si>
  <si>
    <t>1. W § 1 ust. 3</t>
  </si>
  <si>
    <t>2. W Załączniku Nr 2 do uchwały budżetowej dokonuje się następujących zmian:</t>
  </si>
  <si>
    <t>3. W Załączniku Nr 2 do uchwały budżetowej dokonuje się następujących zmian:</t>
  </si>
  <si>
    <r>
      <t xml:space="preserve"> 4.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</si>
  <si>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 xml:space="preserve">do Uchwały nr </t>
  </si>
  <si>
    <t>Nr 90/2013 Prezydenta Miasta Konina z dnia 22 lipca 2013 r.; Nr 613 Rady Miasta Konina z dnia 31 lipca 2013 r.;</t>
  </si>
  <si>
    <r>
      <t xml:space="preserve">Nr 97/2013 Prezydenta Miasta Konina z dnia 13 sierpnia 2013 r   - </t>
    </r>
    <r>
      <rPr>
        <b/>
        <i/>
        <sz val="11"/>
        <rFont val="Times New Roman"/>
        <family val="1"/>
      </rPr>
      <t>wprowadza się następujące zmiany:</t>
    </r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</si>
  <si>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</si>
  <si>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</si>
  <si>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</si>
  <si>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</si>
  <si>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</si>
  <si>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</si>
  <si>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Wykonanie monitoringu CCTV w budynkach Żłobka Miejskiego przy ul. Sosnowej 6 oraz przy ul. Staszica 17</t>
  </si>
  <si>
    <t>Wykonanie monitoringu CCTV</t>
  </si>
  <si>
    <t>Żłobki</t>
  </si>
  <si>
    <t xml:space="preserve">Opracowanie dokumentacji projektowo – kosztorysowej na przebudowę  ulicy Południowej w Koninie
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</si>
  <si>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</si>
  <si>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</si>
  <si>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</si>
  <si>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</si>
  <si>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</si>
  <si>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</si>
  <si>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</si>
  <si>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</si>
  <si>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</si>
  <si>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</si>
  <si>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</si>
  <si>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</si>
  <si>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</si>
  <si>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</si>
  <si>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</si>
  <si>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</si>
  <si>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</si>
  <si>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</si>
  <si>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</si>
  <si>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</si>
  <si>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</si>
  <si>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</si>
  <si>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</si>
  <si>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</si>
  <si>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</si>
  <si>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</si>
  <si>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</si>
  <si>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</si>
  <si>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</si>
  <si>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</si>
  <si>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</si>
  <si>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</si>
  <si>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</si>
  <si>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</si>
  <si>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</si>
  <si>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</si>
  <si>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</si>
  <si>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</si>
  <si>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</si>
  <si>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</si>
  <si>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</si>
  <si>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</si>
  <si>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</si>
  <si>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</si>
  <si>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</si>
  <si>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</si>
  <si>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</si>
  <si>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</si>
  <si>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 xml:space="preserve">zakup kserokopiarki 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</si>
  <si>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</si>
  <si>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</si>
  <si>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</si>
  <si>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</si>
  <si>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</si>
  <si>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</si>
  <si>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</si>
  <si>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</si>
  <si>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</si>
  <si>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</si>
  <si>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</si>
  <si>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</si>
  <si>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</si>
  <si>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</si>
  <si>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</si>
  <si>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</si>
  <si>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</si>
  <si>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</si>
  <si>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</si>
  <si>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</si>
  <si>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</si>
  <si>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</si>
  <si>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</si>
  <si>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</si>
  <si>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</si>
  <si>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</si>
  <si>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</si>
  <si>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</si>
  <si>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</si>
  <si>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</si>
  <si>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</si>
  <si>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</si>
  <si>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</si>
  <si>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</si>
  <si>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</si>
  <si>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</si>
  <si>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</si>
  <si>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</si>
  <si>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</si>
  <si>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</si>
  <si>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</si>
  <si>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</si>
  <si>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</si>
  <si>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</si>
  <si>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</si>
  <si>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</si>
  <si>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</si>
  <si>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</si>
  <si>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</si>
  <si>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</si>
  <si>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Zakup i montaż ulicznych lamp solarnych 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</si>
  <si>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</si>
  <si>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</si>
  <si>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</si>
  <si>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</si>
  <si>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</si>
  <si>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11 kwietnia 2013 r.; Nr 559  Rady Miasta Konina z dnia 24 kwietnia 2013 r.; Nr 46/2013 Prezydenta Miasta Konina </t>
  </si>
  <si>
    <t xml:space="preserve">z dnia 24 maja 2013 r.; Nr 574 Rady Miasta Konina z dnia 29 maja 2013 r.; Nr 67/2013 Prezydenta Miasta Konina </t>
  </si>
  <si>
    <t xml:space="preserve">z dnia 14 czerwca 2013 r.; Nr 592 Rady Miasta Konina z dnia 26 czerwca 2013 r.; Nr 75/2013 Prezydenta Miasta </t>
  </si>
  <si>
    <t>W części dotyczącej zadań  powiatu</t>
  </si>
  <si>
    <t>dz. 600 rozdz.60015 § 6050   zmniejsza się o kwotę</t>
  </si>
  <si>
    <t>Budowa przyłącza światłowodowego do sterownika sygnalizacji świetlnej na skrzyżowaniu ul. Kard. S. Wyszyńskiego i ul. Przyjaźni w Koninie</t>
  </si>
  <si>
    <t xml:space="preserve">aktualizacja dokumentacji projektowej- zmiana nazwy dokumentacji i uzupelnienie podziałów geodezyjnych gruntów </t>
  </si>
  <si>
    <t>zakup zmywarki</t>
  </si>
  <si>
    <t>budowa kanalizacji</t>
  </si>
  <si>
    <t>Konina z dnia 4 lipca 2013 r.; Nr 89/2013 Prezydenta Miasta Konina z dnia 15 lipca 2013 r.;</t>
  </si>
  <si>
    <t>Przebudowa skrzyżowania ulicy Warszawskiej z ulicą Kolską w Koninie</t>
  </si>
  <si>
    <t>Budowa czterech domków mieszkalnych  oraz rozbudowa budynku gospodarczego w Koninie przy ul. M. Dąbrowskiej</t>
  </si>
  <si>
    <t>Budowa instalacji centralnego ogrzewania i ciepłej wody w budynku przy ul. M. Dąbrowskiej 50 w Koninie</t>
  </si>
  <si>
    <t>Wykonanie instalacji monitoringu widowni i hali sportowej w obiekcie sportowo-rekreacyjnym "Rondo" w Koninie</t>
  </si>
  <si>
    <t xml:space="preserve">wykonanie instalacji monitoringu widowni i hali sportowej </t>
  </si>
  <si>
    <t>budowa instalacji centralnego ogrzewania i ciepłej wody</t>
  </si>
  <si>
    <t>budowa chodnika</t>
  </si>
  <si>
    <t>zmiany w dokumentacji</t>
  </si>
  <si>
    <t>budowa domków</t>
  </si>
  <si>
    <t>wykonanie monitoringu</t>
  </si>
  <si>
    <t>aktualizacja dokumentacji projektowej ;  zlecenie oceny przydatności do dalszego wykorzystania instniejącej dokumentacji oraz opracowanie  przedmiotu zamówienia dla  przeprojektowania istniejacej dokumentacji projektowo-kosztorysowej na II etap nowego przebiegu drogi krajowej nr 25 w Koninie</t>
  </si>
  <si>
    <t>WI/DR</t>
  </si>
  <si>
    <t xml:space="preserve">zakup i montaż dźwigów  osobowych </t>
  </si>
  <si>
    <t>instalacja klimatyzacji</t>
  </si>
  <si>
    <t>budowa sieci kanalizacji sanitarnej i wodociągu</t>
  </si>
  <si>
    <t xml:space="preserve">budowa sieci kanalizacji sanitarnej </t>
  </si>
  <si>
    <t>budowa  wodociągu</t>
  </si>
  <si>
    <t>Wykonanie klimatyzacji pomieszczenia Strefy K oraz modernizacja central klimatyzacyjnych sali widowiskowej</t>
  </si>
  <si>
    <t>wykonanie klimatyzacji  oraz modernizacja central klimatyzacyjnych</t>
  </si>
  <si>
    <t>tablica wyników; nagłościenie; klimatyzatory; urządzenia do aromatoterapii</t>
  </si>
  <si>
    <t>samochód dostawczy</t>
  </si>
  <si>
    <t>przebudowa parkingu</t>
  </si>
  <si>
    <t xml:space="preserve">wykonanie  miejsca do ważenia pojazdów </t>
  </si>
  <si>
    <t>Aktualizacja  dokumentacji projektowej na „Przebudowę mostu im. Józefa Piłsudskiego w  Koninie"</t>
  </si>
  <si>
    <t>zabezpieczenie</t>
  </si>
  <si>
    <t>opracowanie dokumentacji projektowej i budowa przyłącza</t>
  </si>
  <si>
    <t>Dofinansowanie zakupu   radiowozów dla KMP w Koninie</t>
  </si>
  <si>
    <t>zakup   radiowozów</t>
  </si>
  <si>
    <t xml:space="preserve">wykonanie sterowania wyjazdową sygnalizacją świetlną </t>
  </si>
  <si>
    <t>Budowa ulicy na os. Zemełki oznaczonej w planie symbolem KL-2  wraz z dwoma sięgaczami KD</t>
  </si>
  <si>
    <t>SP nr 8/WO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</si>
  <si>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</si>
  <si>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</si>
  <si>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Nr 540 Rady Miasta Konina z dnia 27 marca 2013 r.;  Nr 40/2013 Prezydenta Miasta Konina z dnia</t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</si>
  <si>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</si>
  <si>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</si>
  <si>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</si>
  <si>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</si>
  <si>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</si>
  <si>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</si>
  <si>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</si>
  <si>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</si>
  <si>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</si>
  <si>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</si>
  <si>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Wniesienie wkładu pieniężnego na opracowanie dokumentacji projektowej na budowę kanalizacji sanitarnej os. Wilków V etap (ul. Topolowa, Jarzębinowa)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</si>
  <si>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</si>
  <si>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</si>
  <si>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</si>
  <si>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</si>
  <si>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</si>
  <si>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</si>
  <si>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</si>
  <si>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</si>
  <si>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Wykonanie dokumentacji projektowej  budowy ulic: Bluszczowa, Gerberowa, Begoniowa, Kaktusowa, Nasturcjowa, Daliowa, Piwoniowa  w Koninie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</si>
  <si>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</si>
  <si>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</si>
  <si>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</si>
  <si>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</si>
  <si>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</si>
  <si>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</si>
  <si>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</si>
  <si>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</si>
  <si>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</si>
  <si>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</si>
  <si>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</si>
  <si>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</si>
  <si>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</si>
  <si>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</si>
  <si>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</si>
  <si>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</si>
  <si>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</si>
  <si>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</si>
  <si>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</si>
  <si>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</si>
  <si>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</si>
  <si>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</si>
  <si>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</si>
  <si>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</si>
  <si>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</si>
  <si>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</si>
  <si>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</si>
  <si>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</si>
  <si>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</si>
  <si>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</si>
  <si>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</si>
  <si>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</si>
  <si>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</si>
  <si>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</si>
  <si>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</si>
  <si>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</si>
  <si>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</si>
  <si>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</si>
  <si>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</si>
  <si>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</si>
  <si>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</si>
  <si>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</si>
  <si>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</si>
  <si>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</si>
  <si>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</si>
  <si>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</si>
  <si>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</si>
  <si>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</si>
  <si>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</si>
  <si>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</si>
  <si>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</si>
  <si>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</si>
  <si>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>zakupu i montażu zestawu pn. "System Aktiv Zestaw 11"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</si>
  <si>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</si>
  <si>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</si>
  <si>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</si>
  <si>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</si>
  <si>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</si>
  <si>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</si>
  <si>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</si>
  <si>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przebudowa ulicy</t>
  </si>
  <si>
    <t>wymiana lamp</t>
  </si>
  <si>
    <t>zakup i montaż lamp solarnych ul. Beznazwy, Jeziorko os.Zatorze i ul. Spacerowa</t>
  </si>
  <si>
    <t>Budowa oświetlenia na ul. Kanałowej w Koninie</t>
  </si>
  <si>
    <t>Wykonanie schodów wewnętrznych w Przedszkolu nr 4 w Koninie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</si>
  <si>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</si>
  <si>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>Opracowanie dokumentacji projektowej i budowa przyłącza do budynku przy ul. Andrzeja Benesza do sieci KoMAN</t>
  </si>
  <si>
    <t>Kultura i ochrona dziedzictwa narodowego</t>
  </si>
  <si>
    <t>Turystyka</t>
  </si>
  <si>
    <t>Wykonanie monitoringu na placu zabaw przy Szkole Podstawowej nr 1 w Koninie</t>
  </si>
  <si>
    <t>Zakup zmywarki dla SP nr 8 w Koninie</t>
  </si>
  <si>
    <t>budowa przyłącza</t>
  </si>
  <si>
    <t>Utrzymanie zieleni w miastach i gminach</t>
  </si>
  <si>
    <t xml:space="preserve">Nr  54/2013 Prezydenta Miasta Konina z dnia 16 maja 2013 r.; Nr  58/2013 Prezydenta Miasta Konina </t>
  </si>
  <si>
    <t xml:space="preserve">SPnr 1/WO </t>
  </si>
  <si>
    <t xml:space="preserve">SPnr 3/WO </t>
  </si>
  <si>
    <t xml:space="preserve">SPnr 12/WO </t>
  </si>
  <si>
    <t xml:space="preserve">Budowa ulic na osiedlu Przydziałki - etap II </t>
  </si>
  <si>
    <t>Opracowanie dokumentacji projektowo - kosztorysowej na budowę parkingu  przy ulicy Powstańców Styczniowych 1 -3 -5</t>
  </si>
  <si>
    <t>Przebudowa parkingu przy ul. Kard. S. Wyszyńskiego 19 i 21 w Koninie</t>
  </si>
  <si>
    <t>Wykonanie ( Wyznaczenie) miejsca do ważenia pojazdów na ulicy Hutniczej w Koninie</t>
  </si>
  <si>
    <t>Adaptację budynku Sądu Rejonowego w Koninie na cele administracyjne</t>
  </si>
  <si>
    <t>Wykonanie zabezpieczeń na  Bulwarze Nadwarciańskim w Koninie</t>
  </si>
  <si>
    <t>Opracowanie  dokumentacji projektowej ul. Laskówiecka w Koninie</t>
  </si>
  <si>
    <t>Cmentarze</t>
  </si>
  <si>
    <t>Opracowanie koncepcji  na rozbudowę cmentarza wraz z układem komunikacyjnym przy ul. Kolskiej w Koninie</t>
  </si>
  <si>
    <t>opracowanie koncepcji</t>
  </si>
  <si>
    <t>Zakup i montaż dźwigów  osobowych (platform)   w budynkach przy ul. Kosmonautów 10 i  ul. 11 Listopada 9</t>
  </si>
  <si>
    <t>Wniesienie wkładu pieniężnego na opracowanie dokumentacji na budowę kanalizacji sanitarnej osiedle Morzysław II etap i sieci wodociągowej w ulicy Staromorzysławskiej</t>
  </si>
  <si>
    <t>Wniesienie wkładu pieniężnego na budowę sieci kanalizacji sanitarnej i wodociągu w ulicy Rudzickiej</t>
  </si>
  <si>
    <t>Wniesienie wkładu pieniężnego na budowę wodociągu w ulicy Piaskowej, Borowej i Świerkowej</t>
  </si>
  <si>
    <t>Opracowanie dokumentacji projektowej na budowę toalet  przy Bulwarze Nadwarciańskim w Koninie</t>
  </si>
  <si>
    <t xml:space="preserve">Uzupełnienie urządzeń zabawowych na placu zabaw pomiędzy budynkami ul.   Wieniawskiego i Noskowskiego w Koninie
</t>
  </si>
  <si>
    <t>Wykonanie sterowania wyjazdową sygnalizacją świetlną w Komendzie Miejskiej Państwowej Straży Pożarnej w Koninie  w siedzibie Jednostki Ratowniczo – Gaśniczej Nr 2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</si>
  <si>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</si>
  <si>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</si>
  <si>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</si>
  <si>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</si>
  <si>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</si>
  <si>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</si>
  <si>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</si>
  <si>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</si>
  <si>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</si>
  <si>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</si>
  <si>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Domy i ośrodki kultury, świetlice i kluby</t>
  </si>
  <si>
    <t>CKU/WO</t>
  </si>
  <si>
    <t>IILO.WO</t>
  </si>
  <si>
    <t>Licea ogólnokształcące</t>
  </si>
  <si>
    <t>Budowa ogrodzenia zespołu garaży przy ulicy Gajowej w Koninie</t>
  </si>
  <si>
    <t>Zmniejsza się plan wydatków o kwotę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</si>
  <si>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</si>
  <si>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</si>
  <si>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</si>
  <si>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</si>
  <si>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</si>
  <si>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</si>
  <si>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Opracowanie dokumentacji projektowo-kosztorysowej na budowę łącznika od ul. Przemysłowej do ul. Kleczewskiej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</si>
  <si>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</si>
  <si>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</si>
  <si>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>Budowa - przedłużenie ulicy Solnej - odcinek od ul. Kaliskiej do ul. Świętojańskiej</t>
  </si>
  <si>
    <t>Budowa chodnika na ul. Działkowej w Koninie</t>
  </si>
  <si>
    <t>wykonanie schodów</t>
  </si>
  <si>
    <t>Komendy powiatowe Policji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</si>
  <si>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</si>
  <si>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</si>
  <si>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</si>
  <si>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</si>
  <si>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</si>
  <si>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</si>
  <si>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</si>
  <si>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</si>
  <si>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</si>
  <si>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</si>
  <si>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</si>
  <si>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</si>
  <si>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KT/KDK</t>
  </si>
  <si>
    <t>Budowa kanalizacji deszczowej w rejonie ulicy Gajowej w Koninie</t>
  </si>
  <si>
    <t>Przebudowa chodnika ul. Żeglarska w Koninie</t>
  </si>
  <si>
    <t>(Dz. U. z 2013 r. poz. 594), art. 211 ustawy z dnia 27 sierpnia 2009 r.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</si>
  <si>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</si>
  <si>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</si>
  <si>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</si>
  <si>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</si>
  <si>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Prezydenta Miasta Konina z dnia 7 marca 2013 r.; Nr 25/2013 Prezydenta Miasta Konina z dnia 14 marca 2013 r.;</t>
  </si>
  <si>
    <t>Budowa placu zabaw w ramach programu rządowego "Radosna Szkoła" przy Szkole Podstawowej Nr 3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</si>
  <si>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</si>
  <si>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</si>
  <si>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</si>
  <si>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</si>
  <si>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</si>
  <si>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</si>
  <si>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t>6050</t>
  </si>
  <si>
    <t>Projekt</t>
  </si>
  <si>
    <t>z dnia  26 sierpnia 2013 roku</t>
  </si>
  <si>
    <t>DRUK Nr 669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</si>
</sst>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9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8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5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3" fillId="0" borderId="0" xfId="53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3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" fontId="23" fillId="0" borderId="0" xfId="52" applyNumberFormat="1" applyFont="1" applyFill="1" applyAlignment="1">
      <alignment vertical="center"/>
      <protection/>
    </xf>
    <xf numFmtId="4" fontId="20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2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6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3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49" fontId="9" fillId="0" borderId="0" xfId="54" applyNumberFormat="1" applyFont="1" applyFill="1">
      <alignment/>
      <protection/>
    </xf>
    <xf numFmtId="49" fontId="9" fillId="0" borderId="0" xfId="54" applyNumberFormat="1" applyFont="1" applyFill="1" applyAlignment="1">
      <alignment horizontal="center"/>
      <protection/>
    </xf>
    <xf numFmtId="49" fontId="3" fillId="0" borderId="0" xfId="54" applyNumberFormat="1" applyFont="1" applyFill="1">
      <alignment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35" fillId="0" borderId="0" xfId="52" applyNumberFormat="1" applyFont="1" applyFill="1">
      <alignment/>
      <protection/>
    </xf>
    <xf numFmtId="4" fontId="34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0" fillId="0" borderId="0" xfId="52" applyNumberFormat="1" applyFont="1" applyFill="1">
      <alignment/>
      <protection/>
    </xf>
    <xf numFmtId="4" fontId="25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" fontId="5" fillId="0" borderId="0" xfId="52" applyNumberFormat="1" applyFont="1" applyFill="1">
      <alignment/>
      <protection/>
    </xf>
    <xf numFmtId="4" fontId="33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" fontId="27" fillId="0" borderId="0" xfId="52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" fontId="37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36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" fontId="42" fillId="0" borderId="0" xfId="52" applyNumberFormat="1" applyFont="1" applyFill="1">
      <alignment/>
      <protection/>
    </xf>
    <xf numFmtId="4" fontId="43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" fontId="33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5" applyNumberFormat="1" applyFont="1" applyFill="1">
      <alignment/>
      <protection/>
    </xf>
    <xf numFmtId="49" fontId="28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5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5" applyNumberFormat="1" applyFont="1" applyFill="1" applyBorder="1" applyAlignment="1">
      <alignment horizontal="center"/>
      <protection/>
    </xf>
    <xf numFmtId="49" fontId="15" fillId="0" borderId="0" xfId="55" applyNumberFormat="1" applyFont="1" applyFill="1">
      <alignment/>
      <protection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4" applyNumberFormat="1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4" fontId="3" fillId="0" borderId="0" xfId="54" applyNumberFormat="1" applyFont="1" applyFill="1">
      <alignment/>
      <protection/>
    </xf>
    <xf numFmtId="0" fontId="34" fillId="0" borderId="0" xfId="0" applyFont="1" applyFill="1" applyAlignment="1">
      <alignment/>
    </xf>
    <xf numFmtId="49" fontId="15" fillId="0" borderId="0" xfId="54" applyNumberFormat="1" applyFont="1" applyFill="1">
      <alignment/>
      <protection/>
    </xf>
    <xf numFmtId="49" fontId="15" fillId="0" borderId="0" xfId="54" applyNumberFormat="1" applyFont="1" applyFill="1" applyAlignment="1">
      <alignment horizontal="center"/>
      <protection/>
    </xf>
    <xf numFmtId="0" fontId="15" fillId="0" borderId="0" xfId="54" applyFont="1" applyFill="1">
      <alignment/>
      <protection/>
    </xf>
    <xf numFmtId="4" fontId="15" fillId="0" borderId="0" xfId="54" applyNumberFormat="1" applyFont="1" applyFill="1">
      <alignment/>
      <protection/>
    </xf>
    <xf numFmtId="0" fontId="33" fillId="0" borderId="0" xfId="52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16" fillId="0" borderId="0" xfId="53" applyFont="1" applyFill="1">
      <alignment/>
      <protection/>
    </xf>
    <xf numFmtId="4" fontId="33" fillId="0" borderId="0" xfId="52" applyNumberFormat="1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7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4" fontId="49" fillId="0" borderId="0" xfId="0" applyNumberFormat="1" applyFont="1" applyFill="1" applyAlignment="1">
      <alignment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vertical="center" wrapText="1"/>
    </xf>
    <xf numFmtId="4" fontId="48" fillId="0" borderId="22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 wrapText="1"/>
    </xf>
    <xf numFmtId="4" fontId="50" fillId="0" borderId="2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5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4" fontId="29" fillId="0" borderId="2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vertical="center" wrapText="1"/>
    </xf>
    <xf numFmtId="0" fontId="5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45" fillId="0" borderId="1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5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5" fillId="0" borderId="10" xfId="52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5" fillId="0" borderId="13" xfId="55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2" xfId="52" applyNumberFormat="1" applyFont="1" applyFill="1" applyBorder="1" applyAlignment="1">
      <alignment vertical="center" wrapText="1"/>
      <protection/>
    </xf>
    <xf numFmtId="0" fontId="45" fillId="0" borderId="10" xfId="55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5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 wrapText="1"/>
    </xf>
    <xf numFmtId="0" fontId="45" fillId="0" borderId="13" xfId="52" applyFont="1" applyFill="1" applyBorder="1" applyAlignment="1">
      <alignment vertical="center" wrapText="1"/>
      <protection/>
    </xf>
    <xf numFmtId="4" fontId="58" fillId="0" borderId="0" xfId="0" applyNumberFormat="1" applyFont="1" applyFill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horizontal="right"/>
    </xf>
    <xf numFmtId="4" fontId="6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center"/>
    </xf>
    <xf numFmtId="0" fontId="62" fillId="0" borderId="0" xfId="52" applyFont="1" applyFill="1" applyAlignment="1">
      <alignment horizontal="left"/>
      <protection/>
    </xf>
    <xf numFmtId="0" fontId="62" fillId="0" borderId="0" xfId="56" applyFont="1" applyFill="1" applyAlignment="1">
      <alignment horizontal="left"/>
      <protection/>
    </xf>
    <xf numFmtId="0" fontId="63" fillId="0" borderId="0" xfId="0" applyFont="1" applyFill="1" applyAlignment="1">
      <alignment horizontal="left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49" fontId="28" fillId="0" borderId="0" xfId="53" applyNumberFormat="1" applyFont="1" applyFill="1">
      <alignment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9" fontId="5" fillId="0" borderId="22" xfId="52" applyNumberFormat="1" applyFont="1" applyFill="1" applyBorder="1" applyAlignment="1">
      <alignment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" fontId="39" fillId="0" borderId="0" xfId="52" applyNumberFormat="1" applyFont="1" applyFill="1" applyAlignment="1">
      <alignment vertical="center"/>
      <protection/>
    </xf>
    <xf numFmtId="4" fontId="20" fillId="0" borderId="0" xfId="52" applyNumberFormat="1" applyFont="1" applyFill="1" applyAlignment="1">
      <alignment vertical="center"/>
      <protection/>
    </xf>
    <xf numFmtId="0" fontId="12" fillId="0" borderId="19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8" fillId="0" borderId="10" xfId="52" applyFont="1" applyFill="1" applyBorder="1" applyAlignment="1">
      <alignment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0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8" fillId="0" borderId="10" xfId="52" applyNumberFormat="1" applyFont="1" applyFill="1" applyBorder="1" applyAlignment="1">
      <alignment vertical="center" wrapText="1"/>
      <protection/>
    </xf>
    <xf numFmtId="4" fontId="50" fillId="0" borderId="10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0" fontId="29" fillId="0" borderId="10" xfId="52" applyFont="1" applyFill="1" applyBorder="1" applyAlignment="1">
      <alignment vertical="top" wrapText="1"/>
      <protection/>
    </xf>
    <xf numFmtId="0" fontId="10" fillId="0" borderId="10" xfId="55" applyFont="1" applyFill="1" applyBorder="1" applyAlignment="1">
      <alignment horizontal="left" vertical="top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68" fillId="0" borderId="0" xfId="0" applyNumberFormat="1" applyFont="1" applyFill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9" fontId="29" fillId="0" borderId="13" xfId="52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6" applyFont="1" applyFill="1" applyAlignment="1">
      <alignment horizontal="left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4" fontId="3" fillId="0" borderId="0" xfId="55" applyNumberFormat="1" applyFont="1" applyFill="1" applyAlignment="1">
      <alignment horizontal="right"/>
      <protection/>
    </xf>
    <xf numFmtId="4" fontId="29" fillId="0" borderId="19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/>
    </xf>
    <xf numFmtId="4" fontId="9" fillId="0" borderId="15" xfId="0" applyNumberFormat="1" applyFont="1" applyFill="1" applyBorder="1" applyAlignment="1">
      <alignment horizontal="left" vertical="center"/>
    </xf>
    <xf numFmtId="1" fontId="9" fillId="0" borderId="20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4" fontId="48" fillId="0" borderId="13" xfId="52" applyNumberFormat="1" applyFont="1" applyFill="1" applyBorder="1" applyAlignment="1">
      <alignment horizontal="left" vertical="center" wrapText="1"/>
      <protection/>
    </xf>
    <xf numFmtId="4" fontId="56" fillId="0" borderId="13" xfId="0" applyNumberFormat="1" applyFont="1" applyFill="1" applyBorder="1" applyAlignment="1">
      <alignment horizontal="left" vertical="center" wrapText="1"/>
    </xf>
    <xf numFmtId="4" fontId="57" fillId="0" borderId="0" xfId="0" applyNumberFormat="1" applyFont="1" applyFill="1" applyAlignment="1">
      <alignment horizontal="left" vertical="center"/>
    </xf>
    <xf numFmtId="4" fontId="26" fillId="0" borderId="15" xfId="0" applyNumberFormat="1" applyFont="1" applyFill="1" applyBorder="1" applyAlignment="1">
      <alignment horizontal="left" vertical="center"/>
    </xf>
    <xf numFmtId="1" fontId="26" fillId="0" borderId="13" xfId="0" applyNumberFormat="1" applyFont="1" applyFill="1" applyBorder="1" applyAlignment="1">
      <alignment horizontal="left" vertical="center"/>
    </xf>
    <xf numFmtId="4" fontId="50" fillId="0" borderId="13" xfId="52" applyNumberFormat="1" applyFont="1" applyFill="1" applyBorder="1" applyAlignment="1">
      <alignment horizontal="left" vertical="center" wrapText="1"/>
      <protection/>
    </xf>
    <xf numFmtId="4" fontId="47" fillId="0" borderId="13" xfId="0" applyNumberFormat="1" applyFont="1" applyFill="1" applyBorder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/>
    </xf>
    <xf numFmtId="4" fontId="48" fillId="0" borderId="13" xfId="0" applyNumberFormat="1" applyFont="1" applyFill="1" applyBorder="1" applyAlignment="1">
      <alignment horizontal="right" vertical="center" wrapText="1"/>
    </xf>
    <xf numFmtId="4" fontId="50" fillId="0" borderId="22" xfId="0" applyNumberFormat="1" applyFont="1" applyFill="1" applyBorder="1" applyAlignment="1">
      <alignment horizontal="right" vertical="center" wrapText="1"/>
    </xf>
    <xf numFmtId="4" fontId="29" fillId="0" borderId="13" xfId="55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center" vertical="center"/>
    </xf>
    <xf numFmtId="4" fontId="45" fillId="0" borderId="13" xfId="52" applyNumberFormat="1" applyFont="1" applyFill="1" applyBorder="1" applyAlignment="1">
      <alignment vertical="center" wrapText="1"/>
      <protection/>
    </xf>
    <xf numFmtId="2" fontId="29" fillId="0" borderId="13" xfId="52" applyNumberFormat="1" applyFont="1" applyFill="1" applyBorder="1" applyAlignment="1">
      <alignment vertical="center" wrapText="1"/>
      <protection/>
    </xf>
    <xf numFmtId="0" fontId="29" fillId="0" borderId="13" xfId="52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0" fillId="0" borderId="13" xfId="52" applyFont="1" applyFill="1" applyBorder="1" applyAlignment="1">
      <alignment vertical="center" wrapText="1"/>
      <protection/>
    </xf>
    <xf numFmtId="4" fontId="50" fillId="0" borderId="13" xfId="52" applyNumberFormat="1" applyFont="1" applyFill="1" applyBorder="1" applyAlignment="1">
      <alignment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0" fontId="48" fillId="0" borderId="13" xfId="52" applyFont="1" applyFill="1" applyBorder="1" applyAlignment="1">
      <alignment vertical="center" wrapText="1"/>
      <protection/>
    </xf>
    <xf numFmtId="4" fontId="48" fillId="0" borderId="13" xfId="52" applyNumberFormat="1" applyFont="1" applyFill="1" applyBorder="1" applyAlignment="1">
      <alignment vertical="center" wrapText="1"/>
      <protection/>
    </xf>
    <xf numFmtId="0" fontId="57" fillId="0" borderId="0" xfId="0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38" fillId="0" borderId="0" xfId="52" applyNumberFormat="1" applyFont="1" applyFill="1">
      <alignment/>
      <protection/>
    </xf>
    <xf numFmtId="1" fontId="29" fillId="0" borderId="15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7" fillId="0" borderId="13" xfId="55" applyNumberFormat="1" applyFont="1" applyFill="1" applyBorder="1" applyAlignment="1">
      <alignment horizontal="right" wrapText="1"/>
      <protection/>
    </xf>
    <xf numFmtId="0" fontId="29" fillId="0" borderId="13" xfId="52" applyFont="1" applyFill="1" applyBorder="1" applyAlignment="1">
      <alignment vertical="center"/>
      <protection/>
    </xf>
    <xf numFmtId="4" fontId="9" fillId="0" borderId="11" xfId="0" applyNumberFormat="1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/>
    </xf>
    <xf numFmtId="4" fontId="26" fillId="0" borderId="10" xfId="52" applyNumberFormat="1" applyFont="1" applyFill="1" applyBorder="1" applyAlignment="1">
      <alignment vertical="center"/>
      <protection/>
    </xf>
    <xf numFmtId="4" fontId="45" fillId="0" borderId="13" xfId="0" applyNumberFormat="1" applyFont="1" applyFill="1" applyBorder="1" applyAlignment="1">
      <alignment vertical="center" wrapText="1"/>
    </xf>
    <xf numFmtId="4" fontId="45" fillId="0" borderId="11" xfId="0" applyNumberFormat="1" applyFont="1" applyFill="1" applyBorder="1" applyAlignment="1">
      <alignment vertical="center" wrapText="1"/>
    </xf>
    <xf numFmtId="49" fontId="29" fillId="0" borderId="10" xfId="52" applyNumberFormat="1" applyFont="1" applyFill="1" applyBorder="1" applyAlignment="1">
      <alignment vertical="center" wrapText="1"/>
      <protection/>
    </xf>
    <xf numFmtId="4" fontId="45" fillId="0" borderId="17" xfId="0" applyNumberFormat="1" applyFont="1" applyFill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/>
    </xf>
    <xf numFmtId="4" fontId="9" fillId="33" borderId="13" xfId="52" applyNumberFormat="1" applyFont="1" applyFill="1" applyBorder="1" applyAlignment="1">
      <alignment vertical="center"/>
      <protection/>
    </xf>
    <xf numFmtId="4" fontId="29" fillId="33" borderId="13" xfId="52" applyNumberFormat="1" applyFont="1" applyFill="1" applyBorder="1" applyAlignment="1">
      <alignment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Uch.RMK luty" xfId="54"/>
    <cellStyle name="Normalny_Uch.RMK marzec" xfId="55"/>
    <cellStyle name="Normalny_ZPMK lut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120" zoomScaleNormal="120" zoomScalePageLayoutView="0" workbookViewId="0" topLeftCell="A1">
      <pane xSplit="17550" topLeftCell="U1" activePane="topLeft" state="split"/>
      <selection pane="topLeft" activeCell="G1" sqref="G1"/>
      <selection pane="topRight" activeCell="R302" sqref="R302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6.140625" style="2" customWidth="1"/>
    <col min="8" max="8" width="19.8515625" style="24" customWidth="1"/>
    <col min="9" max="9" width="28.00390625" style="31" customWidth="1"/>
    <col min="10" max="10" width="22.28125" style="32" customWidth="1"/>
    <col min="11" max="11" width="20.8515625" style="31" customWidth="1"/>
    <col min="12" max="12" width="19.28125" style="31" customWidth="1"/>
    <col min="13" max="13" width="15.140625" style="31" customWidth="1"/>
    <col min="14" max="14" width="15.00390625" style="2" customWidth="1"/>
    <col min="15" max="16384" width="9.140625" style="2" customWidth="1"/>
  </cols>
  <sheetData>
    <row r="1" ht="18.75">
      <c r="G1" s="492" t="s">
        <v>434</v>
      </c>
    </row>
    <row r="2" spans="1:14" s="48" customFormat="1" ht="23.25" customHeight="1">
      <c r="A2" s="62" t="s">
        <v>92</v>
      </c>
      <c r="B2" s="63"/>
      <c r="C2" s="64"/>
      <c r="D2" s="5"/>
      <c r="E2" s="5"/>
      <c r="F2" s="5"/>
      <c r="G2" s="55"/>
      <c r="H2" s="174" t="s">
        <v>432</v>
      </c>
      <c r="I2" s="57"/>
      <c r="J2" s="58"/>
      <c r="K2" s="55"/>
      <c r="L2" s="57"/>
      <c r="M2" s="57"/>
      <c r="N2" s="55"/>
    </row>
    <row r="3" spans="1:14" s="48" customFormat="1" ht="24" customHeight="1">
      <c r="A3" s="62" t="s">
        <v>21</v>
      </c>
      <c r="B3" s="63"/>
      <c r="C3" s="64"/>
      <c r="D3" s="5"/>
      <c r="E3" s="5"/>
      <c r="F3" s="5"/>
      <c r="G3" s="55"/>
      <c r="H3" s="59"/>
      <c r="I3" s="57"/>
      <c r="J3" s="58"/>
      <c r="K3" s="55"/>
      <c r="L3" s="57"/>
      <c r="M3" s="57"/>
      <c r="N3" s="55"/>
    </row>
    <row r="4" spans="1:14" s="48" customFormat="1" ht="24" customHeight="1">
      <c r="A4" s="62" t="s">
        <v>93</v>
      </c>
      <c r="B4" s="63"/>
      <c r="C4" s="64"/>
      <c r="D4" s="5"/>
      <c r="E4" s="5"/>
      <c r="F4" s="5"/>
      <c r="G4" s="55"/>
      <c r="H4" s="60"/>
      <c r="I4" s="57"/>
      <c r="J4" s="58"/>
      <c r="K4" s="55"/>
      <c r="L4" s="57"/>
      <c r="M4" s="57"/>
      <c r="N4" s="55"/>
    </row>
    <row r="5" spans="1:14" s="48" customFormat="1" ht="17.25" customHeight="1">
      <c r="A5" s="54"/>
      <c r="B5" s="55"/>
      <c r="C5" s="56"/>
      <c r="D5" s="55"/>
      <c r="E5" s="55"/>
      <c r="F5" s="55"/>
      <c r="G5" s="55"/>
      <c r="H5" s="60"/>
      <c r="I5" s="57"/>
      <c r="J5" s="58"/>
      <c r="K5" s="55"/>
      <c r="L5" s="57"/>
      <c r="M5" s="57"/>
      <c r="N5" s="55"/>
    </row>
    <row r="6" spans="1:14" ht="18.75">
      <c r="A6" s="23"/>
      <c r="B6" s="5"/>
      <c r="C6" s="6"/>
      <c r="D6" s="5"/>
      <c r="E6" s="5"/>
      <c r="F6" s="5"/>
      <c r="G6" s="5"/>
      <c r="H6" s="7"/>
      <c r="I6" s="42"/>
      <c r="J6" s="9"/>
      <c r="K6" s="5"/>
      <c r="L6" s="42"/>
      <c r="M6" s="42"/>
      <c r="N6" s="5"/>
    </row>
    <row r="7" spans="1:14" ht="19.5">
      <c r="A7" s="23" t="s">
        <v>51</v>
      </c>
      <c r="B7" s="5"/>
      <c r="C7" s="6"/>
      <c r="D7" s="5"/>
      <c r="E7" s="5"/>
      <c r="F7" s="5"/>
      <c r="G7" s="5"/>
      <c r="H7" s="7"/>
      <c r="I7" s="42"/>
      <c r="J7" s="9"/>
      <c r="K7" s="5"/>
      <c r="L7" s="42"/>
      <c r="M7" s="42"/>
      <c r="N7" s="5"/>
    </row>
    <row r="8" spans="1:14" ht="18.75">
      <c r="A8" s="23"/>
      <c r="B8" s="5"/>
      <c r="C8" s="6"/>
      <c r="D8" s="5"/>
      <c r="E8" s="5"/>
      <c r="F8" s="5"/>
      <c r="G8" s="5"/>
      <c r="H8" s="7"/>
      <c r="I8" s="42"/>
      <c r="J8" s="9"/>
      <c r="K8" s="5"/>
      <c r="L8" s="42"/>
      <c r="M8" s="42"/>
      <c r="N8" s="5"/>
    </row>
    <row r="9" spans="1:14" ht="18.75">
      <c r="A9" s="5"/>
      <c r="B9" s="5"/>
      <c r="C9" s="6"/>
      <c r="D9" s="5"/>
      <c r="E9" s="5"/>
      <c r="F9" s="5"/>
      <c r="G9" s="5"/>
      <c r="H9" s="7"/>
      <c r="I9" s="42"/>
      <c r="J9" s="9"/>
      <c r="K9" s="5"/>
      <c r="L9" s="42"/>
      <c r="M9" s="42"/>
      <c r="N9" s="5"/>
    </row>
    <row r="10" spans="1:14" ht="18.75">
      <c r="A10" s="65" t="s">
        <v>22</v>
      </c>
      <c r="B10" s="63"/>
      <c r="C10" s="64"/>
      <c r="D10" s="5"/>
      <c r="E10" s="5"/>
      <c r="F10" s="5"/>
      <c r="G10" s="5"/>
      <c r="H10" s="7"/>
      <c r="I10" s="42"/>
      <c r="J10" s="9"/>
      <c r="K10" s="5"/>
      <c r="L10" s="42"/>
      <c r="M10" s="42"/>
      <c r="N10" s="5"/>
    </row>
    <row r="11" spans="1:14" ht="18.75">
      <c r="A11" s="65" t="s">
        <v>418</v>
      </c>
      <c r="B11" s="63"/>
      <c r="C11" s="64"/>
      <c r="D11" s="5"/>
      <c r="E11" s="5"/>
      <c r="F11" s="5"/>
      <c r="G11" s="5"/>
      <c r="H11" s="7"/>
      <c r="I11" s="42"/>
      <c r="J11" s="9"/>
      <c r="K11" s="5"/>
      <c r="L11" s="42"/>
      <c r="M11" s="42"/>
      <c r="N11" s="5"/>
    </row>
    <row r="12" spans="1:14" ht="18.75">
      <c r="A12" s="65" t="s">
        <v>23</v>
      </c>
      <c r="B12" s="63"/>
      <c r="C12" s="64"/>
      <c r="D12" s="5"/>
      <c r="E12" s="5"/>
      <c r="F12" s="5"/>
      <c r="G12" s="5"/>
      <c r="H12" s="7"/>
      <c r="I12" s="42"/>
      <c r="J12" s="9"/>
      <c r="K12" s="5"/>
      <c r="L12" s="42"/>
      <c r="M12" s="42"/>
      <c r="N12" s="5"/>
    </row>
    <row r="13" spans="1:14" ht="18.75">
      <c r="A13" s="65" t="s">
        <v>24</v>
      </c>
      <c r="B13" s="63"/>
      <c r="C13" s="64"/>
      <c r="D13" s="5"/>
      <c r="E13" s="5"/>
      <c r="F13" s="5"/>
      <c r="G13" s="5"/>
      <c r="H13" s="7"/>
      <c r="I13" s="42"/>
      <c r="J13" s="9"/>
      <c r="K13" s="5"/>
      <c r="L13" s="42"/>
      <c r="M13" s="42"/>
      <c r="N13" s="5"/>
    </row>
    <row r="14" spans="1:14" ht="18.75">
      <c r="A14" s="53"/>
      <c r="B14" s="43"/>
      <c r="C14" s="16"/>
      <c r="D14" s="16"/>
      <c r="E14" s="5"/>
      <c r="F14" s="5"/>
      <c r="G14" s="5"/>
      <c r="H14" s="7"/>
      <c r="I14" s="42"/>
      <c r="J14" s="9"/>
      <c r="K14" s="5"/>
      <c r="L14" s="42"/>
      <c r="M14" s="42"/>
      <c r="N14" s="5"/>
    </row>
    <row r="15" spans="1:14" s="28" customFormat="1" ht="15.75">
      <c r="A15" s="8"/>
      <c r="B15" s="8"/>
      <c r="C15" s="30"/>
      <c r="D15" s="8"/>
      <c r="E15" s="30" t="s">
        <v>10</v>
      </c>
      <c r="F15" s="8"/>
      <c r="G15" s="8"/>
      <c r="H15" s="9"/>
      <c r="I15" s="34"/>
      <c r="J15" s="34"/>
      <c r="K15" s="41"/>
      <c r="L15" s="34"/>
      <c r="M15" s="34"/>
      <c r="N15" s="8"/>
    </row>
    <row r="16" spans="1:14" s="28" customFormat="1" ht="15.75">
      <c r="A16" s="8"/>
      <c r="B16" s="8"/>
      <c r="C16" s="30"/>
      <c r="D16" s="8"/>
      <c r="E16" s="30"/>
      <c r="F16" s="8"/>
      <c r="G16" s="8"/>
      <c r="H16" s="9"/>
      <c r="I16" s="34"/>
      <c r="J16" s="34"/>
      <c r="K16" s="41"/>
      <c r="L16" s="34"/>
      <c r="M16" s="34"/>
      <c r="N16" s="8"/>
    </row>
    <row r="17" spans="1:14" ht="18.75">
      <c r="A17" s="380" t="s">
        <v>52</v>
      </c>
      <c r="B17" s="61"/>
      <c r="C17" s="61"/>
      <c r="D17" s="61"/>
      <c r="E17" s="30"/>
      <c r="F17" s="8"/>
      <c r="G17" s="5"/>
      <c r="H17" s="7"/>
      <c r="I17" s="35"/>
      <c r="J17" s="34"/>
      <c r="K17" s="33"/>
      <c r="L17" s="33"/>
      <c r="M17" s="33"/>
      <c r="N17" s="5"/>
    </row>
    <row r="18" spans="1:14" ht="18.75">
      <c r="A18" s="381" t="s">
        <v>337</v>
      </c>
      <c r="B18" s="61"/>
      <c r="C18" s="61"/>
      <c r="D18" s="61"/>
      <c r="E18" s="30"/>
      <c r="F18" s="8"/>
      <c r="G18" s="5"/>
      <c r="H18" s="7"/>
      <c r="I18" s="33"/>
      <c r="J18" s="34"/>
      <c r="K18" s="33"/>
      <c r="L18" s="33"/>
      <c r="M18" s="33"/>
      <c r="N18" s="5"/>
    </row>
    <row r="19" spans="1:8" ht="15.75">
      <c r="A19" s="67" t="s">
        <v>336</v>
      </c>
      <c r="B19" s="8"/>
      <c r="C19" s="68"/>
      <c r="D19" s="8"/>
      <c r="E19" s="30"/>
      <c r="F19" s="8"/>
      <c r="H19" s="1"/>
    </row>
    <row r="20" spans="1:10" ht="15.75">
      <c r="A20" s="381" t="s">
        <v>257</v>
      </c>
      <c r="B20" s="172"/>
      <c r="C20" s="382"/>
      <c r="D20" s="382"/>
      <c r="E20" s="30"/>
      <c r="F20" s="8"/>
      <c r="H20" s="1"/>
      <c r="J20" s="71"/>
    </row>
    <row r="21" spans="1:10" ht="15.75">
      <c r="A21" s="67" t="s">
        <v>258</v>
      </c>
      <c r="B21" s="8"/>
      <c r="C21" s="68"/>
      <c r="D21" s="8"/>
      <c r="E21" s="30"/>
      <c r="F21" s="8"/>
      <c r="H21" s="1"/>
      <c r="J21" s="71"/>
    </row>
    <row r="22" spans="1:10" ht="15.75">
      <c r="A22" s="67" t="s">
        <v>423</v>
      </c>
      <c r="B22" s="172"/>
      <c r="C22" s="382"/>
      <c r="D22" s="382"/>
      <c r="E22" s="26"/>
      <c r="F22" s="8"/>
      <c r="H22" s="1"/>
      <c r="J22" s="71"/>
    </row>
    <row r="23" spans="1:10" ht="15.75">
      <c r="A23" s="80" t="s">
        <v>259</v>
      </c>
      <c r="B23" s="172"/>
      <c r="C23" s="382"/>
      <c r="D23" s="382"/>
      <c r="E23" s="26"/>
      <c r="F23" s="8"/>
      <c r="H23" s="1"/>
      <c r="J23" s="71"/>
    </row>
    <row r="24" spans="1:10" ht="15.75">
      <c r="A24" s="67" t="s">
        <v>216</v>
      </c>
      <c r="B24" s="407"/>
      <c r="C24" s="384"/>
      <c r="D24" s="18"/>
      <c r="E24" s="18"/>
      <c r="F24" s="8"/>
      <c r="H24" s="1"/>
      <c r="J24" s="71"/>
    </row>
    <row r="25" spans="1:10" ht="15.75">
      <c r="A25" s="67" t="s">
        <v>260</v>
      </c>
      <c r="B25" s="407"/>
      <c r="C25" s="384"/>
      <c r="D25" s="18"/>
      <c r="E25" s="18"/>
      <c r="F25" s="18"/>
      <c r="H25" s="1"/>
      <c r="J25" s="71"/>
    </row>
    <row r="26" spans="1:10" ht="15.75">
      <c r="A26" s="67" t="s">
        <v>353</v>
      </c>
      <c r="B26" s="8"/>
      <c r="C26" s="68"/>
      <c r="D26" s="8"/>
      <c r="E26" s="30"/>
      <c r="F26" s="8"/>
      <c r="H26" s="1"/>
      <c r="J26" s="71"/>
    </row>
    <row r="27" spans="1:10" ht="15.75">
      <c r="A27" s="67" t="s">
        <v>217</v>
      </c>
      <c r="B27" s="8"/>
      <c r="C27" s="68"/>
      <c r="D27" s="8"/>
      <c r="E27" s="30"/>
      <c r="F27" s="8"/>
      <c r="H27" s="1"/>
      <c r="J27" s="71"/>
    </row>
    <row r="28" spans="1:10" ht="15.75">
      <c r="A28" s="67" t="s">
        <v>218</v>
      </c>
      <c r="B28" s="8"/>
      <c r="C28" s="68"/>
      <c r="D28" s="8"/>
      <c r="E28" s="30"/>
      <c r="F28" s="8"/>
      <c r="H28" s="1"/>
      <c r="J28" s="71"/>
    </row>
    <row r="29" spans="1:10" ht="15.75">
      <c r="A29" s="67" t="s">
        <v>225</v>
      </c>
      <c r="B29" s="8"/>
      <c r="C29" s="68"/>
      <c r="D29" s="8"/>
      <c r="E29" s="30"/>
      <c r="F29" s="8"/>
      <c r="H29" s="1"/>
      <c r="J29" s="71"/>
    </row>
    <row r="30" spans="1:10" ht="15.75">
      <c r="A30" s="67" t="s">
        <v>99</v>
      </c>
      <c r="B30" s="8"/>
      <c r="C30" s="68"/>
      <c r="D30" s="8"/>
      <c r="E30" s="30"/>
      <c r="F30" s="8"/>
      <c r="H30" s="1"/>
      <c r="I30" s="72"/>
      <c r="J30" s="71"/>
    </row>
    <row r="31" spans="1:10" ht="15.75">
      <c r="A31" s="67" t="s">
        <v>100</v>
      </c>
      <c r="B31" s="407"/>
      <c r="C31" s="384"/>
      <c r="D31" s="18"/>
      <c r="E31" s="18"/>
      <c r="F31" s="8"/>
      <c r="H31" s="1"/>
      <c r="J31" s="71"/>
    </row>
    <row r="32" spans="1:10" ht="15.75">
      <c r="A32" s="428"/>
      <c r="B32" s="8"/>
      <c r="C32" s="68"/>
      <c r="D32" s="8"/>
      <c r="E32" s="30"/>
      <c r="F32" s="8"/>
      <c r="H32" s="1"/>
      <c r="J32" s="71"/>
    </row>
    <row r="33" spans="1:10" ht="15.75">
      <c r="A33" s="428"/>
      <c r="B33" s="8"/>
      <c r="C33" s="68"/>
      <c r="D33" s="8"/>
      <c r="E33" s="30"/>
      <c r="F33" s="8"/>
      <c r="H33" s="1"/>
      <c r="J33" s="71"/>
    </row>
    <row r="34" spans="1:10" ht="15.75">
      <c r="A34" s="428"/>
      <c r="B34" s="8"/>
      <c r="C34" s="68"/>
      <c r="D34" s="8"/>
      <c r="E34" s="30"/>
      <c r="F34" s="8"/>
      <c r="H34" s="1"/>
      <c r="J34" s="71"/>
    </row>
    <row r="35" spans="1:13" s="46" customFormat="1" ht="19.5" customHeight="1">
      <c r="A35" s="97"/>
      <c r="B35" s="98"/>
      <c r="C35" s="98"/>
      <c r="D35" s="99"/>
      <c r="E35" s="99"/>
      <c r="F35" s="99"/>
      <c r="G35" s="99"/>
      <c r="I35" s="95"/>
      <c r="J35" s="47"/>
      <c r="K35" s="96"/>
      <c r="L35" s="47"/>
      <c r="M35" s="47"/>
    </row>
    <row r="36" spans="1:13" s="28" customFormat="1" ht="15.75">
      <c r="A36" s="69" t="s">
        <v>94</v>
      </c>
      <c r="B36" s="101"/>
      <c r="C36" s="102"/>
      <c r="H36" s="1"/>
      <c r="I36" s="70"/>
      <c r="J36" s="32"/>
      <c r="K36" s="76"/>
      <c r="L36" s="32"/>
      <c r="M36" s="32"/>
    </row>
    <row r="37" spans="1:23" ht="15.75">
      <c r="A37" s="100"/>
      <c r="B37" s="100"/>
      <c r="C37" s="100"/>
      <c r="D37" s="28"/>
      <c r="E37" s="28"/>
      <c r="F37" s="28"/>
      <c r="G37" s="28"/>
      <c r="H37" s="1"/>
      <c r="I37" s="103"/>
      <c r="J37" s="37"/>
      <c r="K37" s="104"/>
      <c r="L37" s="36"/>
      <c r="M37" s="36"/>
      <c r="N37" s="16"/>
      <c r="O37" s="16"/>
      <c r="P37" s="16"/>
      <c r="Q37" s="105"/>
      <c r="R37" s="105"/>
      <c r="S37" s="105"/>
      <c r="T37" s="105"/>
      <c r="U37" s="105"/>
      <c r="V37" s="105"/>
      <c r="W37" s="105"/>
    </row>
    <row r="38" spans="1:23" ht="18.75">
      <c r="A38" s="69"/>
      <c r="B38" s="101"/>
      <c r="C38" s="102"/>
      <c r="D38" s="16"/>
      <c r="E38" s="16"/>
      <c r="F38" s="16"/>
      <c r="G38" s="16"/>
      <c r="H38" s="17"/>
      <c r="I38" s="106"/>
      <c r="J38" s="107"/>
      <c r="K38" s="104"/>
      <c r="L38" s="36"/>
      <c r="M38" s="36"/>
      <c r="N38" s="16"/>
      <c r="O38" s="16"/>
      <c r="P38" s="16"/>
      <c r="Q38" s="105"/>
      <c r="R38" s="105"/>
      <c r="S38" s="105"/>
      <c r="T38" s="105"/>
      <c r="U38" s="105"/>
      <c r="V38" s="105"/>
      <c r="W38" s="105"/>
    </row>
    <row r="39" spans="1:23" ht="15.75">
      <c r="A39" s="113" t="s">
        <v>31</v>
      </c>
      <c r="B39" s="113"/>
      <c r="C39" s="113"/>
      <c r="D39" s="81"/>
      <c r="E39" s="80"/>
      <c r="F39" s="80"/>
      <c r="G39" s="16"/>
      <c r="H39" s="109">
        <v>288314291.66</v>
      </c>
      <c r="I39" s="173"/>
      <c r="J39" s="107"/>
      <c r="K39" s="104"/>
      <c r="L39" s="36"/>
      <c r="M39" s="36"/>
      <c r="N39" s="16"/>
      <c r="O39" s="16"/>
      <c r="P39" s="16"/>
      <c r="Q39" s="105"/>
      <c r="R39" s="105"/>
      <c r="S39" s="105"/>
      <c r="T39" s="105"/>
      <c r="U39" s="105"/>
      <c r="V39" s="105"/>
      <c r="W39" s="105"/>
    </row>
    <row r="40" spans="1:23" ht="15.75">
      <c r="A40" s="113"/>
      <c r="B40" s="114" t="s">
        <v>28</v>
      </c>
      <c r="C40" s="113"/>
      <c r="D40" s="81"/>
      <c r="E40" s="80"/>
      <c r="F40" s="80"/>
      <c r="G40" s="16"/>
      <c r="H40" s="109">
        <f>H39-D67+F67</f>
        <v>289018089.66</v>
      </c>
      <c r="I40" s="173"/>
      <c r="J40" s="107"/>
      <c r="K40" s="104"/>
      <c r="L40" s="36"/>
      <c r="M40" s="36"/>
      <c r="N40" s="16"/>
      <c r="O40" s="16"/>
      <c r="P40" s="16"/>
      <c r="Q40" s="105"/>
      <c r="R40" s="105"/>
      <c r="S40" s="105"/>
      <c r="T40" s="105"/>
      <c r="U40" s="105"/>
      <c r="V40" s="105"/>
      <c r="W40" s="105"/>
    </row>
    <row r="41" spans="1:23" ht="15.75">
      <c r="A41" s="79" t="s">
        <v>9</v>
      </c>
      <c r="B41" s="79" t="s">
        <v>32</v>
      </c>
      <c r="C41" s="79"/>
      <c r="D41" s="80"/>
      <c r="E41" s="80"/>
      <c r="F41" s="80"/>
      <c r="G41" s="16"/>
      <c r="H41" s="109"/>
      <c r="I41" s="173"/>
      <c r="J41" s="107"/>
      <c r="K41" s="104"/>
      <c r="L41" s="36"/>
      <c r="M41" s="36"/>
      <c r="N41" s="16"/>
      <c r="O41" s="16"/>
      <c r="P41" s="16"/>
      <c r="Q41" s="105"/>
      <c r="R41" s="105"/>
      <c r="S41" s="105"/>
      <c r="T41" s="105"/>
      <c r="U41" s="105"/>
      <c r="V41" s="105"/>
      <c r="W41" s="105"/>
    </row>
    <row r="42" spans="1:23" ht="15.75">
      <c r="A42" s="116"/>
      <c r="B42" s="118"/>
      <c r="C42" s="116"/>
      <c r="D42" s="117"/>
      <c r="E42" s="81"/>
      <c r="F42" s="117"/>
      <c r="G42" s="16"/>
      <c r="H42" s="109"/>
      <c r="I42" s="173"/>
      <c r="J42" s="107"/>
      <c r="K42" s="104"/>
      <c r="L42" s="469"/>
      <c r="M42" s="36"/>
      <c r="N42" s="16"/>
      <c r="O42" s="16"/>
      <c r="P42" s="16"/>
      <c r="Q42" s="105"/>
      <c r="R42" s="105"/>
      <c r="S42" s="105"/>
      <c r="T42" s="105"/>
      <c r="U42" s="105"/>
      <c r="V42" s="105"/>
      <c r="W42" s="105"/>
    </row>
    <row r="43" spans="1:23" ht="15.75">
      <c r="A43" s="116"/>
      <c r="B43" s="118"/>
      <c r="C43" s="116"/>
      <c r="D43" s="117"/>
      <c r="E43" s="81"/>
      <c r="F43" s="117"/>
      <c r="G43" s="16"/>
      <c r="H43" s="109"/>
      <c r="I43" s="106"/>
      <c r="J43" s="107"/>
      <c r="K43" s="104"/>
      <c r="L43" s="469"/>
      <c r="M43" s="36"/>
      <c r="N43" s="16"/>
      <c r="O43" s="16"/>
      <c r="P43" s="16"/>
      <c r="Q43" s="105"/>
      <c r="R43" s="105"/>
      <c r="S43" s="105"/>
      <c r="T43" s="105"/>
      <c r="U43" s="105"/>
      <c r="V43" s="105"/>
      <c r="W43" s="105"/>
    </row>
    <row r="44" spans="1:23" ht="15.75">
      <c r="A44" s="116" t="s">
        <v>33</v>
      </c>
      <c r="B44" s="116"/>
      <c r="C44" s="113"/>
      <c r="D44" s="117"/>
      <c r="E44" s="81"/>
      <c r="F44" s="117"/>
      <c r="G44" s="16"/>
      <c r="H44" s="109">
        <v>34541299.16</v>
      </c>
      <c r="I44" s="106"/>
      <c r="J44" s="107"/>
      <c r="K44" s="104"/>
      <c r="L44" s="469"/>
      <c r="M44" s="36"/>
      <c r="N44" s="16"/>
      <c r="O44" s="16"/>
      <c r="P44" s="16"/>
      <c r="Q44" s="105"/>
      <c r="R44" s="105"/>
      <c r="S44" s="105"/>
      <c r="T44" s="105"/>
      <c r="U44" s="105"/>
      <c r="V44" s="105"/>
      <c r="W44" s="105"/>
    </row>
    <row r="45" spans="1:23" ht="15.75">
      <c r="A45" s="116"/>
      <c r="B45" s="118" t="s">
        <v>28</v>
      </c>
      <c r="C45" s="113"/>
      <c r="D45" s="117"/>
      <c r="E45" s="81"/>
      <c r="F45" s="117"/>
      <c r="G45" s="16"/>
      <c r="H45" s="109">
        <f>H44+F66</f>
        <v>35245097.16</v>
      </c>
      <c r="I45" s="173"/>
      <c r="J45" s="107"/>
      <c r="K45" s="104"/>
      <c r="L45" s="36"/>
      <c r="M45" s="36"/>
      <c r="N45" s="16"/>
      <c r="O45" s="16"/>
      <c r="P45" s="16"/>
      <c r="Q45" s="105"/>
      <c r="R45" s="105"/>
      <c r="S45" s="105"/>
      <c r="T45" s="105"/>
      <c r="U45" s="105"/>
      <c r="V45" s="105"/>
      <c r="W45" s="105"/>
    </row>
    <row r="46" spans="1:23" ht="15.75">
      <c r="A46" s="77"/>
      <c r="B46" s="78"/>
      <c r="C46" s="73"/>
      <c r="D46" s="26"/>
      <c r="E46" s="81"/>
      <c r="F46" s="117"/>
      <c r="G46" s="16"/>
      <c r="H46" s="112"/>
      <c r="I46" s="173"/>
      <c r="J46" s="107"/>
      <c r="K46" s="104"/>
      <c r="L46" s="36"/>
      <c r="M46" s="36"/>
      <c r="N46" s="16"/>
      <c r="O46" s="16"/>
      <c r="P46" s="16"/>
      <c r="Q46" s="105"/>
      <c r="R46" s="105"/>
      <c r="S46" s="105"/>
      <c r="T46" s="105"/>
      <c r="U46" s="105"/>
      <c r="V46" s="105"/>
      <c r="W46" s="105"/>
    </row>
    <row r="47" spans="1:23" ht="15.75">
      <c r="A47" s="116"/>
      <c r="B47" s="118"/>
      <c r="C47" s="113"/>
      <c r="D47" s="117"/>
      <c r="E47" s="81"/>
      <c r="F47" s="117"/>
      <c r="G47" s="16"/>
      <c r="H47" s="109"/>
      <c r="I47" s="110"/>
      <c r="J47" s="37"/>
      <c r="K47" s="104"/>
      <c r="L47" s="36"/>
      <c r="M47" s="36"/>
      <c r="N47" s="16"/>
      <c r="O47" s="16"/>
      <c r="P47" s="16"/>
      <c r="Q47" s="105"/>
      <c r="R47" s="105"/>
      <c r="S47" s="105"/>
      <c r="T47" s="105"/>
      <c r="U47" s="105"/>
      <c r="V47" s="105"/>
      <c r="W47" s="105"/>
    </row>
    <row r="48" spans="1:23" ht="15.75">
      <c r="A48" s="113" t="s">
        <v>34</v>
      </c>
      <c r="B48" s="113"/>
      <c r="C48" s="113"/>
      <c r="D48" s="81"/>
      <c r="E48" s="81"/>
      <c r="F48" s="117"/>
      <c r="G48" s="16"/>
      <c r="H48" s="109">
        <v>131380627.17</v>
      </c>
      <c r="I48" s="110"/>
      <c r="J48" s="37"/>
      <c r="K48" s="104"/>
      <c r="L48" s="36"/>
      <c r="M48" s="36"/>
      <c r="N48" s="16"/>
      <c r="O48" s="16"/>
      <c r="P48" s="16"/>
      <c r="Q48" s="105"/>
      <c r="R48" s="105"/>
      <c r="S48" s="105"/>
      <c r="T48" s="105"/>
      <c r="U48" s="105"/>
      <c r="V48" s="105"/>
      <c r="W48" s="105"/>
    </row>
    <row r="49" spans="1:11" ht="15.75">
      <c r="A49" s="113"/>
      <c r="B49" s="114" t="s">
        <v>28</v>
      </c>
      <c r="C49" s="113"/>
      <c r="D49" s="81"/>
      <c r="E49" s="81"/>
      <c r="F49" s="117"/>
      <c r="H49" s="74">
        <f>H48-D80+F80</f>
        <v>130676829.17</v>
      </c>
      <c r="I49" s="70"/>
      <c r="J49" s="71"/>
      <c r="K49" s="72"/>
    </row>
    <row r="50" spans="1:12" ht="15.75">
      <c r="A50" s="79" t="s">
        <v>9</v>
      </c>
      <c r="B50" s="79" t="s">
        <v>32</v>
      </c>
      <c r="C50" s="79"/>
      <c r="D50" s="80"/>
      <c r="E50" s="81"/>
      <c r="F50" s="117"/>
      <c r="H50" s="74"/>
      <c r="I50" s="70"/>
      <c r="J50" s="71"/>
      <c r="K50" s="72"/>
      <c r="L50" s="72"/>
    </row>
    <row r="51" spans="1:23" ht="15.75">
      <c r="A51" s="116"/>
      <c r="B51" s="78"/>
      <c r="C51" s="73"/>
      <c r="D51" s="26"/>
      <c r="E51" s="81"/>
      <c r="F51" s="117"/>
      <c r="G51" s="16"/>
      <c r="H51" s="109"/>
      <c r="I51" s="110"/>
      <c r="J51" s="37"/>
      <c r="K51" s="104"/>
      <c r="L51" s="36"/>
      <c r="M51" s="36"/>
      <c r="N51" s="16"/>
      <c r="O51" s="16"/>
      <c r="P51" s="16"/>
      <c r="Q51" s="105"/>
      <c r="R51" s="105"/>
      <c r="S51" s="105"/>
      <c r="T51" s="105"/>
      <c r="U51" s="105"/>
      <c r="V51" s="105"/>
      <c r="W51" s="105"/>
    </row>
    <row r="52" spans="1:23" ht="15.75">
      <c r="A52" s="116" t="s">
        <v>33</v>
      </c>
      <c r="B52" s="116"/>
      <c r="C52" s="113"/>
      <c r="D52" s="117"/>
      <c r="E52" s="81"/>
      <c r="F52" s="117"/>
      <c r="G52" s="16"/>
      <c r="H52" s="109">
        <v>15033066.19</v>
      </c>
      <c r="I52" s="110"/>
      <c r="J52" s="37"/>
      <c r="K52" s="104"/>
      <c r="L52" s="36"/>
      <c r="M52" s="36"/>
      <c r="N52" s="16"/>
      <c r="O52" s="16"/>
      <c r="P52" s="16"/>
      <c r="Q52" s="105"/>
      <c r="R52" s="105"/>
      <c r="S52" s="105"/>
      <c r="T52" s="105"/>
      <c r="U52" s="105"/>
      <c r="V52" s="105"/>
      <c r="W52" s="105"/>
    </row>
    <row r="53" spans="1:23" ht="15.75">
      <c r="A53" s="116"/>
      <c r="B53" s="118" t="s">
        <v>28</v>
      </c>
      <c r="C53" s="113"/>
      <c r="D53" s="117"/>
      <c r="E53" s="81"/>
      <c r="F53" s="117"/>
      <c r="G53" s="16"/>
      <c r="H53" s="109">
        <f>H52-D79</f>
        <v>14329268.19</v>
      </c>
      <c r="I53" s="110"/>
      <c r="J53" s="119"/>
      <c r="K53" s="104"/>
      <c r="L53" s="36"/>
      <c r="M53" s="36"/>
      <c r="N53" s="16"/>
      <c r="O53" s="16"/>
      <c r="P53" s="16"/>
      <c r="Q53" s="105"/>
      <c r="R53" s="105"/>
      <c r="S53" s="105"/>
      <c r="T53" s="105"/>
      <c r="U53" s="105"/>
      <c r="V53" s="105"/>
      <c r="W53" s="105"/>
    </row>
    <row r="54" spans="1:23" ht="15.75">
      <c r="A54" s="15"/>
      <c r="B54" s="385"/>
      <c r="C54" s="384"/>
      <c r="D54" s="18"/>
      <c r="E54" s="81"/>
      <c r="F54" s="117"/>
      <c r="G54" s="16"/>
      <c r="H54" s="112"/>
      <c r="I54" s="110"/>
      <c r="J54" s="107"/>
      <c r="K54" s="104"/>
      <c r="L54" s="36"/>
      <c r="M54" s="36"/>
      <c r="N54" s="16"/>
      <c r="O54" s="16"/>
      <c r="P54" s="16"/>
      <c r="Q54" s="105"/>
      <c r="R54" s="105"/>
      <c r="S54" s="105"/>
      <c r="T54" s="105"/>
      <c r="U54" s="105"/>
      <c r="V54" s="105"/>
      <c r="W54" s="105"/>
    </row>
    <row r="55" spans="1:23" ht="15.75">
      <c r="A55" s="15"/>
      <c r="B55" s="385"/>
      <c r="C55" s="384"/>
      <c r="D55" s="18"/>
      <c r="E55" s="81"/>
      <c r="F55" s="117"/>
      <c r="G55" s="16"/>
      <c r="H55" s="112"/>
      <c r="I55" s="110"/>
      <c r="J55" s="107"/>
      <c r="K55" s="104"/>
      <c r="L55" s="36"/>
      <c r="M55" s="36"/>
      <c r="N55" s="16"/>
      <c r="O55" s="16"/>
      <c r="P55" s="16"/>
      <c r="Q55" s="105"/>
      <c r="R55" s="105"/>
      <c r="S55" s="105"/>
      <c r="T55" s="105"/>
      <c r="U55" s="105"/>
      <c r="V55" s="105"/>
      <c r="W55" s="105"/>
    </row>
    <row r="56" spans="1:23" ht="18.75">
      <c r="A56" s="113"/>
      <c r="B56" s="114"/>
      <c r="C56" s="113"/>
      <c r="D56" s="117"/>
      <c r="E56" s="81"/>
      <c r="F56" s="117"/>
      <c r="G56" s="16"/>
      <c r="H56" s="17"/>
      <c r="I56" s="110"/>
      <c r="J56" s="119"/>
      <c r="K56" s="104"/>
      <c r="L56" s="107"/>
      <c r="M56" s="121"/>
      <c r="N56" s="120"/>
      <c r="O56" s="120"/>
      <c r="P56" s="16"/>
      <c r="Q56" s="105"/>
      <c r="R56" s="105"/>
      <c r="S56" s="105"/>
      <c r="T56" s="105"/>
      <c r="U56" s="105"/>
      <c r="V56" s="105"/>
      <c r="W56" s="105"/>
    </row>
    <row r="57" spans="1:23" ht="18.75">
      <c r="A57" s="122" t="s">
        <v>20</v>
      </c>
      <c r="B57" s="123"/>
      <c r="C57" s="124"/>
      <c r="D57" s="18"/>
      <c r="E57" s="18"/>
      <c r="F57" s="18"/>
      <c r="G57" s="18"/>
      <c r="H57" s="21"/>
      <c r="I57" s="110"/>
      <c r="J57" s="107"/>
      <c r="K57" s="125"/>
      <c r="L57" s="38"/>
      <c r="M57" s="36"/>
      <c r="N57" s="120"/>
      <c r="O57" s="120"/>
      <c r="P57" s="16"/>
      <c r="Q57" s="16"/>
      <c r="R57" s="16"/>
      <c r="S57" s="16"/>
      <c r="T57" s="16"/>
      <c r="U57" s="16"/>
      <c r="V57" s="16"/>
      <c r="W57" s="16"/>
    </row>
    <row r="58" spans="1:23" ht="18.75">
      <c r="A58" s="122"/>
      <c r="B58" s="123"/>
      <c r="C58" s="124"/>
      <c r="D58" s="18"/>
      <c r="E58" s="18"/>
      <c r="F58" s="18"/>
      <c r="G58" s="18"/>
      <c r="H58" s="21"/>
      <c r="I58" s="110"/>
      <c r="J58" s="107"/>
      <c r="K58" s="125"/>
      <c r="L58" s="38"/>
      <c r="M58" s="36"/>
      <c r="N58" s="120"/>
      <c r="O58" s="120"/>
      <c r="P58" s="16"/>
      <c r="Q58" s="16"/>
      <c r="R58" s="16"/>
      <c r="S58" s="16"/>
      <c r="T58" s="16"/>
      <c r="U58" s="16"/>
      <c r="V58" s="16"/>
      <c r="W58" s="16"/>
    </row>
    <row r="59" spans="1:23" ht="18.75">
      <c r="A59" s="122"/>
      <c r="B59" s="123"/>
      <c r="C59" s="124"/>
      <c r="D59" s="18"/>
      <c r="E59" s="18"/>
      <c r="F59" s="18"/>
      <c r="G59" s="18"/>
      <c r="H59" s="21"/>
      <c r="I59" s="110"/>
      <c r="J59" s="38"/>
      <c r="K59" s="125"/>
      <c r="L59" s="126"/>
      <c r="M59" s="3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8.75">
      <c r="A60" s="127" t="s">
        <v>95</v>
      </c>
      <c r="B60" s="127"/>
      <c r="C60" s="128"/>
      <c r="D60" s="19"/>
      <c r="E60" s="19"/>
      <c r="F60" s="19"/>
      <c r="G60" s="19"/>
      <c r="H60" s="17"/>
      <c r="I60" s="110"/>
      <c r="J60" s="37"/>
      <c r="K60" s="104"/>
      <c r="L60" s="129"/>
      <c r="M60" s="130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8.75">
      <c r="A61" s="127"/>
      <c r="B61" s="127"/>
      <c r="C61" s="128"/>
      <c r="D61" s="19"/>
      <c r="E61" s="19"/>
      <c r="F61" s="19"/>
      <c r="G61" s="19"/>
      <c r="H61" s="17"/>
      <c r="I61" s="110"/>
      <c r="J61" s="37"/>
      <c r="K61" s="104"/>
      <c r="L61" s="129"/>
      <c r="M61" s="130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8.75">
      <c r="A62" s="127"/>
      <c r="B62" s="127"/>
      <c r="C62" s="128"/>
      <c r="D62" s="19"/>
      <c r="E62" s="19"/>
      <c r="F62" s="19"/>
      <c r="G62" s="19"/>
      <c r="H62" s="17"/>
      <c r="I62" s="110"/>
      <c r="J62" s="37"/>
      <c r="K62" s="104"/>
      <c r="L62" s="115"/>
      <c r="M62" s="104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8.75">
      <c r="A63" s="85"/>
      <c r="B63" s="85"/>
      <c r="C63" s="86"/>
      <c r="D63" s="10" t="s">
        <v>6</v>
      </c>
      <c r="E63" s="11"/>
      <c r="F63" s="10" t="s">
        <v>7</v>
      </c>
      <c r="G63" s="11"/>
      <c r="H63" s="17"/>
      <c r="I63" s="110"/>
      <c r="J63" s="110"/>
      <c r="K63" s="110"/>
      <c r="L63" s="36"/>
      <c r="M63" s="3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3.5" customHeight="1">
      <c r="A64" s="87"/>
      <c r="B64" s="87"/>
      <c r="C64" s="88"/>
      <c r="D64" s="12" t="s">
        <v>9</v>
      </c>
      <c r="E64" s="11" t="s">
        <v>8</v>
      </c>
      <c r="F64" s="12" t="s">
        <v>9</v>
      </c>
      <c r="G64" s="11" t="s">
        <v>8</v>
      </c>
      <c r="H64" s="17"/>
      <c r="I64" s="110"/>
      <c r="J64" s="37"/>
      <c r="K64" s="104"/>
      <c r="L64" s="36"/>
      <c r="M64" s="3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27.75" customHeight="1">
      <c r="A65" s="89" t="s">
        <v>11</v>
      </c>
      <c r="B65" s="89" t="s">
        <v>17</v>
      </c>
      <c r="C65" s="89" t="s">
        <v>12</v>
      </c>
      <c r="D65" s="13" t="s">
        <v>13</v>
      </c>
      <c r="E65" s="14" t="s">
        <v>14</v>
      </c>
      <c r="F65" s="13" t="s">
        <v>13</v>
      </c>
      <c r="G65" s="14" t="s">
        <v>14</v>
      </c>
      <c r="H65" s="17"/>
      <c r="I65" s="125"/>
      <c r="J65" s="37"/>
      <c r="K65" s="104"/>
      <c r="L65" s="36"/>
      <c r="M65" s="3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s="29" customFormat="1" ht="19.5" customHeight="1">
      <c r="A66" s="90" t="s">
        <v>37</v>
      </c>
      <c r="B66" s="93" t="s">
        <v>38</v>
      </c>
      <c r="C66" s="90" t="s">
        <v>431</v>
      </c>
      <c r="D66" s="91"/>
      <c r="E66" s="91"/>
      <c r="F66" s="91">
        <v>703798</v>
      </c>
      <c r="G66" s="91"/>
      <c r="H66" s="109"/>
      <c r="I66" s="107"/>
      <c r="J66" s="38"/>
      <c r="K66" s="107"/>
      <c r="L66" s="38"/>
      <c r="M66" s="38"/>
      <c r="N66" s="131"/>
      <c r="O66" s="131"/>
      <c r="P66" s="131"/>
      <c r="Q66" s="131"/>
      <c r="R66" s="131"/>
      <c r="S66" s="131"/>
      <c r="T66" s="131"/>
      <c r="U66" s="131"/>
      <c r="V66" s="131"/>
      <c r="W66" s="131"/>
    </row>
    <row r="67" spans="1:23" s="3" customFormat="1" ht="21.75" customHeight="1">
      <c r="A67" s="388" t="s">
        <v>15</v>
      </c>
      <c r="B67" s="389"/>
      <c r="C67" s="134"/>
      <c r="D67" s="45">
        <f>D66</f>
        <v>0</v>
      </c>
      <c r="E67" s="45">
        <f>E66</f>
        <v>0</v>
      </c>
      <c r="F67" s="45">
        <f>F66</f>
        <v>703798</v>
      </c>
      <c r="G67" s="45">
        <f>G66</f>
        <v>0</v>
      </c>
      <c r="H67" s="20"/>
      <c r="I67" s="135"/>
      <c r="J67" s="40"/>
      <c r="K67" s="44"/>
      <c r="L67" s="40"/>
      <c r="M67" s="40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s="3" customFormat="1" ht="15.75" customHeight="1">
      <c r="A68" s="136"/>
      <c r="B68" s="137"/>
      <c r="C68" s="138"/>
      <c r="D68" s="27"/>
      <c r="E68" s="27"/>
      <c r="F68" s="27"/>
      <c r="G68" s="27"/>
      <c r="H68" s="20"/>
      <c r="I68" s="135"/>
      <c r="J68" s="40"/>
      <c r="K68" s="44"/>
      <c r="L68" s="40"/>
      <c r="M68" s="40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s="3" customFormat="1" ht="15.75" customHeight="1">
      <c r="A69" s="136"/>
      <c r="B69" s="137"/>
      <c r="C69" s="138"/>
      <c r="D69" s="27"/>
      <c r="E69" s="27"/>
      <c r="F69" s="27"/>
      <c r="G69" s="27"/>
      <c r="H69" s="20"/>
      <c r="I69" s="135"/>
      <c r="J69" s="40"/>
      <c r="K69" s="44"/>
      <c r="L69" s="40"/>
      <c r="M69" s="40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ht="18.75">
      <c r="A70" s="122" t="s">
        <v>16</v>
      </c>
      <c r="B70" s="101"/>
      <c r="C70" s="124"/>
      <c r="D70" s="18"/>
      <c r="E70" s="18"/>
      <c r="F70" s="18"/>
      <c r="G70" s="18"/>
      <c r="H70" s="21"/>
      <c r="I70" s="110"/>
      <c r="J70" s="38"/>
      <c r="K70" s="125"/>
      <c r="L70" s="39"/>
      <c r="M70" s="3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2.75" customHeight="1">
      <c r="A71" s="122"/>
      <c r="B71" s="101"/>
      <c r="C71" s="124"/>
      <c r="D71" s="18"/>
      <c r="E71" s="18"/>
      <c r="F71" s="18"/>
      <c r="G71" s="18"/>
      <c r="H71" s="21"/>
      <c r="I71" s="110"/>
      <c r="J71" s="38"/>
      <c r="K71" s="125"/>
      <c r="L71" s="39"/>
      <c r="M71" s="3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8.75">
      <c r="A72" s="122"/>
      <c r="B72" s="101"/>
      <c r="C72" s="124"/>
      <c r="D72" s="18"/>
      <c r="E72" s="18"/>
      <c r="F72" s="18"/>
      <c r="G72" s="18"/>
      <c r="H72" s="21"/>
      <c r="I72" s="110"/>
      <c r="J72" s="38"/>
      <c r="K72" s="125"/>
      <c r="L72" s="39"/>
      <c r="M72" s="3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8.75">
      <c r="A73" s="127" t="s">
        <v>96</v>
      </c>
      <c r="B73" s="123"/>
      <c r="C73" s="128"/>
      <c r="D73" s="19"/>
      <c r="E73" s="19"/>
      <c r="F73" s="19"/>
      <c r="G73" s="19"/>
      <c r="H73" s="17"/>
      <c r="I73" s="110"/>
      <c r="J73" s="37"/>
      <c r="K73" s="104"/>
      <c r="L73" s="36"/>
      <c r="M73" s="3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8.75">
      <c r="A74" s="127"/>
      <c r="B74" s="123"/>
      <c r="C74" s="128"/>
      <c r="D74" s="19"/>
      <c r="E74" s="19"/>
      <c r="F74" s="19"/>
      <c r="G74" s="19"/>
      <c r="H74" s="17"/>
      <c r="I74" s="110"/>
      <c r="J74" s="37"/>
      <c r="K74" s="104"/>
      <c r="L74" s="36"/>
      <c r="M74" s="3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8.75">
      <c r="A75" s="127"/>
      <c r="B75" s="127"/>
      <c r="C75" s="128"/>
      <c r="D75" s="19"/>
      <c r="E75" s="19"/>
      <c r="F75" s="19"/>
      <c r="G75" s="19"/>
      <c r="H75" s="17"/>
      <c r="I75" s="110"/>
      <c r="J75" s="37"/>
      <c r="K75" s="104"/>
      <c r="L75" s="36"/>
      <c r="M75" s="3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8.75">
      <c r="A76" s="139"/>
      <c r="B76" s="85"/>
      <c r="C76" s="140"/>
      <c r="D76" s="10" t="s">
        <v>6</v>
      </c>
      <c r="E76" s="11"/>
      <c r="F76" s="10" t="s">
        <v>35</v>
      </c>
      <c r="G76" s="11"/>
      <c r="H76" s="17"/>
      <c r="I76" s="110"/>
      <c r="J76" s="37"/>
      <c r="K76" s="104"/>
      <c r="L76" s="36"/>
      <c r="M76" s="3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3.5" customHeight="1">
      <c r="A77" s="141"/>
      <c r="B77" s="87"/>
      <c r="C77" s="142"/>
      <c r="D77" s="12" t="s">
        <v>9</v>
      </c>
      <c r="E77" s="11" t="s">
        <v>8</v>
      </c>
      <c r="F77" s="12" t="s">
        <v>9</v>
      </c>
      <c r="G77" s="11" t="s">
        <v>8</v>
      </c>
      <c r="H77" s="17"/>
      <c r="I77" s="125"/>
      <c r="J77" s="37"/>
      <c r="K77" s="104"/>
      <c r="L77" s="36"/>
      <c r="M77" s="3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27.75" customHeight="1">
      <c r="A78" s="143" t="s">
        <v>11</v>
      </c>
      <c r="B78" s="144" t="s">
        <v>17</v>
      </c>
      <c r="C78" s="145" t="s">
        <v>12</v>
      </c>
      <c r="D78" s="146" t="s">
        <v>13</v>
      </c>
      <c r="E78" s="147" t="s">
        <v>14</v>
      </c>
      <c r="F78" s="146" t="s">
        <v>13</v>
      </c>
      <c r="G78" s="147" t="s">
        <v>14</v>
      </c>
      <c r="H78" s="17"/>
      <c r="I78" s="110"/>
      <c r="J78" s="37"/>
      <c r="K78" s="104"/>
      <c r="L78" s="36"/>
      <c r="M78" s="3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13" s="46" customFormat="1" ht="18.75" customHeight="1">
      <c r="A79" s="92" t="s">
        <v>37</v>
      </c>
      <c r="B79" s="92" t="s">
        <v>40</v>
      </c>
      <c r="C79" s="90" t="s">
        <v>431</v>
      </c>
      <c r="D79" s="408">
        <v>703798</v>
      </c>
      <c r="E79" s="408"/>
      <c r="F79" s="408"/>
      <c r="G79" s="408"/>
      <c r="I79" s="47"/>
      <c r="J79" s="47"/>
      <c r="K79" s="47"/>
      <c r="L79" s="47"/>
      <c r="M79" s="47"/>
    </row>
    <row r="80" spans="1:23" s="3" customFormat="1" ht="21.75" customHeight="1">
      <c r="A80" s="132" t="s">
        <v>15</v>
      </c>
      <c r="B80" s="133"/>
      <c r="C80" s="94"/>
      <c r="D80" s="45">
        <f>D79</f>
        <v>703798</v>
      </c>
      <c r="E80" s="45">
        <f>E79</f>
        <v>0</v>
      </c>
      <c r="F80" s="45">
        <f>F79</f>
        <v>0</v>
      </c>
      <c r="G80" s="45">
        <f>G79</f>
        <v>0</v>
      </c>
      <c r="H80" s="20"/>
      <c r="I80" s="135"/>
      <c r="J80" s="44"/>
      <c r="K80" s="44"/>
      <c r="L80" s="40"/>
      <c r="M80" s="40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23" s="3" customFormat="1" ht="18.75" customHeight="1">
      <c r="A81" s="69"/>
      <c r="B81" s="137"/>
      <c r="C81" s="102"/>
      <c r="D81" s="16"/>
      <c r="E81" s="16"/>
      <c r="F81" s="27"/>
      <c r="G81" s="27"/>
      <c r="H81" s="20"/>
      <c r="I81" s="135"/>
      <c r="J81" s="40"/>
      <c r="K81" s="44"/>
      <c r="L81" s="40"/>
      <c r="M81" s="40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s="3" customFormat="1" ht="18.75" customHeight="1">
      <c r="A82" s="148" t="s">
        <v>97</v>
      </c>
      <c r="B82" s="101"/>
      <c r="C82" s="102"/>
      <c r="D82" s="16"/>
      <c r="E82" s="16"/>
      <c r="F82" s="27"/>
      <c r="G82" s="27"/>
      <c r="H82" s="20"/>
      <c r="I82" s="135"/>
      <c r="J82" s="40"/>
      <c r="K82" s="44"/>
      <c r="L82" s="40"/>
      <c r="M82" s="40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s="3" customFormat="1" ht="21" customHeight="1">
      <c r="A83" s="149" t="s">
        <v>345</v>
      </c>
      <c r="B83" s="101"/>
      <c r="C83" s="150"/>
      <c r="D83" s="22"/>
      <c r="E83" s="16"/>
      <c r="F83" s="27"/>
      <c r="G83" s="27"/>
      <c r="H83" s="20"/>
      <c r="I83" s="135"/>
      <c r="J83" s="40"/>
      <c r="K83" s="44"/>
      <c r="L83" s="40"/>
      <c r="M83" s="40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1:23" s="3" customFormat="1" ht="21" customHeight="1">
      <c r="A84" s="148"/>
      <c r="B84" s="101"/>
      <c r="C84" s="150"/>
      <c r="D84" s="22"/>
      <c r="E84" s="16"/>
      <c r="F84" s="27"/>
      <c r="G84" s="27"/>
      <c r="H84" s="20"/>
      <c r="I84" s="135"/>
      <c r="J84" s="40"/>
      <c r="K84" s="44"/>
      <c r="L84" s="40"/>
      <c r="M84" s="40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s="3" customFormat="1" ht="21.75" customHeight="1">
      <c r="A85" s="151" t="s">
        <v>36</v>
      </c>
      <c r="B85" s="152"/>
      <c r="C85" s="137"/>
      <c r="D85" s="49"/>
      <c r="E85" s="49"/>
      <c r="F85" s="49"/>
      <c r="G85" s="49"/>
      <c r="H85" s="50"/>
      <c r="I85" s="135"/>
      <c r="J85" s="51"/>
      <c r="K85" s="44"/>
      <c r="L85" s="51"/>
      <c r="M85" s="51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s="3" customFormat="1" ht="15" customHeight="1">
      <c r="A86" s="153"/>
      <c r="B86" s="152"/>
      <c r="C86" s="154"/>
      <c r="D86" s="49"/>
      <c r="E86" s="49"/>
      <c r="F86" s="49"/>
      <c r="G86" s="49"/>
      <c r="H86" s="25"/>
      <c r="I86" s="135"/>
      <c r="J86" s="51"/>
      <c r="K86" s="44"/>
      <c r="L86" s="51"/>
      <c r="M86" s="51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s="3" customFormat="1" ht="15" customHeight="1">
      <c r="A87" s="69"/>
      <c r="B87" s="137"/>
      <c r="C87" s="137"/>
      <c r="D87" s="49"/>
      <c r="E87" s="49"/>
      <c r="F87" s="49"/>
      <c r="G87" s="49"/>
      <c r="H87" s="50"/>
      <c r="I87" s="135"/>
      <c r="J87" s="51"/>
      <c r="K87" s="44"/>
      <c r="L87" s="51"/>
      <c r="M87" s="51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s="3" customFormat="1" ht="17.25" customHeight="1">
      <c r="A88" s="153" t="s">
        <v>19</v>
      </c>
      <c r="B88" s="152"/>
      <c r="C88" s="154"/>
      <c r="D88" s="49"/>
      <c r="E88" s="49"/>
      <c r="F88" s="49"/>
      <c r="G88" s="49"/>
      <c r="H88" s="52">
        <f>H90</f>
        <v>703798</v>
      </c>
      <c r="I88" s="135"/>
      <c r="J88" s="51"/>
      <c r="K88" s="44"/>
      <c r="L88" s="51"/>
      <c r="M88" s="51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s="3" customFormat="1" ht="16.5" customHeight="1">
      <c r="A89" s="69" t="s">
        <v>8</v>
      </c>
      <c r="B89" s="155"/>
      <c r="C89" s="156"/>
      <c r="D89" s="22"/>
      <c r="E89" s="16"/>
      <c r="F89" s="27"/>
      <c r="G89" s="27"/>
      <c r="H89" s="50"/>
      <c r="I89" s="135"/>
      <c r="J89" s="40"/>
      <c r="K89" s="44"/>
      <c r="L89" s="40"/>
      <c r="M89" s="40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s="3" customFormat="1" ht="16.5" customHeight="1">
      <c r="A90" s="108" t="s">
        <v>39</v>
      </c>
      <c r="B90" s="155"/>
      <c r="C90" s="156"/>
      <c r="D90" s="22"/>
      <c r="E90" s="16"/>
      <c r="F90" s="27"/>
      <c r="G90" s="27"/>
      <c r="H90" s="25">
        <f>H92</f>
        <v>703798</v>
      </c>
      <c r="I90" s="135"/>
      <c r="J90" s="40"/>
      <c r="K90" s="44"/>
      <c r="L90" s="40"/>
      <c r="M90" s="40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s="3" customFormat="1" ht="16.5" customHeight="1">
      <c r="A91" s="69" t="s">
        <v>8</v>
      </c>
      <c r="B91" s="155"/>
      <c r="C91" s="156"/>
      <c r="D91" s="22"/>
      <c r="E91" s="16"/>
      <c r="F91" s="27"/>
      <c r="G91" s="27"/>
      <c r="H91" s="50"/>
      <c r="I91" s="135"/>
      <c r="J91" s="40"/>
      <c r="K91" s="44"/>
      <c r="L91" s="40"/>
      <c r="M91" s="40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s="3" customFormat="1" ht="16.5" customHeight="1">
      <c r="A92" s="69"/>
      <c r="B92" s="155" t="s">
        <v>357</v>
      </c>
      <c r="C92" s="156"/>
      <c r="D92" s="22"/>
      <c r="E92" s="16"/>
      <c r="F92" s="27"/>
      <c r="G92" s="27"/>
      <c r="H92" s="50">
        <v>703798</v>
      </c>
      <c r="I92" s="135"/>
      <c r="J92" s="40"/>
      <c r="K92" s="44"/>
      <c r="L92" s="40"/>
      <c r="M92" s="40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s="3" customFormat="1" ht="16.5" customHeight="1">
      <c r="A93" s="69"/>
      <c r="B93" s="155"/>
      <c r="C93" s="156"/>
      <c r="D93" s="22"/>
      <c r="E93" s="16"/>
      <c r="F93" s="27"/>
      <c r="G93" s="27"/>
      <c r="H93" s="50"/>
      <c r="I93" s="135"/>
      <c r="J93" s="40"/>
      <c r="K93" s="44"/>
      <c r="L93" s="40"/>
      <c r="M93" s="40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s="3" customFormat="1" ht="16.5" customHeight="1">
      <c r="A94" s="69"/>
      <c r="B94" s="28"/>
      <c r="C94" s="430"/>
      <c r="D94" s="431"/>
      <c r="E94" s="15"/>
      <c r="F94" s="27"/>
      <c r="G94" s="27"/>
      <c r="H94" s="50"/>
      <c r="I94" s="135"/>
      <c r="J94" s="40"/>
      <c r="K94" s="44"/>
      <c r="L94" s="40"/>
      <c r="M94" s="40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s="3" customFormat="1" ht="16.5" customHeight="1">
      <c r="A95" s="69"/>
      <c r="B95" s="28"/>
      <c r="C95" s="430"/>
      <c r="D95" s="431"/>
      <c r="E95" s="15"/>
      <c r="F95" s="27"/>
      <c r="G95" s="27"/>
      <c r="H95" s="50"/>
      <c r="I95" s="135"/>
      <c r="J95" s="40"/>
      <c r="K95" s="44"/>
      <c r="L95" s="40"/>
      <c r="M95" s="40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s="3" customFormat="1" ht="16.5" customHeight="1">
      <c r="A96" s="151" t="s">
        <v>219</v>
      </c>
      <c r="B96" s="28"/>
      <c r="C96" s="430"/>
      <c r="D96" s="431"/>
      <c r="E96" s="15"/>
      <c r="F96" s="27"/>
      <c r="G96" s="27"/>
      <c r="H96" s="50"/>
      <c r="I96" s="135"/>
      <c r="J96" s="40"/>
      <c r="K96" s="44"/>
      <c r="L96" s="40"/>
      <c r="M96" s="40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s="3" customFormat="1" ht="16.5" customHeight="1">
      <c r="A97" s="151"/>
      <c r="B97" s="28"/>
      <c r="C97" s="430"/>
      <c r="D97" s="431"/>
      <c r="E97" s="15"/>
      <c r="F97" s="27"/>
      <c r="G97" s="27"/>
      <c r="H97" s="50"/>
      <c r="I97" s="135"/>
      <c r="J97" s="40"/>
      <c r="K97" s="44"/>
      <c r="L97" s="40"/>
      <c r="M97" s="40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s="3" customFormat="1" ht="16.5" customHeight="1">
      <c r="A98" s="69"/>
      <c r="B98" s="28"/>
      <c r="C98" s="430"/>
      <c r="D98" s="431"/>
      <c r="E98" s="15"/>
      <c r="F98" s="27"/>
      <c r="G98" s="27"/>
      <c r="H98" s="50"/>
      <c r="I98" s="135"/>
      <c r="J98" s="40"/>
      <c r="K98" s="44"/>
      <c r="L98" s="40"/>
      <c r="M98" s="40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s="3" customFormat="1" ht="15" customHeight="1">
      <c r="A99" s="153" t="s">
        <v>389</v>
      </c>
      <c r="B99" s="152"/>
      <c r="C99" s="154"/>
      <c r="D99" s="49"/>
      <c r="E99" s="49"/>
      <c r="F99" s="49"/>
      <c r="G99" s="49"/>
      <c r="H99" s="25">
        <f>H101</f>
        <v>703798</v>
      </c>
      <c r="I99" s="135"/>
      <c r="J99" s="51"/>
      <c r="K99" s="44"/>
      <c r="L99" s="51"/>
      <c r="M99" s="51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s="3" customFormat="1" ht="15" customHeight="1">
      <c r="A100" s="69" t="s">
        <v>8</v>
      </c>
      <c r="B100" s="155"/>
      <c r="C100" s="154"/>
      <c r="D100" s="49"/>
      <c r="E100" s="49"/>
      <c r="F100" s="49"/>
      <c r="G100" s="49"/>
      <c r="H100" s="25"/>
      <c r="I100" s="135"/>
      <c r="J100" s="51"/>
      <c r="K100" s="44"/>
      <c r="L100" s="51"/>
      <c r="M100" s="51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s="3" customFormat="1" ht="15" customHeight="1">
      <c r="A101" s="108" t="s">
        <v>220</v>
      </c>
      <c r="B101" s="155"/>
      <c r="C101" s="154"/>
      <c r="D101" s="49"/>
      <c r="E101" s="49"/>
      <c r="F101" s="49"/>
      <c r="G101" s="49"/>
      <c r="H101" s="25">
        <f>H103</f>
        <v>703798</v>
      </c>
      <c r="I101" s="135"/>
      <c r="J101" s="51"/>
      <c r="K101" s="44"/>
      <c r="L101" s="51"/>
      <c r="M101" s="51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s="3" customFormat="1" ht="15" customHeight="1">
      <c r="A102" s="69" t="s">
        <v>8</v>
      </c>
      <c r="B102" s="155"/>
      <c r="C102" s="154"/>
      <c r="D102" s="49"/>
      <c r="E102" s="49"/>
      <c r="F102" s="49"/>
      <c r="G102" s="49"/>
      <c r="H102" s="25"/>
      <c r="I102" s="135"/>
      <c r="J102" s="51"/>
      <c r="K102" s="44"/>
      <c r="L102" s="51"/>
      <c r="M102" s="51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s="3" customFormat="1" ht="16.5" customHeight="1">
      <c r="A103" s="69"/>
      <c r="B103" s="28" t="s">
        <v>339</v>
      </c>
      <c r="C103" s="430"/>
      <c r="D103" s="431"/>
      <c r="E103" s="15"/>
      <c r="F103" s="27"/>
      <c r="G103" s="27"/>
      <c r="H103" s="50">
        <v>703798</v>
      </c>
      <c r="I103" s="135"/>
      <c r="J103" s="40"/>
      <c r="K103" s="44"/>
      <c r="L103" s="40"/>
      <c r="M103" s="40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3" customFormat="1" ht="16.5" customHeight="1">
      <c r="A104" s="69"/>
      <c r="B104" s="28"/>
      <c r="C104" s="430"/>
      <c r="D104" s="431"/>
      <c r="E104" s="15"/>
      <c r="F104" s="27"/>
      <c r="G104" s="27"/>
      <c r="H104" s="50"/>
      <c r="I104" s="135"/>
      <c r="J104" s="40"/>
      <c r="K104" s="44"/>
      <c r="L104" s="40"/>
      <c r="M104" s="40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s="3" customFormat="1" ht="16.5" customHeight="1">
      <c r="A105" s="127"/>
      <c r="B105" s="69"/>
      <c r="C105" s="138"/>
      <c r="D105" s="49"/>
      <c r="E105" s="49"/>
      <c r="F105" s="49"/>
      <c r="G105" s="49"/>
      <c r="H105" s="50"/>
      <c r="I105" s="390"/>
      <c r="J105" s="51"/>
      <c r="K105" s="391"/>
      <c r="L105" s="51"/>
      <c r="M105" s="51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s="3" customFormat="1" ht="17.25" customHeight="1">
      <c r="A106" s="157" t="s">
        <v>43</v>
      </c>
      <c r="B106" s="157"/>
      <c r="C106" s="150"/>
      <c r="D106" s="22"/>
      <c r="E106" s="16"/>
      <c r="F106" s="49"/>
      <c r="G106" s="49"/>
      <c r="H106" s="50"/>
      <c r="I106" s="135"/>
      <c r="J106" s="51"/>
      <c r="K106" s="44"/>
      <c r="L106" s="51"/>
      <c r="M106" s="51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s="3" customFormat="1" ht="17.25" customHeight="1">
      <c r="A107" s="157" t="s">
        <v>44</v>
      </c>
      <c r="B107" s="157"/>
      <c r="C107" s="150"/>
      <c r="D107" s="22"/>
      <c r="E107" s="16"/>
      <c r="F107" s="49"/>
      <c r="G107" s="49"/>
      <c r="H107" s="50"/>
      <c r="I107" s="135"/>
      <c r="J107" s="51"/>
      <c r="K107" s="44"/>
      <c r="L107" s="51"/>
      <c r="M107" s="51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s="3" customFormat="1" ht="17.25" customHeight="1">
      <c r="A108" s="157"/>
      <c r="B108" s="157"/>
      <c r="C108" s="150"/>
      <c r="D108" s="22"/>
      <c r="E108" s="16"/>
      <c r="F108" s="49"/>
      <c r="G108" s="49"/>
      <c r="H108" s="50"/>
      <c r="I108" s="135"/>
      <c r="J108" s="51"/>
      <c r="K108" s="44"/>
      <c r="L108" s="51"/>
      <c r="M108" s="51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15.75">
      <c r="A109" s="111"/>
      <c r="B109" s="111"/>
      <c r="C109" s="158"/>
      <c r="D109" s="159"/>
      <c r="E109" s="16"/>
      <c r="F109" s="16"/>
      <c r="G109" s="112"/>
      <c r="H109" s="112"/>
      <c r="I109" s="110"/>
      <c r="J109" s="37"/>
      <c r="K109" s="104"/>
      <c r="L109" s="36"/>
      <c r="M109" s="36"/>
      <c r="N109" s="16"/>
      <c r="O109" s="16"/>
      <c r="P109" s="16"/>
      <c r="Q109" s="105"/>
      <c r="R109" s="105"/>
      <c r="S109" s="105"/>
      <c r="T109" s="105"/>
      <c r="U109" s="105"/>
      <c r="V109" s="105"/>
      <c r="W109" s="105"/>
    </row>
    <row r="110" spans="1:13" ht="16.5" customHeight="1">
      <c r="A110" s="84" t="s">
        <v>45</v>
      </c>
      <c r="B110" s="84"/>
      <c r="C110" s="160"/>
      <c r="D110" s="161"/>
      <c r="E110" s="161"/>
      <c r="F110" s="162"/>
      <c r="G110" s="161"/>
      <c r="H110" s="112"/>
      <c r="I110" s="70"/>
      <c r="J110" s="1"/>
      <c r="K110" s="163"/>
      <c r="L110" s="4"/>
      <c r="M110" s="4"/>
    </row>
    <row r="111" spans="1:13" ht="16.5" customHeight="1">
      <c r="A111" s="84"/>
      <c r="B111" s="84"/>
      <c r="C111" s="160"/>
      <c r="D111" s="161"/>
      <c r="E111" s="161"/>
      <c r="F111" s="162"/>
      <c r="G111" s="161"/>
      <c r="H111" s="112"/>
      <c r="I111" s="70"/>
      <c r="J111" s="1"/>
      <c r="K111" s="163"/>
      <c r="L111" s="4"/>
      <c r="M111" s="4"/>
    </row>
    <row r="112" spans="1:13" ht="18" customHeight="1">
      <c r="A112" s="164" t="s">
        <v>46</v>
      </c>
      <c r="B112" s="164"/>
      <c r="C112" s="165"/>
      <c r="D112" s="166"/>
      <c r="E112" s="166"/>
      <c r="F112" s="167"/>
      <c r="G112" s="166"/>
      <c r="H112" s="17"/>
      <c r="I112" s="70"/>
      <c r="J112" s="1"/>
      <c r="K112" s="163"/>
      <c r="L112" s="4"/>
      <c r="M112" s="4"/>
    </row>
    <row r="113" spans="1:13" ht="18" customHeight="1">
      <c r="A113" s="164"/>
      <c r="B113" s="164"/>
      <c r="C113" s="165"/>
      <c r="D113" s="166"/>
      <c r="E113" s="166"/>
      <c r="F113" s="167"/>
      <c r="G113" s="166"/>
      <c r="H113" s="17"/>
      <c r="I113" s="70"/>
      <c r="J113" s="1"/>
      <c r="K113" s="163"/>
      <c r="L113" s="4"/>
      <c r="M113" s="4"/>
    </row>
    <row r="114" spans="1:13" ht="18" customHeight="1">
      <c r="A114" s="75"/>
      <c r="B114" s="111"/>
      <c r="C114" s="158"/>
      <c r="D114" s="159"/>
      <c r="E114" s="15"/>
      <c r="F114" s="15"/>
      <c r="G114" s="15"/>
      <c r="H114" s="17"/>
      <c r="I114" s="70"/>
      <c r="J114" s="1"/>
      <c r="K114" s="163"/>
      <c r="L114" s="4"/>
      <c r="M114" s="4"/>
    </row>
    <row r="115" spans="1:13" ht="16.5" customHeight="1">
      <c r="A115" s="84" t="s">
        <v>47</v>
      </c>
      <c r="B115" s="84"/>
      <c r="C115" s="160"/>
      <c r="D115" s="161"/>
      <c r="E115" s="161"/>
      <c r="F115" s="162"/>
      <c r="G115" s="161"/>
      <c r="H115" s="112"/>
      <c r="I115" s="70"/>
      <c r="J115" s="1"/>
      <c r="K115" s="163"/>
      <c r="L115" s="4"/>
      <c r="M115" s="4"/>
    </row>
    <row r="116" spans="1:13" ht="18.75">
      <c r="A116" s="164"/>
      <c r="B116" s="164"/>
      <c r="C116" s="165"/>
      <c r="D116" s="166"/>
      <c r="E116" s="166"/>
      <c r="F116" s="167"/>
      <c r="G116" s="166"/>
      <c r="H116" s="17"/>
      <c r="I116" s="168"/>
      <c r="J116" s="1"/>
      <c r="K116" s="163"/>
      <c r="L116" s="2"/>
      <c r="M116" s="2"/>
    </row>
    <row r="117" spans="1:13" ht="18.75">
      <c r="A117" s="164" t="s">
        <v>48</v>
      </c>
      <c r="B117" s="164"/>
      <c r="C117" s="165"/>
      <c r="D117" s="166"/>
      <c r="E117" s="166"/>
      <c r="F117" s="167"/>
      <c r="G117" s="166"/>
      <c r="I117" s="168"/>
      <c r="J117" s="1"/>
      <c r="K117" s="163"/>
      <c r="L117" s="2"/>
      <c r="M117" s="2"/>
    </row>
    <row r="118" spans="1:13" ht="18.75">
      <c r="A118" s="164"/>
      <c r="B118" s="164"/>
      <c r="C118" s="165"/>
      <c r="D118" s="166"/>
      <c r="E118" s="166"/>
      <c r="F118" s="167"/>
      <c r="G118" s="166"/>
      <c r="I118" s="168"/>
      <c r="J118" s="1"/>
      <c r="K118" s="163"/>
      <c r="L118" s="2"/>
      <c r="M118" s="2"/>
    </row>
    <row r="119" spans="1:11" ht="18.75">
      <c r="A119" s="82"/>
      <c r="B119" s="82"/>
      <c r="C119" s="83"/>
      <c r="D119" s="169"/>
      <c r="E119" s="169"/>
      <c r="F119" s="170" t="s">
        <v>49</v>
      </c>
      <c r="G119" s="169"/>
      <c r="I119" s="70"/>
      <c r="K119" s="72"/>
    </row>
    <row r="120" spans="1:11" ht="18.75">
      <c r="A120" s="82"/>
      <c r="B120" s="82"/>
      <c r="C120" s="83"/>
      <c r="D120" s="169"/>
      <c r="E120" s="169"/>
      <c r="F120" s="170" t="s">
        <v>50</v>
      </c>
      <c r="G120" s="169"/>
      <c r="I120" s="70"/>
      <c r="K120" s="72"/>
    </row>
    <row r="121" spans="1:11" ht="18.75">
      <c r="A121" s="82"/>
      <c r="B121" s="82"/>
      <c r="C121" s="83"/>
      <c r="D121" s="169"/>
      <c r="E121" s="169"/>
      <c r="F121" s="170"/>
      <c r="G121" s="169"/>
      <c r="I121" s="70"/>
      <c r="K121" s="72"/>
    </row>
    <row r="122" spans="1:11" ht="19.5">
      <c r="A122" s="82"/>
      <c r="B122" s="82"/>
      <c r="C122" s="83"/>
      <c r="D122" s="169"/>
      <c r="E122" s="169"/>
      <c r="F122" s="171" t="s">
        <v>335</v>
      </c>
      <c r="G122" s="169"/>
      <c r="I122" s="70"/>
      <c r="K122" s="72"/>
    </row>
    <row r="123" spans="1:11" ht="18.75">
      <c r="A123" s="66"/>
      <c r="B123" s="66"/>
      <c r="C123" s="66"/>
      <c r="I123" s="70"/>
      <c r="K123" s="72"/>
    </row>
    <row r="124" spans="1:11" ht="18.75">
      <c r="A124" s="66"/>
      <c r="B124" s="66"/>
      <c r="C124" s="66"/>
      <c r="I124" s="70"/>
      <c r="K124" s="72"/>
    </row>
    <row r="125" spans="1:11" ht="18.75">
      <c r="A125" s="66"/>
      <c r="B125" s="66"/>
      <c r="C125" s="66"/>
      <c r="I125" s="70"/>
      <c r="K125" s="72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zoomScalePageLayoutView="0" workbookViewId="0" topLeftCell="A171">
      <selection activeCell="A223" sqref="A223"/>
    </sheetView>
  </sheetViews>
  <sheetFormatPr defaultColWidth="9.140625" defaultRowHeight="12.75"/>
  <cols>
    <col min="1" max="1" width="3.7109375" style="61" customWidth="1"/>
    <col min="2" max="2" width="5.140625" style="61" customWidth="1"/>
    <col min="3" max="3" width="6.57421875" style="61" customWidth="1"/>
    <col min="4" max="4" width="5.28125" style="61" customWidth="1"/>
    <col min="5" max="5" width="26.28125" style="61" customWidth="1"/>
    <col min="6" max="6" width="14.7109375" style="61" customWidth="1"/>
    <col min="7" max="7" width="13.421875" style="61" customWidth="1"/>
    <col min="8" max="8" width="23.28125" style="61" customWidth="1"/>
    <col min="9" max="9" width="12.421875" style="61" customWidth="1"/>
    <col min="10" max="10" width="12.28125" style="61" customWidth="1"/>
    <col min="11" max="11" width="8.421875" style="61" customWidth="1"/>
    <col min="12" max="12" width="8.140625" style="61" customWidth="1"/>
    <col min="13" max="13" width="15.140625" style="61" customWidth="1"/>
    <col min="14" max="14" width="20.8515625" style="61" customWidth="1"/>
    <col min="15" max="15" width="14.7109375" style="61" customWidth="1"/>
    <col min="16" max="16384" width="9.140625" style="61" customWidth="1"/>
  </cols>
  <sheetData>
    <row r="1" spans="1:12" ht="20.25">
      <c r="A1" s="175"/>
      <c r="B1" s="176"/>
      <c r="C1" s="176"/>
      <c r="D1" s="175"/>
      <c r="E1" s="177"/>
      <c r="F1" s="177"/>
      <c r="G1" s="177"/>
      <c r="H1" s="178" t="s">
        <v>54</v>
      </c>
      <c r="I1" s="2"/>
      <c r="J1" s="2"/>
      <c r="K1" s="179"/>
      <c r="L1" s="179"/>
    </row>
    <row r="2" spans="1:12" ht="18.75">
      <c r="A2" s="175"/>
      <c r="B2" s="176"/>
      <c r="C2" s="176"/>
      <c r="D2" s="175"/>
      <c r="E2" s="177"/>
      <c r="F2" s="177"/>
      <c r="G2" s="177"/>
      <c r="H2" s="180" t="s">
        <v>98</v>
      </c>
      <c r="I2" s="2"/>
      <c r="J2" s="2"/>
      <c r="K2" s="179"/>
      <c r="L2" s="179"/>
    </row>
    <row r="3" spans="1:12" ht="18.75">
      <c r="A3" s="175"/>
      <c r="B3" s="176"/>
      <c r="C3" s="176"/>
      <c r="D3" s="175"/>
      <c r="E3" s="177"/>
      <c r="F3" s="177"/>
      <c r="G3" s="177"/>
      <c r="H3" s="180" t="s">
        <v>50</v>
      </c>
      <c r="I3" s="2"/>
      <c r="J3" s="181"/>
      <c r="K3" s="179"/>
      <c r="L3" s="179"/>
    </row>
    <row r="4" spans="1:12" ht="18.75">
      <c r="A4" s="175"/>
      <c r="B4" s="176"/>
      <c r="C4" s="176"/>
      <c r="D4" s="175"/>
      <c r="E4" s="177"/>
      <c r="F4" s="177"/>
      <c r="G4" s="177"/>
      <c r="H4" s="180" t="s">
        <v>433</v>
      </c>
      <c r="I4" s="2"/>
      <c r="J4" s="182"/>
      <c r="K4" s="179"/>
      <c r="L4" s="179"/>
    </row>
    <row r="5" spans="1:12" ht="12.75">
      <c r="A5" s="175"/>
      <c r="B5" s="176"/>
      <c r="C5" s="176"/>
      <c r="D5" s="175"/>
      <c r="E5" s="177"/>
      <c r="F5" s="177"/>
      <c r="G5" s="177"/>
      <c r="H5" s="183"/>
      <c r="I5" s="2"/>
      <c r="J5" s="2"/>
      <c r="K5" s="179"/>
      <c r="L5" s="179"/>
    </row>
    <row r="6" spans="1:12" ht="19.5">
      <c r="A6" s="175"/>
      <c r="B6" s="184"/>
      <c r="C6" s="185" t="s">
        <v>55</v>
      </c>
      <c r="D6" s="186"/>
      <c r="E6" s="187"/>
      <c r="F6" s="187"/>
      <c r="G6" s="187"/>
      <c r="H6" s="188"/>
      <c r="I6" s="189"/>
      <c r="J6" s="189"/>
      <c r="K6" s="190"/>
      <c r="L6" s="190"/>
    </row>
    <row r="7" spans="1:12" ht="19.5">
      <c r="A7" s="175"/>
      <c r="B7" s="184"/>
      <c r="C7" s="185"/>
      <c r="D7" s="186"/>
      <c r="E7" s="187"/>
      <c r="F7" s="187"/>
      <c r="G7" s="187"/>
      <c r="H7" s="188"/>
      <c r="I7" s="189"/>
      <c r="J7" s="191"/>
      <c r="K7" s="190"/>
      <c r="L7" s="190"/>
    </row>
    <row r="8" spans="1:12" ht="18.75">
      <c r="A8" s="175"/>
      <c r="B8" s="184"/>
      <c r="C8" s="192"/>
      <c r="D8" s="186"/>
      <c r="E8" s="187"/>
      <c r="F8" s="187"/>
      <c r="G8" s="187"/>
      <c r="H8" s="188"/>
      <c r="I8" s="189"/>
      <c r="J8" s="189"/>
      <c r="K8" s="190"/>
      <c r="L8" s="190"/>
    </row>
    <row r="9" spans="1:12" ht="12.75">
      <c r="A9" s="175"/>
      <c r="B9" s="184" t="s">
        <v>9</v>
      </c>
      <c r="C9" s="193"/>
      <c r="D9" s="194"/>
      <c r="E9" s="187"/>
      <c r="F9" s="187"/>
      <c r="G9" s="187"/>
      <c r="H9" s="195"/>
      <c r="I9" s="196" t="s">
        <v>56</v>
      </c>
      <c r="J9" s="196"/>
      <c r="K9" s="197"/>
      <c r="L9" s="197"/>
    </row>
    <row r="10" spans="1:12" ht="18.75" customHeight="1">
      <c r="A10" s="198"/>
      <c r="B10" s="199"/>
      <c r="C10" s="200"/>
      <c r="D10" s="200"/>
      <c r="E10" s="201"/>
      <c r="F10" s="202"/>
      <c r="G10" s="203"/>
      <c r="H10" s="201"/>
      <c r="I10" s="204" t="s">
        <v>57</v>
      </c>
      <c r="J10" s="203"/>
      <c r="K10" s="205" t="s">
        <v>9</v>
      </c>
      <c r="L10" s="205"/>
    </row>
    <row r="11" spans="1:12" ht="48" customHeight="1">
      <c r="A11" s="206" t="s">
        <v>58</v>
      </c>
      <c r="B11" s="207" t="s">
        <v>59</v>
      </c>
      <c r="C11" s="208" t="s">
        <v>17</v>
      </c>
      <c r="D11" s="208" t="s">
        <v>12</v>
      </c>
      <c r="E11" s="209" t="s">
        <v>60</v>
      </c>
      <c r="F11" s="210" t="s">
        <v>61</v>
      </c>
      <c r="G11" s="211" t="s">
        <v>62</v>
      </c>
      <c r="H11" s="212" t="s">
        <v>63</v>
      </c>
      <c r="I11" s="213"/>
      <c r="J11" s="214" t="s">
        <v>8</v>
      </c>
      <c r="K11" s="215" t="s">
        <v>64</v>
      </c>
      <c r="L11" s="215" t="s">
        <v>65</v>
      </c>
    </row>
    <row r="12" spans="1:15" ht="36.75" customHeight="1">
      <c r="A12" s="216"/>
      <c r="B12" s="217"/>
      <c r="C12" s="218"/>
      <c r="D12" s="218"/>
      <c r="E12" s="219"/>
      <c r="F12" s="220"/>
      <c r="G12" s="221" t="s">
        <v>66</v>
      </c>
      <c r="H12" s="220"/>
      <c r="I12" s="222" t="s">
        <v>66</v>
      </c>
      <c r="J12" s="223" t="s">
        <v>67</v>
      </c>
      <c r="K12" s="224"/>
      <c r="L12" s="224"/>
      <c r="N12" s="414"/>
      <c r="O12" s="414"/>
    </row>
    <row r="13" spans="1:15" ht="21" customHeight="1">
      <c r="A13" s="225"/>
      <c r="B13" s="226" t="s">
        <v>68</v>
      </c>
      <c r="C13" s="227"/>
      <c r="D13" s="228"/>
      <c r="E13" s="229"/>
      <c r="F13" s="230">
        <f>F14+F47+F61+F58+F71+F78+F81+F111+F116+F131+F160+F164</f>
        <v>53506503.010000005</v>
      </c>
      <c r="G13" s="230">
        <f>G14+G47+G61+G58+G71+G78+G81+G111+G116+G131+G160+G164</f>
        <v>4994337.02</v>
      </c>
      <c r="H13" s="230"/>
      <c r="I13" s="230">
        <f>I14+I47+I61+I58+I71+I78+I81+I111+I116+I131+I160+I164</f>
        <v>35245097.16</v>
      </c>
      <c r="J13" s="230">
        <f>J14+J47+J61+J58+J71+J78+J81+J111+J116+J131+J160+J164</f>
        <v>5144220.48</v>
      </c>
      <c r="K13" s="231"/>
      <c r="L13" s="232"/>
      <c r="N13" s="415"/>
      <c r="O13" s="415"/>
    </row>
    <row r="14" spans="1:15" ht="19.5" customHeight="1">
      <c r="A14" s="198"/>
      <c r="B14" s="234">
        <v>600</v>
      </c>
      <c r="C14" s="235"/>
      <c r="D14" s="236"/>
      <c r="E14" s="237" t="s">
        <v>69</v>
      </c>
      <c r="F14" s="238">
        <f>F15+F17</f>
        <v>23261078.05</v>
      </c>
      <c r="G14" s="238">
        <f>G15+G17</f>
        <v>726010.05</v>
      </c>
      <c r="H14" s="238"/>
      <c r="I14" s="238">
        <f>I15+I17</f>
        <v>14820210.95</v>
      </c>
      <c r="J14" s="238">
        <f>J15+J17</f>
        <v>2933220.48</v>
      </c>
      <c r="K14" s="232"/>
      <c r="L14" s="232"/>
      <c r="N14" s="416"/>
      <c r="O14" s="416"/>
    </row>
    <row r="15" spans="1:15" s="370" customFormat="1" ht="19.5" customHeight="1">
      <c r="A15" s="275"/>
      <c r="B15" s="276"/>
      <c r="C15" s="241">
        <v>60004</v>
      </c>
      <c r="D15" s="242"/>
      <c r="E15" s="418" t="s">
        <v>391</v>
      </c>
      <c r="F15" s="419">
        <f>F16</f>
        <v>20000</v>
      </c>
      <c r="G15" s="419">
        <f>G16</f>
        <v>0</v>
      </c>
      <c r="H15" s="419"/>
      <c r="I15" s="419">
        <f>I16</f>
        <v>20000</v>
      </c>
      <c r="J15" s="419">
        <f>J16</f>
        <v>0</v>
      </c>
      <c r="K15" s="245"/>
      <c r="L15" s="245"/>
      <c r="N15" s="420"/>
      <c r="O15" s="420"/>
    </row>
    <row r="16" spans="1:15" s="409" customFormat="1" ht="29.25" customHeight="1">
      <c r="A16" s="206">
        <v>1</v>
      </c>
      <c r="B16" s="272"/>
      <c r="C16" s="216"/>
      <c r="D16" s="265">
        <v>6050</v>
      </c>
      <c r="E16" s="423" t="s">
        <v>390</v>
      </c>
      <c r="F16" s="257">
        <v>20000</v>
      </c>
      <c r="G16" s="257"/>
      <c r="H16" s="257" t="s">
        <v>392</v>
      </c>
      <c r="I16" s="257">
        <v>20000</v>
      </c>
      <c r="J16" s="257"/>
      <c r="K16" s="232" t="s">
        <v>119</v>
      </c>
      <c r="L16" s="232">
        <v>2013</v>
      </c>
      <c r="N16" s="417"/>
      <c r="O16" s="417"/>
    </row>
    <row r="17" spans="1:12" ht="18" customHeight="1">
      <c r="A17" s="216"/>
      <c r="B17" s="240"/>
      <c r="C17" s="241">
        <v>60016</v>
      </c>
      <c r="D17" s="242"/>
      <c r="E17" s="243" t="s">
        <v>70</v>
      </c>
      <c r="F17" s="244">
        <f>SUM(F18:F46)</f>
        <v>23241078.05</v>
      </c>
      <c r="G17" s="244">
        <f>SUM(G18:G46)</f>
        <v>726010.05</v>
      </c>
      <c r="H17" s="244"/>
      <c r="I17" s="244">
        <f>SUM(I18:I46)</f>
        <v>14800210.95</v>
      </c>
      <c r="J17" s="244">
        <f>SUM(J18:J46)</f>
        <v>2933220.48</v>
      </c>
      <c r="K17" s="245"/>
      <c r="L17" s="245"/>
    </row>
    <row r="18" spans="1:14" s="254" customFormat="1" ht="30" customHeight="1">
      <c r="A18" s="246">
        <v>2</v>
      </c>
      <c r="B18" s="247"/>
      <c r="C18" s="248"/>
      <c r="D18" s="249">
        <v>6050</v>
      </c>
      <c r="E18" s="250" t="s">
        <v>71</v>
      </c>
      <c r="F18" s="251">
        <f>1530000-121577</f>
        <v>1408423</v>
      </c>
      <c r="G18" s="251">
        <v>220000</v>
      </c>
      <c r="H18" s="252" t="s">
        <v>85</v>
      </c>
      <c r="I18" s="251">
        <f>1310000-121577</f>
        <v>1188423</v>
      </c>
      <c r="J18" s="251">
        <f>585000-288000-88150-121577</f>
        <v>87273</v>
      </c>
      <c r="K18" s="232" t="s">
        <v>86</v>
      </c>
      <c r="L18" s="232" t="s">
        <v>87</v>
      </c>
      <c r="M18" s="253"/>
      <c r="N18" s="253"/>
    </row>
    <row r="19" spans="1:14" s="254" customFormat="1" ht="27.75" customHeight="1">
      <c r="A19" s="246">
        <v>3</v>
      </c>
      <c r="B19" s="247"/>
      <c r="C19" s="248"/>
      <c r="D19" s="249">
        <v>6050</v>
      </c>
      <c r="E19" s="250" t="s">
        <v>88</v>
      </c>
      <c r="F19" s="251">
        <f>1500000-100000-13000-65543.95</f>
        <v>1321456.05</v>
      </c>
      <c r="G19" s="251">
        <f>1000000-13000-359457.92-163032.03</f>
        <v>464510.05000000005</v>
      </c>
      <c r="H19" s="252" t="s">
        <v>89</v>
      </c>
      <c r="I19" s="251">
        <f>500000-100000+163032.03+359457.92-65543.95</f>
        <v>856946</v>
      </c>
      <c r="J19" s="251">
        <f>480000-100000-314456.05-65543.95</f>
        <v>0</v>
      </c>
      <c r="K19" s="232" t="s">
        <v>86</v>
      </c>
      <c r="L19" s="232" t="s">
        <v>87</v>
      </c>
      <c r="M19" s="253"/>
      <c r="N19" s="253"/>
    </row>
    <row r="20" spans="1:13" s="254" customFormat="1" ht="24" customHeight="1">
      <c r="A20" s="246">
        <v>4</v>
      </c>
      <c r="B20" s="247"/>
      <c r="C20" s="248"/>
      <c r="D20" s="249">
        <v>6050</v>
      </c>
      <c r="E20" s="250" t="s">
        <v>90</v>
      </c>
      <c r="F20" s="251">
        <f>1500000+601000</f>
        <v>2101000</v>
      </c>
      <c r="G20" s="251">
        <v>0</v>
      </c>
      <c r="H20" s="252" t="s">
        <v>91</v>
      </c>
      <c r="I20" s="251">
        <f>601000+1500000</f>
        <v>2101000</v>
      </c>
      <c r="J20" s="251">
        <f>120000+119110</f>
        <v>239110</v>
      </c>
      <c r="K20" s="232" t="s">
        <v>86</v>
      </c>
      <c r="L20" s="232" t="s">
        <v>87</v>
      </c>
      <c r="M20" s="253"/>
    </row>
    <row r="21" spans="1:14" s="254" customFormat="1" ht="26.25" customHeight="1">
      <c r="A21" s="246">
        <v>5</v>
      </c>
      <c r="B21" s="247"/>
      <c r="C21" s="248"/>
      <c r="D21" s="249">
        <v>6050</v>
      </c>
      <c r="E21" s="250" t="s">
        <v>101</v>
      </c>
      <c r="F21" s="251">
        <v>4500000</v>
      </c>
      <c r="G21" s="251">
        <v>0</v>
      </c>
      <c r="H21" s="252" t="s">
        <v>91</v>
      </c>
      <c r="I21" s="251">
        <f>1500000-1400000-13000+1400000-130000+130000</f>
        <v>1487000</v>
      </c>
      <c r="J21" s="251">
        <f>200000+683800-6500-23500-753800-13000+753800-182000</f>
        <v>658800</v>
      </c>
      <c r="K21" s="232" t="s">
        <v>86</v>
      </c>
      <c r="L21" s="232" t="s">
        <v>102</v>
      </c>
      <c r="M21" s="253"/>
      <c r="N21" s="253"/>
    </row>
    <row r="22" spans="1:14" s="254" customFormat="1" ht="28.5" customHeight="1">
      <c r="A22" s="246">
        <v>6</v>
      </c>
      <c r="B22" s="247"/>
      <c r="C22" s="248"/>
      <c r="D22" s="249">
        <v>6050</v>
      </c>
      <c r="E22" s="250" t="s">
        <v>103</v>
      </c>
      <c r="F22" s="251">
        <f>150000+82043.95+78175</f>
        <v>310218.95</v>
      </c>
      <c r="G22" s="251">
        <v>26500</v>
      </c>
      <c r="H22" s="252" t="s">
        <v>104</v>
      </c>
      <c r="I22" s="251">
        <f>123500+82043.95+78175</f>
        <v>283718.95</v>
      </c>
      <c r="J22" s="251">
        <f>23500+82043.95</f>
        <v>105543.95</v>
      </c>
      <c r="K22" s="232" t="s">
        <v>86</v>
      </c>
      <c r="L22" s="232" t="s">
        <v>87</v>
      </c>
      <c r="M22" s="253"/>
      <c r="N22" s="253"/>
    </row>
    <row r="23" spans="1:13" s="254" customFormat="1" ht="37.5" customHeight="1">
      <c r="A23" s="246">
        <v>7</v>
      </c>
      <c r="B23" s="247"/>
      <c r="C23" s="248"/>
      <c r="D23" s="249">
        <v>6050</v>
      </c>
      <c r="E23" s="250" t="s">
        <v>105</v>
      </c>
      <c r="F23" s="251">
        <f>100000-3000</f>
        <v>97000</v>
      </c>
      <c r="G23" s="251">
        <v>10000</v>
      </c>
      <c r="H23" s="252" t="s">
        <v>106</v>
      </c>
      <c r="I23" s="251">
        <f>90000-3000</f>
        <v>87000</v>
      </c>
      <c r="J23" s="251">
        <v>0</v>
      </c>
      <c r="K23" s="232" t="s">
        <v>86</v>
      </c>
      <c r="L23" s="232" t="s">
        <v>87</v>
      </c>
      <c r="M23" s="253"/>
    </row>
    <row r="24" spans="1:13" s="254" customFormat="1" ht="49.5" customHeight="1">
      <c r="A24" s="246">
        <v>8</v>
      </c>
      <c r="B24" s="247"/>
      <c r="C24" s="248"/>
      <c r="D24" s="249">
        <v>6050</v>
      </c>
      <c r="E24" s="255" t="s">
        <v>111</v>
      </c>
      <c r="F24" s="251">
        <f>30000+3000</f>
        <v>33000</v>
      </c>
      <c r="G24" s="251">
        <v>5000</v>
      </c>
      <c r="H24" s="252" t="s">
        <v>112</v>
      </c>
      <c r="I24" s="251">
        <f>25000+3000</f>
        <v>28000</v>
      </c>
      <c r="J24" s="251">
        <v>0</v>
      </c>
      <c r="K24" s="232" t="s">
        <v>86</v>
      </c>
      <c r="L24" s="232" t="s">
        <v>87</v>
      </c>
      <c r="M24" s="253"/>
    </row>
    <row r="25" spans="1:13" s="254" customFormat="1" ht="31.5" customHeight="1">
      <c r="A25" s="246">
        <v>9</v>
      </c>
      <c r="B25" s="247"/>
      <c r="C25" s="248"/>
      <c r="D25" s="249">
        <v>6050</v>
      </c>
      <c r="E25" s="256" t="s">
        <v>113</v>
      </c>
      <c r="F25" s="257">
        <f>570000-106000-1291-4500</f>
        <v>458209</v>
      </c>
      <c r="G25" s="257">
        <v>0</v>
      </c>
      <c r="H25" s="258" t="s">
        <v>114</v>
      </c>
      <c r="I25" s="257">
        <f>570000-106000-1291-4500</f>
        <v>458209</v>
      </c>
      <c r="J25" s="257">
        <f>100000-30960</f>
        <v>69040</v>
      </c>
      <c r="K25" s="232" t="s">
        <v>86</v>
      </c>
      <c r="L25" s="232">
        <v>2013</v>
      </c>
      <c r="M25" s="253"/>
    </row>
    <row r="26" spans="1:13" s="254" customFormat="1" ht="66" customHeight="1">
      <c r="A26" s="246">
        <v>10</v>
      </c>
      <c r="B26" s="247"/>
      <c r="C26" s="248"/>
      <c r="D26" s="249">
        <v>6050</v>
      </c>
      <c r="E26" s="256" t="s">
        <v>115</v>
      </c>
      <c r="F26" s="257">
        <f>1500000+1857.05+130000</f>
        <v>1631857.05</v>
      </c>
      <c r="G26" s="257">
        <v>0</v>
      </c>
      <c r="H26" s="258" t="s">
        <v>116</v>
      </c>
      <c r="I26" s="257">
        <f>1500000-600000+600000+130000</f>
        <v>1630000</v>
      </c>
      <c r="J26" s="257">
        <v>200000</v>
      </c>
      <c r="K26" s="232" t="s">
        <v>86</v>
      </c>
      <c r="L26" s="232" t="s">
        <v>330</v>
      </c>
      <c r="M26" s="253"/>
    </row>
    <row r="27" spans="1:14" s="254" customFormat="1" ht="39" customHeight="1">
      <c r="A27" s="246">
        <v>11</v>
      </c>
      <c r="B27" s="259"/>
      <c r="C27" s="260"/>
      <c r="D27" s="249">
        <v>6050</v>
      </c>
      <c r="E27" s="261" t="s">
        <v>117</v>
      </c>
      <c r="F27" s="262">
        <f>100000+100000</f>
        <v>200000</v>
      </c>
      <c r="G27" s="262">
        <v>0</v>
      </c>
      <c r="H27" s="258" t="s">
        <v>118</v>
      </c>
      <c r="I27" s="257">
        <f>100000+100000</f>
        <v>200000</v>
      </c>
      <c r="J27" s="257">
        <v>0</v>
      </c>
      <c r="K27" s="232" t="s">
        <v>119</v>
      </c>
      <c r="L27" s="232">
        <v>2013</v>
      </c>
      <c r="M27" s="253"/>
      <c r="N27" s="253"/>
    </row>
    <row r="28" spans="1:13" s="254" customFormat="1" ht="35.25" customHeight="1">
      <c r="A28" s="246">
        <v>12</v>
      </c>
      <c r="B28" s="259"/>
      <c r="C28" s="260"/>
      <c r="D28" s="249">
        <v>6050</v>
      </c>
      <c r="E28" s="261" t="s">
        <v>120</v>
      </c>
      <c r="F28" s="262">
        <f>800000-15000-16500-73675-130000</f>
        <v>564825</v>
      </c>
      <c r="G28" s="262"/>
      <c r="H28" s="258" t="s">
        <v>121</v>
      </c>
      <c r="I28" s="257">
        <f>800000-15000-16500-73675-130000</f>
        <v>564825</v>
      </c>
      <c r="J28" s="257">
        <f>500000-300000-16500-130000</f>
        <v>53500</v>
      </c>
      <c r="K28" s="232" t="s">
        <v>86</v>
      </c>
      <c r="L28" s="232">
        <v>2013</v>
      </c>
      <c r="M28" s="253"/>
    </row>
    <row r="29" spans="1:12" s="254" customFormat="1" ht="42.75" customHeight="1">
      <c r="A29" s="246">
        <v>13</v>
      </c>
      <c r="B29" s="259"/>
      <c r="C29" s="260"/>
      <c r="D29" s="249">
        <v>6050</v>
      </c>
      <c r="E29" s="261" t="s">
        <v>122</v>
      </c>
      <c r="F29" s="262">
        <f>100000-50000</f>
        <v>50000</v>
      </c>
      <c r="G29" s="262"/>
      <c r="H29" s="258" t="s">
        <v>123</v>
      </c>
      <c r="I29" s="257">
        <f>100000-50000</f>
        <v>50000</v>
      </c>
      <c r="J29" s="257"/>
      <c r="K29" s="232" t="s">
        <v>86</v>
      </c>
      <c r="L29" s="232">
        <v>2013</v>
      </c>
    </row>
    <row r="30" spans="1:14" s="254" customFormat="1" ht="53.25" customHeight="1">
      <c r="A30" s="246">
        <v>14</v>
      </c>
      <c r="B30" s="259"/>
      <c r="C30" s="260"/>
      <c r="D30" s="249">
        <v>6050</v>
      </c>
      <c r="E30" s="261" t="s">
        <v>124</v>
      </c>
      <c r="F30" s="262">
        <f>50000+1291</f>
        <v>51291</v>
      </c>
      <c r="G30" s="262"/>
      <c r="H30" s="258" t="s">
        <v>123</v>
      </c>
      <c r="I30" s="257">
        <f>1291+50000</f>
        <v>51291</v>
      </c>
      <c r="J30" s="257"/>
      <c r="K30" s="232" t="s">
        <v>86</v>
      </c>
      <c r="L30" s="232">
        <v>2013</v>
      </c>
      <c r="N30" s="253"/>
    </row>
    <row r="31" spans="1:14" s="254" customFormat="1" ht="42" customHeight="1">
      <c r="A31" s="246">
        <v>15</v>
      </c>
      <c r="B31" s="259"/>
      <c r="C31" s="260"/>
      <c r="D31" s="249">
        <v>6050</v>
      </c>
      <c r="E31" s="261" t="s">
        <v>398</v>
      </c>
      <c r="F31" s="262">
        <v>2500000</v>
      </c>
      <c r="G31" s="262"/>
      <c r="H31" s="252" t="s">
        <v>89</v>
      </c>
      <c r="I31" s="257">
        <v>1000000</v>
      </c>
      <c r="J31" s="257">
        <v>500000</v>
      </c>
      <c r="K31" s="232" t="s">
        <v>86</v>
      </c>
      <c r="L31" s="232" t="s">
        <v>330</v>
      </c>
      <c r="N31" s="253"/>
    </row>
    <row r="32" spans="1:12" s="254" customFormat="1" ht="37.5" customHeight="1">
      <c r="A32" s="246">
        <v>16</v>
      </c>
      <c r="B32" s="259"/>
      <c r="C32" s="260"/>
      <c r="D32" s="249">
        <v>6050</v>
      </c>
      <c r="E32" s="261" t="s">
        <v>399</v>
      </c>
      <c r="F32" s="262">
        <v>100000</v>
      </c>
      <c r="G32" s="262"/>
      <c r="H32" s="258" t="s">
        <v>123</v>
      </c>
      <c r="I32" s="257">
        <v>100000</v>
      </c>
      <c r="J32" s="257"/>
      <c r="K32" s="232" t="s">
        <v>86</v>
      </c>
      <c r="L32" s="232">
        <v>2013</v>
      </c>
    </row>
    <row r="33" spans="1:12" s="254" customFormat="1" ht="27.75" customHeight="1">
      <c r="A33" s="246">
        <v>17</v>
      </c>
      <c r="B33" s="259"/>
      <c r="C33" s="260"/>
      <c r="D33" s="249">
        <v>6050</v>
      </c>
      <c r="E33" s="261" t="s">
        <v>400</v>
      </c>
      <c r="F33" s="262">
        <v>50000</v>
      </c>
      <c r="G33" s="262"/>
      <c r="H33" s="258" t="s">
        <v>232</v>
      </c>
      <c r="I33" s="257">
        <v>50000</v>
      </c>
      <c r="J33" s="257"/>
      <c r="K33" s="232" t="s">
        <v>86</v>
      </c>
      <c r="L33" s="232">
        <v>2013</v>
      </c>
    </row>
    <row r="34" spans="1:12" s="254" customFormat="1" ht="33" customHeight="1">
      <c r="A34" s="246">
        <v>18</v>
      </c>
      <c r="B34" s="259"/>
      <c r="C34" s="260"/>
      <c r="D34" s="249">
        <v>6050</v>
      </c>
      <c r="E34" s="261" t="s">
        <v>406</v>
      </c>
      <c r="F34" s="262">
        <v>2900000</v>
      </c>
      <c r="G34" s="262"/>
      <c r="H34" s="252" t="s">
        <v>89</v>
      </c>
      <c r="I34" s="257">
        <v>900000</v>
      </c>
      <c r="J34" s="257">
        <v>500000</v>
      </c>
      <c r="K34" s="232" t="s">
        <v>86</v>
      </c>
      <c r="L34" s="232" t="s">
        <v>330</v>
      </c>
    </row>
    <row r="35" spans="1:12" s="254" customFormat="1" ht="57.75" customHeight="1">
      <c r="A35" s="246">
        <v>19</v>
      </c>
      <c r="B35" s="259"/>
      <c r="C35" s="260"/>
      <c r="D35" s="249">
        <v>6050</v>
      </c>
      <c r="E35" s="261" t="s">
        <v>358</v>
      </c>
      <c r="F35" s="262">
        <v>20000</v>
      </c>
      <c r="G35" s="262"/>
      <c r="H35" s="258" t="s">
        <v>123</v>
      </c>
      <c r="I35" s="257">
        <v>20000</v>
      </c>
      <c r="J35" s="257"/>
      <c r="K35" s="232" t="s">
        <v>86</v>
      </c>
      <c r="L35" s="232">
        <v>2013</v>
      </c>
    </row>
    <row r="36" spans="1:12" s="254" customFormat="1" ht="61.5" customHeight="1">
      <c r="A36" s="246">
        <v>20</v>
      </c>
      <c r="B36" s="259"/>
      <c r="C36" s="260"/>
      <c r="D36" s="249">
        <v>6050</v>
      </c>
      <c r="E36" s="261" t="s">
        <v>374</v>
      </c>
      <c r="F36" s="262">
        <v>85000</v>
      </c>
      <c r="G36" s="262"/>
      <c r="H36" s="258" t="s">
        <v>123</v>
      </c>
      <c r="I36" s="257">
        <v>85000</v>
      </c>
      <c r="J36" s="257"/>
      <c r="K36" s="232" t="s">
        <v>119</v>
      </c>
      <c r="L36" s="232">
        <v>2013</v>
      </c>
    </row>
    <row r="37" spans="1:12" s="254" customFormat="1" ht="33.75" customHeight="1">
      <c r="A37" s="246">
        <v>21</v>
      </c>
      <c r="B37" s="259"/>
      <c r="C37" s="260"/>
      <c r="D37" s="249">
        <v>6050</v>
      </c>
      <c r="E37" s="261" t="s">
        <v>357</v>
      </c>
      <c r="F37" s="482">
        <f>900000+703798</f>
        <v>1603798</v>
      </c>
      <c r="G37" s="262"/>
      <c r="H37" s="252" t="s">
        <v>89</v>
      </c>
      <c r="I37" s="483">
        <f>900000+703798</f>
        <v>1603798</v>
      </c>
      <c r="J37" s="483">
        <f>432154.48-0.95+87800</f>
        <v>519953.52999999997</v>
      </c>
      <c r="K37" s="232" t="s">
        <v>119</v>
      </c>
      <c r="L37" s="232">
        <v>2013</v>
      </c>
    </row>
    <row r="38" spans="1:12" s="254" customFormat="1" ht="41.25" customHeight="1">
      <c r="A38" s="246">
        <v>22</v>
      </c>
      <c r="B38" s="259"/>
      <c r="C38" s="260"/>
      <c r="D38" s="249">
        <v>6050</v>
      </c>
      <c r="E38" s="261" t="s">
        <v>261</v>
      </c>
      <c r="F38" s="262">
        <v>50000</v>
      </c>
      <c r="G38" s="262"/>
      <c r="H38" s="258" t="s">
        <v>123</v>
      </c>
      <c r="I38" s="257">
        <v>50000</v>
      </c>
      <c r="J38" s="257"/>
      <c r="K38" s="232" t="s">
        <v>86</v>
      </c>
      <c r="L38" s="232">
        <v>2013</v>
      </c>
    </row>
    <row r="39" spans="1:12" s="254" customFormat="1" ht="58.5" customHeight="1">
      <c r="A39" s="246">
        <v>23</v>
      </c>
      <c r="B39" s="259"/>
      <c r="C39" s="260"/>
      <c r="D39" s="249">
        <v>6050</v>
      </c>
      <c r="E39" s="261" t="s">
        <v>396</v>
      </c>
      <c r="F39" s="262">
        <v>350000</v>
      </c>
      <c r="G39" s="262"/>
      <c r="H39" s="258" t="s">
        <v>123</v>
      </c>
      <c r="I39" s="257">
        <v>350000</v>
      </c>
      <c r="J39" s="257"/>
      <c r="K39" s="232" t="s">
        <v>395</v>
      </c>
      <c r="L39" s="232">
        <v>2013</v>
      </c>
    </row>
    <row r="40" spans="1:12" s="254" customFormat="1" ht="51" customHeight="1">
      <c r="A40" s="246">
        <v>24</v>
      </c>
      <c r="B40" s="259"/>
      <c r="C40" s="260"/>
      <c r="D40" s="249">
        <v>6050</v>
      </c>
      <c r="E40" s="261" t="s">
        <v>1</v>
      </c>
      <c r="F40" s="262">
        <v>2200000</v>
      </c>
      <c r="G40" s="262"/>
      <c r="H40" s="252" t="s">
        <v>89</v>
      </c>
      <c r="I40" s="257">
        <v>1000000</v>
      </c>
      <c r="J40" s="257"/>
      <c r="K40" s="232" t="s">
        <v>86</v>
      </c>
      <c r="L40" s="232" t="s">
        <v>330</v>
      </c>
    </row>
    <row r="41" spans="1:12" s="254" customFormat="1" ht="74.25" customHeight="1">
      <c r="A41" s="246">
        <v>25</v>
      </c>
      <c r="B41" s="259"/>
      <c r="C41" s="260"/>
      <c r="D41" s="249">
        <v>6050</v>
      </c>
      <c r="E41" s="261" t="s">
        <v>279</v>
      </c>
      <c r="F41" s="262">
        <v>100000</v>
      </c>
      <c r="G41" s="262"/>
      <c r="H41" s="258" t="s">
        <v>123</v>
      </c>
      <c r="I41" s="257">
        <v>100000</v>
      </c>
      <c r="J41" s="257"/>
      <c r="K41" s="232" t="s">
        <v>86</v>
      </c>
      <c r="L41" s="232">
        <v>2013</v>
      </c>
    </row>
    <row r="42" spans="1:12" s="254" customFormat="1" ht="36" customHeight="1">
      <c r="A42" s="246">
        <v>26</v>
      </c>
      <c r="B42" s="259"/>
      <c r="C42" s="260"/>
      <c r="D42" s="249">
        <v>6050</v>
      </c>
      <c r="E42" s="261" t="s">
        <v>417</v>
      </c>
      <c r="F42" s="262">
        <v>300000</v>
      </c>
      <c r="G42" s="262"/>
      <c r="H42" s="258" t="s">
        <v>269</v>
      </c>
      <c r="I42" s="257">
        <v>300000</v>
      </c>
      <c r="J42" s="257"/>
      <c r="K42" s="232" t="s">
        <v>119</v>
      </c>
      <c r="L42" s="232">
        <v>2013</v>
      </c>
    </row>
    <row r="43" spans="1:12" s="254" customFormat="1" ht="50.25" customHeight="1">
      <c r="A43" s="246">
        <v>27</v>
      </c>
      <c r="B43" s="259"/>
      <c r="C43" s="260"/>
      <c r="D43" s="249">
        <v>6050</v>
      </c>
      <c r="E43" s="261" t="s">
        <v>363</v>
      </c>
      <c r="F43" s="262">
        <v>30000</v>
      </c>
      <c r="G43" s="262"/>
      <c r="H43" s="258" t="s">
        <v>123</v>
      </c>
      <c r="I43" s="257">
        <v>30000</v>
      </c>
      <c r="J43" s="257"/>
      <c r="K43" s="232" t="s">
        <v>86</v>
      </c>
      <c r="L43" s="232">
        <v>2013</v>
      </c>
    </row>
    <row r="44" spans="1:12" s="254" customFormat="1" ht="50.25" customHeight="1">
      <c r="A44" s="246">
        <v>28</v>
      </c>
      <c r="B44" s="259"/>
      <c r="C44" s="260"/>
      <c r="D44" s="249">
        <v>6050</v>
      </c>
      <c r="E44" s="261" t="s">
        <v>255</v>
      </c>
      <c r="F44" s="262">
        <v>15000</v>
      </c>
      <c r="G44" s="262"/>
      <c r="H44" s="258" t="s">
        <v>233</v>
      </c>
      <c r="I44" s="257">
        <v>15000</v>
      </c>
      <c r="J44" s="257"/>
      <c r="K44" s="232" t="s">
        <v>86</v>
      </c>
      <c r="L44" s="232">
        <v>2013</v>
      </c>
    </row>
    <row r="45" spans="1:12" s="254" customFormat="1" ht="69.75" customHeight="1">
      <c r="A45" s="246">
        <v>29</v>
      </c>
      <c r="B45" s="259"/>
      <c r="C45" s="260"/>
      <c r="D45" s="249">
        <v>6050</v>
      </c>
      <c r="E45" s="261" t="s">
        <v>110</v>
      </c>
      <c r="F45" s="262">
        <v>60000</v>
      </c>
      <c r="G45" s="262"/>
      <c r="H45" s="258" t="s">
        <v>123</v>
      </c>
      <c r="I45" s="257">
        <v>60000</v>
      </c>
      <c r="J45" s="257"/>
      <c r="K45" s="232" t="s">
        <v>119</v>
      </c>
      <c r="L45" s="232">
        <v>2013</v>
      </c>
    </row>
    <row r="46" spans="1:12" ht="38.25" customHeight="1">
      <c r="A46" s="263">
        <v>30</v>
      </c>
      <c r="B46" s="264"/>
      <c r="C46" s="206"/>
      <c r="D46" s="265">
        <v>6050</v>
      </c>
      <c r="E46" s="261" t="s">
        <v>125</v>
      </c>
      <c r="F46" s="262">
        <f>85000+65000</f>
        <v>150000</v>
      </c>
      <c r="G46" s="262">
        <v>0</v>
      </c>
      <c r="H46" s="258" t="s">
        <v>126</v>
      </c>
      <c r="I46" s="266">
        <f>65000+85000</f>
        <v>150000</v>
      </c>
      <c r="J46" s="266">
        <v>0</v>
      </c>
      <c r="K46" s="232" t="s">
        <v>119</v>
      </c>
      <c r="L46" s="232">
        <v>2013</v>
      </c>
    </row>
    <row r="47" spans="1:12" ht="21.75" customHeight="1">
      <c r="A47" s="267"/>
      <c r="B47" s="235">
        <v>700</v>
      </c>
      <c r="C47" s="235"/>
      <c r="D47" s="236"/>
      <c r="E47" s="268" t="s">
        <v>127</v>
      </c>
      <c r="F47" s="269">
        <f>F48+F51</f>
        <v>2981915.1</v>
      </c>
      <c r="G47" s="269">
        <f>G48+G51</f>
        <v>190433.05</v>
      </c>
      <c r="H47" s="269"/>
      <c r="I47" s="269">
        <f>I48+I51</f>
        <v>2461482.05</v>
      </c>
      <c r="J47" s="269">
        <f>J48+J51</f>
        <v>285000</v>
      </c>
      <c r="K47" s="232"/>
      <c r="L47" s="232"/>
    </row>
    <row r="48" spans="1:12" ht="27" customHeight="1">
      <c r="A48" s="263"/>
      <c r="B48" s="270"/>
      <c r="C48" s="271">
        <v>70005</v>
      </c>
      <c r="D48" s="242"/>
      <c r="E48" s="243" t="s">
        <v>128</v>
      </c>
      <c r="F48" s="244">
        <f>SUM(F49:F50)</f>
        <v>1680982.1</v>
      </c>
      <c r="G48" s="244">
        <f>SUM(G49:G50)</f>
        <v>190433.05</v>
      </c>
      <c r="H48" s="244"/>
      <c r="I48" s="244">
        <f>SUM(I49:I50)</f>
        <v>1160549.05</v>
      </c>
      <c r="J48" s="244">
        <f>SUM(J49:J50)</f>
        <v>0</v>
      </c>
      <c r="K48" s="245"/>
      <c r="L48" s="245"/>
    </row>
    <row r="49" spans="1:12" s="409" customFormat="1" ht="32.25" customHeight="1">
      <c r="A49" s="263">
        <v>31</v>
      </c>
      <c r="B49" s="206"/>
      <c r="C49" s="272"/>
      <c r="D49" s="265">
        <v>6050</v>
      </c>
      <c r="E49" s="261" t="s">
        <v>388</v>
      </c>
      <c r="F49" s="262">
        <v>15000</v>
      </c>
      <c r="G49" s="262"/>
      <c r="H49" s="262" t="s">
        <v>394</v>
      </c>
      <c r="I49" s="262">
        <v>15000</v>
      </c>
      <c r="J49" s="262"/>
      <c r="K49" s="232" t="s">
        <v>393</v>
      </c>
      <c r="L49" s="232">
        <v>2013</v>
      </c>
    </row>
    <row r="50" spans="1:12" ht="109.5" customHeight="1">
      <c r="A50" s="263">
        <v>32</v>
      </c>
      <c r="B50" s="206"/>
      <c r="C50" s="272"/>
      <c r="D50" s="265">
        <v>6060</v>
      </c>
      <c r="E50" s="261" t="s">
        <v>129</v>
      </c>
      <c r="F50" s="262">
        <f>1611982.1+550000+4000-500000</f>
        <v>1665982.1</v>
      </c>
      <c r="G50" s="262">
        <v>190433.05</v>
      </c>
      <c r="H50" s="252" t="s">
        <v>262</v>
      </c>
      <c r="I50" s="273">
        <f>1091549.05+550000+4000-500000</f>
        <v>1145549.05</v>
      </c>
      <c r="J50" s="273">
        <v>0</v>
      </c>
      <c r="K50" s="274" t="s">
        <v>130</v>
      </c>
      <c r="L50" s="274" t="s">
        <v>131</v>
      </c>
    </row>
    <row r="51" spans="1:12" ht="24.75" customHeight="1">
      <c r="A51" s="263"/>
      <c r="B51" s="275"/>
      <c r="C51" s="276">
        <v>70095</v>
      </c>
      <c r="D51" s="277"/>
      <c r="E51" s="243" t="s">
        <v>132</v>
      </c>
      <c r="F51" s="244">
        <f>SUM(F52:F57)</f>
        <v>1300933</v>
      </c>
      <c r="G51" s="244">
        <f>SUM(G52:G57)</f>
        <v>0</v>
      </c>
      <c r="H51" s="244"/>
      <c r="I51" s="244">
        <f>SUM(I52:I57)</f>
        <v>1300933</v>
      </c>
      <c r="J51" s="244">
        <f>SUM(J52:J57)</f>
        <v>285000</v>
      </c>
      <c r="K51" s="245"/>
      <c r="L51" s="245"/>
    </row>
    <row r="52" spans="1:12" s="349" customFormat="1" ht="42.75" customHeight="1">
      <c r="A52" s="263">
        <v>33</v>
      </c>
      <c r="B52" s="206"/>
      <c r="C52" s="272"/>
      <c r="D52" s="263">
        <v>6050</v>
      </c>
      <c r="E52" s="250" t="s">
        <v>133</v>
      </c>
      <c r="F52" s="262">
        <v>65000</v>
      </c>
      <c r="G52" s="262">
        <v>0</v>
      </c>
      <c r="H52" s="252" t="s">
        <v>134</v>
      </c>
      <c r="I52" s="273">
        <v>65000</v>
      </c>
      <c r="J52" s="273">
        <v>0</v>
      </c>
      <c r="K52" s="274" t="s">
        <v>53</v>
      </c>
      <c r="L52" s="274">
        <v>2013</v>
      </c>
    </row>
    <row r="53" spans="1:12" s="349" customFormat="1" ht="64.5" customHeight="1">
      <c r="A53" s="216">
        <v>34</v>
      </c>
      <c r="B53" s="206"/>
      <c r="C53" s="272"/>
      <c r="D53" s="263">
        <v>6050</v>
      </c>
      <c r="E53" s="303" t="s">
        <v>331</v>
      </c>
      <c r="F53" s="304">
        <v>155000</v>
      </c>
      <c r="G53" s="304"/>
      <c r="H53" s="303" t="s">
        <v>334</v>
      </c>
      <c r="I53" s="360">
        <v>155000</v>
      </c>
      <c r="J53" s="360">
        <v>155000</v>
      </c>
      <c r="K53" s="274" t="s">
        <v>53</v>
      </c>
      <c r="L53" s="274">
        <v>2013</v>
      </c>
    </row>
    <row r="54" spans="1:12" s="349" customFormat="1" ht="54" customHeight="1">
      <c r="A54" s="216">
        <v>35</v>
      </c>
      <c r="B54" s="206"/>
      <c r="C54" s="272"/>
      <c r="D54" s="263">
        <v>6050</v>
      </c>
      <c r="E54" s="303" t="s">
        <v>227</v>
      </c>
      <c r="F54" s="304">
        <f>23233+550000</f>
        <v>573233</v>
      </c>
      <c r="G54" s="304"/>
      <c r="H54" s="359" t="s">
        <v>234</v>
      </c>
      <c r="I54" s="360">
        <f>23233+550000</f>
        <v>573233</v>
      </c>
      <c r="J54" s="360"/>
      <c r="K54" s="274" t="s">
        <v>86</v>
      </c>
      <c r="L54" s="274">
        <v>2013</v>
      </c>
    </row>
    <row r="55" spans="1:12" s="349" customFormat="1" ht="58.5" customHeight="1">
      <c r="A55" s="263">
        <v>36</v>
      </c>
      <c r="B55" s="206"/>
      <c r="C55" s="272"/>
      <c r="D55" s="263">
        <v>6050</v>
      </c>
      <c r="E55" s="250" t="s">
        <v>367</v>
      </c>
      <c r="F55" s="367">
        <v>185000</v>
      </c>
      <c r="G55" s="304"/>
      <c r="H55" s="359" t="s">
        <v>238</v>
      </c>
      <c r="I55" s="360">
        <v>185000</v>
      </c>
      <c r="J55" s="360"/>
      <c r="K55" s="274" t="s">
        <v>86</v>
      </c>
      <c r="L55" s="274">
        <v>2013</v>
      </c>
    </row>
    <row r="56" spans="1:12" s="349" customFormat="1" ht="56.25" customHeight="1">
      <c r="A56" s="263">
        <v>37</v>
      </c>
      <c r="B56" s="206"/>
      <c r="C56" s="272"/>
      <c r="D56" s="263">
        <v>6050</v>
      </c>
      <c r="E56" s="250" t="s">
        <v>228</v>
      </c>
      <c r="F56" s="367">
        <f>50000+130000</f>
        <v>180000</v>
      </c>
      <c r="G56" s="304"/>
      <c r="H56" s="359" t="s">
        <v>231</v>
      </c>
      <c r="I56" s="360">
        <f>50000+130000</f>
        <v>180000</v>
      </c>
      <c r="J56" s="360">
        <v>130000</v>
      </c>
      <c r="K56" s="274" t="s">
        <v>86</v>
      </c>
      <c r="L56" s="274">
        <v>2013</v>
      </c>
    </row>
    <row r="57" spans="1:12" s="349" customFormat="1" ht="57" customHeight="1">
      <c r="A57" s="263">
        <v>38</v>
      </c>
      <c r="B57" s="206"/>
      <c r="C57" s="272"/>
      <c r="D57" s="198">
        <v>6050</v>
      </c>
      <c r="E57" s="383" t="s">
        <v>333</v>
      </c>
      <c r="F57" s="432">
        <v>142700</v>
      </c>
      <c r="G57" s="304"/>
      <c r="H57" s="258" t="s">
        <v>123</v>
      </c>
      <c r="I57" s="360">
        <v>142700</v>
      </c>
      <c r="J57" s="360"/>
      <c r="K57" s="274" t="s">
        <v>86</v>
      </c>
      <c r="L57" s="274">
        <v>2013</v>
      </c>
    </row>
    <row r="58" spans="1:12" s="442" customFormat="1" ht="30" customHeight="1">
      <c r="A58" s="438"/>
      <c r="B58" s="439">
        <v>710</v>
      </c>
      <c r="C58" s="438"/>
      <c r="D58" s="438"/>
      <c r="E58" s="440" t="s">
        <v>304</v>
      </c>
      <c r="F58" s="448">
        <f>F59</f>
        <v>20000</v>
      </c>
      <c r="G58" s="448">
        <f>G59</f>
        <v>0</v>
      </c>
      <c r="H58" s="448"/>
      <c r="I58" s="448">
        <f>I59</f>
        <v>20000</v>
      </c>
      <c r="J58" s="448">
        <f>J59</f>
        <v>0</v>
      </c>
      <c r="K58" s="441"/>
      <c r="L58" s="441"/>
    </row>
    <row r="59" spans="1:12" s="447" customFormat="1" ht="23.25" customHeight="1">
      <c r="A59" s="443"/>
      <c r="B59" s="443"/>
      <c r="C59" s="444">
        <v>71035</v>
      </c>
      <c r="D59" s="444"/>
      <c r="E59" s="445" t="s">
        <v>364</v>
      </c>
      <c r="F59" s="449">
        <f>F60</f>
        <v>20000</v>
      </c>
      <c r="G59" s="449">
        <f>G60</f>
        <v>0</v>
      </c>
      <c r="H59" s="449"/>
      <c r="I59" s="449">
        <f>I60</f>
        <v>20000</v>
      </c>
      <c r="J59" s="449">
        <f>J60</f>
        <v>0</v>
      </c>
      <c r="K59" s="446"/>
      <c r="L59" s="446"/>
    </row>
    <row r="60" spans="1:12" s="434" customFormat="1" ht="57" customHeight="1">
      <c r="A60" s="470">
        <v>38</v>
      </c>
      <c r="B60" s="435"/>
      <c r="C60" s="436"/>
      <c r="D60" s="437">
        <v>6050</v>
      </c>
      <c r="E60" s="471" t="s">
        <v>365</v>
      </c>
      <c r="F60" s="451">
        <v>20000</v>
      </c>
      <c r="G60" s="450"/>
      <c r="H60" s="452" t="s">
        <v>366</v>
      </c>
      <c r="I60" s="451">
        <v>20000</v>
      </c>
      <c r="J60" s="429"/>
      <c r="K60" s="433" t="s">
        <v>282</v>
      </c>
      <c r="L60" s="468">
        <v>2013</v>
      </c>
    </row>
    <row r="61" spans="1:12" ht="23.25" customHeight="1">
      <c r="A61" s="293"/>
      <c r="B61" s="235">
        <v>750</v>
      </c>
      <c r="C61" s="235"/>
      <c r="D61" s="236"/>
      <c r="E61" s="314" t="s">
        <v>135</v>
      </c>
      <c r="F61" s="280">
        <f>F62+F67</f>
        <v>4492600</v>
      </c>
      <c r="G61" s="280">
        <f>G62+G67</f>
        <v>540000</v>
      </c>
      <c r="H61" s="280"/>
      <c r="I61" s="280">
        <f>I62+I67</f>
        <v>3002600</v>
      </c>
      <c r="J61" s="280">
        <f>J62+J67</f>
        <v>0</v>
      </c>
      <c r="K61" s="231"/>
      <c r="L61" s="232"/>
    </row>
    <row r="62" spans="1:12" ht="30.75" customHeight="1">
      <c r="A62" s="281"/>
      <c r="B62" s="270"/>
      <c r="C62" s="240">
        <v>75023</v>
      </c>
      <c r="D62" s="277"/>
      <c r="E62" s="283" t="s">
        <v>136</v>
      </c>
      <c r="F62" s="284">
        <f>SUM(F63:F66)</f>
        <v>312600</v>
      </c>
      <c r="G62" s="284">
        <f>SUM(G63:G66)</f>
        <v>0</v>
      </c>
      <c r="H62" s="284"/>
      <c r="I62" s="284">
        <f>SUM(I63:I66)</f>
        <v>312600</v>
      </c>
      <c r="J62" s="284">
        <f>SUM(J63:J66)</f>
        <v>0</v>
      </c>
      <c r="K62" s="245"/>
      <c r="L62" s="245"/>
    </row>
    <row r="63" spans="1:14" s="409" customFormat="1" ht="107.25" customHeight="1">
      <c r="A63" s="206">
        <v>40</v>
      </c>
      <c r="C63" s="198"/>
      <c r="D63" s="333">
        <v>6050</v>
      </c>
      <c r="E63" s="250" t="s">
        <v>408</v>
      </c>
      <c r="F63" s="367">
        <f>165000-20000</f>
        <v>145000</v>
      </c>
      <c r="G63" s="367"/>
      <c r="H63" s="478" t="s">
        <v>403</v>
      </c>
      <c r="I63" s="367">
        <f>165000-20000</f>
        <v>145000</v>
      </c>
      <c r="J63" s="367"/>
      <c r="K63" s="232" t="s">
        <v>139</v>
      </c>
      <c r="L63" s="232">
        <v>2013</v>
      </c>
      <c r="N63" s="424"/>
    </row>
    <row r="64" spans="1:12" s="409" customFormat="1" ht="50.25" customHeight="1">
      <c r="A64" s="206">
        <v>41</v>
      </c>
      <c r="C64" s="206"/>
      <c r="D64" s="333">
        <v>6050</v>
      </c>
      <c r="E64" s="413" t="s">
        <v>27</v>
      </c>
      <c r="F64" s="288">
        <v>20000</v>
      </c>
      <c r="G64" s="288"/>
      <c r="H64" s="479" t="s">
        <v>404</v>
      </c>
      <c r="I64" s="288">
        <v>20000</v>
      </c>
      <c r="J64" s="288"/>
      <c r="K64" s="232" t="s">
        <v>139</v>
      </c>
      <c r="L64" s="232">
        <v>2013</v>
      </c>
    </row>
    <row r="65" spans="1:12" s="409" customFormat="1" ht="50.25" customHeight="1">
      <c r="A65" s="206">
        <v>42</v>
      </c>
      <c r="C65" s="206"/>
      <c r="D65" s="333">
        <v>6050</v>
      </c>
      <c r="E65" s="413" t="s">
        <v>2</v>
      </c>
      <c r="F65" s="288">
        <v>72000</v>
      </c>
      <c r="G65" s="288"/>
      <c r="H65" s="479" t="s">
        <v>239</v>
      </c>
      <c r="I65" s="288">
        <v>72000</v>
      </c>
      <c r="J65" s="288"/>
      <c r="K65" s="232" t="s">
        <v>86</v>
      </c>
      <c r="L65" s="232">
        <v>2013</v>
      </c>
    </row>
    <row r="66" spans="1:12" ht="38.25" customHeight="1">
      <c r="A66" s="281">
        <v>43</v>
      </c>
      <c r="B66" s="392"/>
      <c r="C66" s="387"/>
      <c r="D66" s="333">
        <v>6060</v>
      </c>
      <c r="E66" s="287" t="s">
        <v>137</v>
      </c>
      <c r="F66" s="475">
        <f>175000+3800+4800-80000+12000-40000</f>
        <v>75600</v>
      </c>
      <c r="G66" s="288">
        <v>0</v>
      </c>
      <c r="H66" s="289" t="s">
        <v>138</v>
      </c>
      <c r="I66" s="475">
        <f>175000+3800+4800-80000+12000-40000</f>
        <v>75600</v>
      </c>
      <c r="J66" s="290">
        <v>0</v>
      </c>
      <c r="K66" s="232" t="s">
        <v>139</v>
      </c>
      <c r="L66" s="291">
        <v>2013</v>
      </c>
    </row>
    <row r="67" spans="1:12" ht="26.25" customHeight="1">
      <c r="A67" s="281"/>
      <c r="B67" s="285"/>
      <c r="C67" s="241">
        <v>75095</v>
      </c>
      <c r="D67" s="277"/>
      <c r="E67" s="283" t="s">
        <v>132</v>
      </c>
      <c r="F67" s="284">
        <f>SUM(F68:F70)</f>
        <v>4180000</v>
      </c>
      <c r="G67" s="284">
        <f>SUM(G68:G70)</f>
        <v>540000</v>
      </c>
      <c r="H67" s="284"/>
      <c r="I67" s="284">
        <f>SUM(I68:I70)</f>
        <v>2690000</v>
      </c>
      <c r="J67" s="284">
        <f>SUM(J68:J70)</f>
        <v>0</v>
      </c>
      <c r="K67" s="245"/>
      <c r="L67" s="245"/>
    </row>
    <row r="68" spans="1:12" ht="38.25" customHeight="1">
      <c r="A68" s="281">
        <v>44</v>
      </c>
      <c r="B68" s="285"/>
      <c r="C68" s="240"/>
      <c r="D68" s="292">
        <v>6050</v>
      </c>
      <c r="E68" s="278" t="s">
        <v>140</v>
      </c>
      <c r="F68" s="262">
        <v>2440000</v>
      </c>
      <c r="G68" s="262">
        <v>540000</v>
      </c>
      <c r="H68" s="252" t="s">
        <v>141</v>
      </c>
      <c r="I68" s="273">
        <v>950000</v>
      </c>
      <c r="J68" s="273">
        <v>0</v>
      </c>
      <c r="K68" s="274" t="s">
        <v>86</v>
      </c>
      <c r="L68" s="274" t="s">
        <v>142</v>
      </c>
    </row>
    <row r="69" spans="1:12" ht="38.25" customHeight="1">
      <c r="A69" s="281">
        <v>45</v>
      </c>
      <c r="B69" s="285"/>
      <c r="C69" s="240"/>
      <c r="D69" s="292">
        <v>6050</v>
      </c>
      <c r="E69" s="278" t="s">
        <v>361</v>
      </c>
      <c r="F69" s="262">
        <v>70000</v>
      </c>
      <c r="G69" s="262"/>
      <c r="H69" s="258" t="s">
        <v>123</v>
      </c>
      <c r="I69" s="273">
        <v>70000</v>
      </c>
      <c r="J69" s="273"/>
      <c r="K69" s="274" t="s">
        <v>86</v>
      </c>
      <c r="L69" s="274">
        <v>2013</v>
      </c>
    </row>
    <row r="70" spans="1:12" ht="41.25" customHeight="1">
      <c r="A70" s="281">
        <v>46</v>
      </c>
      <c r="B70" s="285"/>
      <c r="C70" s="240"/>
      <c r="D70" s="292">
        <v>6050</v>
      </c>
      <c r="E70" s="278" t="s">
        <v>143</v>
      </c>
      <c r="F70" s="262">
        <f>1500000+170000</f>
        <v>1670000</v>
      </c>
      <c r="G70" s="262">
        <v>0</v>
      </c>
      <c r="H70" s="252" t="s">
        <v>144</v>
      </c>
      <c r="I70" s="273">
        <f>500000+1000000+170000</f>
        <v>1670000</v>
      </c>
      <c r="J70" s="273">
        <v>0</v>
      </c>
      <c r="K70" s="274" t="s">
        <v>86</v>
      </c>
      <c r="L70" s="274">
        <v>2013</v>
      </c>
    </row>
    <row r="71" spans="1:12" ht="33.75" customHeight="1">
      <c r="A71" s="293"/>
      <c r="B71" s="235">
        <v>754</v>
      </c>
      <c r="C71" s="235"/>
      <c r="D71" s="235"/>
      <c r="E71" s="294" t="s">
        <v>145</v>
      </c>
      <c r="F71" s="295">
        <f>F72+F74+F76</f>
        <v>71000</v>
      </c>
      <c r="G71" s="295">
        <f>G72+G74+G76</f>
        <v>0</v>
      </c>
      <c r="H71" s="295"/>
      <c r="I71" s="295">
        <f>I72+I74+I76</f>
        <v>71000</v>
      </c>
      <c r="J71" s="295">
        <f>J72+J74+J76</f>
        <v>0</v>
      </c>
      <c r="K71" s="232"/>
      <c r="L71" s="232"/>
    </row>
    <row r="72" spans="1:12" ht="21.75" customHeight="1">
      <c r="A72" s="281"/>
      <c r="B72" s="296"/>
      <c r="C72" s="276">
        <v>75412</v>
      </c>
      <c r="D72" s="276"/>
      <c r="E72" s="297" t="s">
        <v>146</v>
      </c>
      <c r="F72" s="298">
        <f>SUM(F73)</f>
        <v>5000</v>
      </c>
      <c r="G72" s="298">
        <f>SUM(G73)</f>
        <v>0</v>
      </c>
      <c r="H72" s="298"/>
      <c r="I72" s="298">
        <f>SUM(I73)</f>
        <v>5000</v>
      </c>
      <c r="J72" s="298">
        <f>SUM(J73)</f>
        <v>0</v>
      </c>
      <c r="K72" s="245"/>
      <c r="L72" s="245"/>
    </row>
    <row r="73" spans="1:12" ht="31.5" customHeight="1">
      <c r="A73" s="281">
        <v>47</v>
      </c>
      <c r="B73" s="299"/>
      <c r="C73" s="300"/>
      <c r="D73" s="292">
        <v>6060</v>
      </c>
      <c r="E73" s="261" t="s">
        <v>147</v>
      </c>
      <c r="F73" s="262">
        <v>5000</v>
      </c>
      <c r="G73" s="262"/>
      <c r="H73" s="258" t="s">
        <v>148</v>
      </c>
      <c r="I73" s="273">
        <v>5000</v>
      </c>
      <c r="J73" s="273"/>
      <c r="K73" s="232" t="s">
        <v>149</v>
      </c>
      <c r="L73" s="232">
        <v>2013</v>
      </c>
    </row>
    <row r="74" spans="1:12" ht="22.5" customHeight="1">
      <c r="A74" s="281"/>
      <c r="B74" s="296"/>
      <c r="C74" s="276">
        <v>75414</v>
      </c>
      <c r="D74" s="276"/>
      <c r="E74" s="297" t="s">
        <v>150</v>
      </c>
      <c r="F74" s="284">
        <f>SUM(F75)</f>
        <v>16000</v>
      </c>
      <c r="G74" s="284">
        <f>SUM(G75)</f>
        <v>0</v>
      </c>
      <c r="H74" s="284"/>
      <c r="I74" s="284">
        <f>SUM(I75)</f>
        <v>16000</v>
      </c>
      <c r="J74" s="284">
        <f>SUM(J75)</f>
        <v>0</v>
      </c>
      <c r="K74" s="245"/>
      <c r="L74" s="245"/>
    </row>
    <row r="75" spans="1:12" ht="48.75" customHeight="1">
      <c r="A75" s="281">
        <v>48</v>
      </c>
      <c r="B75" s="206"/>
      <c r="C75" s="300"/>
      <c r="D75" s="292">
        <v>6060</v>
      </c>
      <c r="E75" s="261" t="s">
        <v>147</v>
      </c>
      <c r="F75" s="262">
        <v>16000</v>
      </c>
      <c r="G75" s="262">
        <v>0</v>
      </c>
      <c r="H75" s="252" t="s">
        <v>151</v>
      </c>
      <c r="I75" s="301">
        <v>16000</v>
      </c>
      <c r="J75" s="301">
        <v>0</v>
      </c>
      <c r="K75" s="232" t="s">
        <v>149</v>
      </c>
      <c r="L75" s="232">
        <v>2013</v>
      </c>
    </row>
    <row r="76" spans="1:12" s="370" customFormat="1" ht="33" customHeight="1">
      <c r="A76" s="422"/>
      <c r="B76" s="275"/>
      <c r="C76" s="282">
        <v>75495</v>
      </c>
      <c r="D76" s="277"/>
      <c r="E76" s="283" t="s">
        <v>132</v>
      </c>
      <c r="F76" s="244">
        <f>F77</f>
        <v>50000</v>
      </c>
      <c r="G76" s="244">
        <f>G77</f>
        <v>0</v>
      </c>
      <c r="H76" s="244"/>
      <c r="I76" s="244">
        <f>I77</f>
        <v>50000</v>
      </c>
      <c r="J76" s="244">
        <f>J77</f>
        <v>0</v>
      </c>
      <c r="K76" s="245"/>
      <c r="L76" s="245"/>
    </row>
    <row r="77" spans="1:12" ht="48.75" customHeight="1">
      <c r="A77" s="225">
        <v>49</v>
      </c>
      <c r="B77" s="206"/>
      <c r="C77" s="300"/>
      <c r="D77" s="292">
        <v>6050</v>
      </c>
      <c r="E77" s="250" t="s">
        <v>407</v>
      </c>
      <c r="F77" s="367">
        <v>50000</v>
      </c>
      <c r="G77" s="367"/>
      <c r="H77" s="367" t="s">
        <v>375</v>
      </c>
      <c r="I77" s="367">
        <v>50000</v>
      </c>
      <c r="J77" s="367"/>
      <c r="K77" s="232" t="s">
        <v>376</v>
      </c>
      <c r="L77" s="232">
        <v>2013</v>
      </c>
    </row>
    <row r="78" spans="1:12" ht="21.75" customHeight="1">
      <c r="A78" s="393"/>
      <c r="B78" s="235">
        <v>758</v>
      </c>
      <c r="C78" s="235"/>
      <c r="D78" s="236"/>
      <c r="E78" s="268" t="s">
        <v>377</v>
      </c>
      <c r="F78" s="269">
        <f>F79</f>
        <v>146802</v>
      </c>
      <c r="G78" s="269">
        <f aca="true" t="shared" si="0" ref="G78:J79">G79</f>
        <v>0</v>
      </c>
      <c r="H78" s="269"/>
      <c r="I78" s="269">
        <f t="shared" si="0"/>
        <v>146802</v>
      </c>
      <c r="J78" s="269">
        <f t="shared" si="0"/>
        <v>0</v>
      </c>
      <c r="K78" s="232"/>
      <c r="L78" s="232"/>
    </row>
    <row r="79" spans="1:12" ht="22.5" customHeight="1">
      <c r="A79" s="394"/>
      <c r="B79" s="302"/>
      <c r="C79" s="282">
        <v>75818</v>
      </c>
      <c r="D79" s="277"/>
      <c r="E79" s="283" t="s">
        <v>378</v>
      </c>
      <c r="F79" s="284">
        <f>F80</f>
        <v>146802</v>
      </c>
      <c r="G79" s="284">
        <f t="shared" si="0"/>
        <v>0</v>
      </c>
      <c r="H79" s="284"/>
      <c r="I79" s="284">
        <f t="shared" si="0"/>
        <v>146802</v>
      </c>
      <c r="J79" s="284">
        <f t="shared" si="0"/>
        <v>0</v>
      </c>
      <c r="K79" s="245"/>
      <c r="L79" s="245"/>
    </row>
    <row r="80" spans="1:12" ht="32.25" customHeight="1">
      <c r="A80" s="394"/>
      <c r="B80" s="299"/>
      <c r="C80" s="300"/>
      <c r="D80" s="292">
        <v>6800</v>
      </c>
      <c r="E80" s="303" t="s">
        <v>152</v>
      </c>
      <c r="F80" s="304">
        <f>200000-85000-23233+23233+61802-30000</f>
        <v>146802</v>
      </c>
      <c r="G80" s="304"/>
      <c r="H80" s="252"/>
      <c r="I80" s="363">
        <f>200000-85000-23233+23233+61802-30000</f>
        <v>146802</v>
      </c>
      <c r="J80" s="301">
        <f>500000-500000</f>
        <v>0</v>
      </c>
      <c r="K80" s="232"/>
      <c r="L80" s="232"/>
    </row>
    <row r="81" spans="1:12" ht="24.75" customHeight="1">
      <c r="A81" s="305"/>
      <c r="B81" s="235">
        <v>801</v>
      </c>
      <c r="C81" s="300"/>
      <c r="D81" s="292"/>
      <c r="E81" s="279" t="s">
        <v>153</v>
      </c>
      <c r="F81" s="280">
        <f>F82+F92+F103+F106+F109</f>
        <v>8921790</v>
      </c>
      <c r="G81" s="280">
        <f>G82+G92+G103+G106+G109</f>
        <v>143284</v>
      </c>
      <c r="H81" s="280"/>
      <c r="I81" s="280">
        <f>I82+I92+I103+I106+I109</f>
        <v>8778506</v>
      </c>
      <c r="J81" s="280">
        <f>J82+J92+J103+J106+J109</f>
        <v>1021000</v>
      </c>
      <c r="K81" s="232"/>
      <c r="L81" s="232"/>
    </row>
    <row r="82" spans="1:12" ht="28.5" customHeight="1">
      <c r="A82" s="281"/>
      <c r="B82" s="296"/>
      <c r="C82" s="240">
        <v>80101</v>
      </c>
      <c r="D82" s="277"/>
      <c r="E82" s="283" t="s">
        <v>154</v>
      </c>
      <c r="F82" s="284">
        <f>SUM(F83:F91)</f>
        <v>1086399</v>
      </c>
      <c r="G82" s="284">
        <f>SUM(G83:G91)</f>
        <v>0</v>
      </c>
      <c r="H82" s="284"/>
      <c r="I82" s="284">
        <f>SUM(I83:I91)</f>
        <v>1086399</v>
      </c>
      <c r="J82" s="284">
        <f>SUM(J83:J91)</f>
        <v>0</v>
      </c>
      <c r="K82" s="245"/>
      <c r="L82" s="245"/>
    </row>
    <row r="83" spans="1:12" ht="55.5" customHeight="1">
      <c r="A83" s="281">
        <v>50</v>
      </c>
      <c r="B83" s="306"/>
      <c r="C83" s="198"/>
      <c r="D83" s="265">
        <v>6050</v>
      </c>
      <c r="E83" s="261" t="s">
        <v>155</v>
      </c>
      <c r="F83" s="262">
        <f>114000+1450+115450</f>
        <v>230900</v>
      </c>
      <c r="G83" s="262"/>
      <c r="H83" s="252" t="s">
        <v>156</v>
      </c>
      <c r="I83" s="262">
        <f>114000+1450+115450</f>
        <v>230900</v>
      </c>
      <c r="J83" s="301"/>
      <c r="K83" s="307" t="s">
        <v>354</v>
      </c>
      <c r="L83" s="274">
        <v>2013</v>
      </c>
    </row>
    <row r="84" spans="1:12" ht="57" customHeight="1">
      <c r="A84" s="281">
        <v>51</v>
      </c>
      <c r="B84" s="306"/>
      <c r="C84" s="206"/>
      <c r="D84" s="265">
        <v>6050</v>
      </c>
      <c r="E84" s="261" t="s">
        <v>424</v>
      </c>
      <c r="F84" s="262">
        <f>114000+1450+115450</f>
        <v>230900</v>
      </c>
      <c r="G84" s="262"/>
      <c r="H84" s="252" t="s">
        <v>156</v>
      </c>
      <c r="I84" s="262">
        <f>114000+1450+115450</f>
        <v>230900</v>
      </c>
      <c r="J84" s="266"/>
      <c r="K84" s="307" t="s">
        <v>355</v>
      </c>
      <c r="L84" s="274">
        <v>2013</v>
      </c>
    </row>
    <row r="85" spans="1:12" ht="54" customHeight="1">
      <c r="A85" s="281">
        <v>52</v>
      </c>
      <c r="B85" s="306"/>
      <c r="C85" s="206"/>
      <c r="D85" s="265">
        <v>6050</v>
      </c>
      <c r="E85" s="261" t="s">
        <v>425</v>
      </c>
      <c r="F85" s="262">
        <f>114000+1450+115450</f>
        <v>230900</v>
      </c>
      <c r="G85" s="262"/>
      <c r="H85" s="252" t="s">
        <v>156</v>
      </c>
      <c r="I85" s="262">
        <f>114000+1450+115450</f>
        <v>230900</v>
      </c>
      <c r="J85" s="266"/>
      <c r="K85" s="307" t="s">
        <v>355</v>
      </c>
      <c r="L85" s="274">
        <v>2013</v>
      </c>
    </row>
    <row r="86" spans="1:12" ht="57" customHeight="1">
      <c r="A86" s="281">
        <v>53</v>
      </c>
      <c r="B86" s="306"/>
      <c r="C86" s="206"/>
      <c r="D86" s="265">
        <v>6050</v>
      </c>
      <c r="E86" s="261" t="s">
        <v>426</v>
      </c>
      <c r="F86" s="262">
        <f>114000+1450+115450</f>
        <v>230900</v>
      </c>
      <c r="G86" s="262"/>
      <c r="H86" s="252" t="s">
        <v>156</v>
      </c>
      <c r="I86" s="262">
        <f>114000+1450+115450</f>
        <v>230900</v>
      </c>
      <c r="J86" s="266"/>
      <c r="K86" s="307" t="s">
        <v>356</v>
      </c>
      <c r="L86" s="274">
        <v>2013</v>
      </c>
    </row>
    <row r="87" spans="1:12" ht="44.25" customHeight="1">
      <c r="A87" s="281">
        <v>54</v>
      </c>
      <c r="B87" s="306"/>
      <c r="C87" s="206"/>
      <c r="D87" s="265">
        <v>6050</v>
      </c>
      <c r="E87" s="261" t="s">
        <v>157</v>
      </c>
      <c r="F87" s="262">
        <f>60000-23233</f>
        <v>36767</v>
      </c>
      <c r="G87" s="262"/>
      <c r="H87" s="258" t="s">
        <v>158</v>
      </c>
      <c r="I87" s="262">
        <f>60000-23233</f>
        <v>36767</v>
      </c>
      <c r="J87" s="266"/>
      <c r="K87" s="307" t="s">
        <v>86</v>
      </c>
      <c r="L87" s="274">
        <v>2013</v>
      </c>
    </row>
    <row r="88" spans="1:12" ht="44.25" customHeight="1">
      <c r="A88" s="281">
        <v>55</v>
      </c>
      <c r="B88" s="306"/>
      <c r="C88" s="206"/>
      <c r="D88" s="265">
        <v>6050</v>
      </c>
      <c r="E88" s="261" t="s">
        <v>263</v>
      </c>
      <c r="F88" s="262">
        <v>60000</v>
      </c>
      <c r="G88" s="262"/>
      <c r="H88" s="258" t="s">
        <v>264</v>
      </c>
      <c r="I88" s="262">
        <v>60000</v>
      </c>
      <c r="J88" s="266"/>
      <c r="K88" s="307" t="s">
        <v>183</v>
      </c>
      <c r="L88" s="274">
        <v>2013</v>
      </c>
    </row>
    <row r="89" spans="1:12" ht="44.25" customHeight="1">
      <c r="A89" s="281">
        <v>56</v>
      </c>
      <c r="B89" s="306"/>
      <c r="C89" s="206"/>
      <c r="D89" s="265">
        <v>6050</v>
      </c>
      <c r="E89" s="261" t="s">
        <v>349</v>
      </c>
      <c r="F89" s="262">
        <v>11032</v>
      </c>
      <c r="G89" s="262"/>
      <c r="H89" s="258" t="s">
        <v>235</v>
      </c>
      <c r="I89" s="262">
        <v>11032</v>
      </c>
      <c r="J89" s="266"/>
      <c r="K89" s="307" t="s">
        <v>354</v>
      </c>
      <c r="L89" s="274">
        <v>2013</v>
      </c>
    </row>
    <row r="90" spans="1:12" ht="52.5" customHeight="1">
      <c r="A90" s="281">
        <v>57</v>
      </c>
      <c r="B90" s="306"/>
      <c r="C90" s="206"/>
      <c r="D90" s="265">
        <v>6060</v>
      </c>
      <c r="E90" s="261" t="s">
        <v>379</v>
      </c>
      <c r="F90" s="262">
        <v>51000</v>
      </c>
      <c r="G90" s="262"/>
      <c r="H90" s="258" t="s">
        <v>72</v>
      </c>
      <c r="I90" s="262">
        <v>51000</v>
      </c>
      <c r="J90" s="266"/>
      <c r="K90" s="307" t="s">
        <v>380</v>
      </c>
      <c r="L90" s="274">
        <v>2013</v>
      </c>
    </row>
    <row r="91" spans="1:12" ht="39.75" customHeight="1">
      <c r="A91" s="281">
        <v>58</v>
      </c>
      <c r="B91" s="306"/>
      <c r="C91" s="206"/>
      <c r="D91" s="265">
        <v>6060</v>
      </c>
      <c r="E91" s="261" t="s">
        <v>25</v>
      </c>
      <c r="F91" s="262">
        <v>4000</v>
      </c>
      <c r="G91" s="262"/>
      <c r="H91" s="258" t="s">
        <v>405</v>
      </c>
      <c r="I91" s="262">
        <v>4000</v>
      </c>
      <c r="J91" s="266"/>
      <c r="K91" s="307" t="s">
        <v>26</v>
      </c>
      <c r="L91" s="274">
        <v>2013</v>
      </c>
    </row>
    <row r="92" spans="1:12" ht="25.5" customHeight="1">
      <c r="A92" s="281"/>
      <c r="B92" s="308"/>
      <c r="C92" s="241">
        <v>80104</v>
      </c>
      <c r="D92" s="242"/>
      <c r="E92" s="243" t="s">
        <v>160</v>
      </c>
      <c r="F92" s="244">
        <f>SUM(F93:F102)</f>
        <v>1215041</v>
      </c>
      <c r="G92" s="244">
        <f>SUM(G93:G102)</f>
        <v>130000</v>
      </c>
      <c r="H92" s="244"/>
      <c r="I92" s="244">
        <f>SUM(I93:I102)</f>
        <v>1085041</v>
      </c>
      <c r="J92" s="244">
        <f>SUM(J93:J102)</f>
        <v>180000</v>
      </c>
      <c r="K92" s="245"/>
      <c r="L92" s="245"/>
    </row>
    <row r="93" spans="1:12" ht="35.25" customHeight="1">
      <c r="A93" s="281">
        <v>59</v>
      </c>
      <c r="B93" s="308"/>
      <c r="C93" s="275"/>
      <c r="D93" s="265">
        <v>6050</v>
      </c>
      <c r="E93" s="261" t="s">
        <v>161</v>
      </c>
      <c r="F93" s="262">
        <f>660000+9041+9000+20000+40400</f>
        <v>738441</v>
      </c>
      <c r="G93" s="262">
        <v>130000</v>
      </c>
      <c r="H93" s="309" t="s">
        <v>162</v>
      </c>
      <c r="I93" s="262">
        <f>530000+9041+9000+20000+40400</f>
        <v>608441</v>
      </c>
      <c r="J93" s="262">
        <v>0</v>
      </c>
      <c r="K93" s="232" t="s">
        <v>86</v>
      </c>
      <c r="L93" s="232" t="s">
        <v>87</v>
      </c>
    </row>
    <row r="94" spans="1:12" ht="32.25" customHeight="1">
      <c r="A94" s="281">
        <v>60</v>
      </c>
      <c r="B94" s="306"/>
      <c r="C94" s="206"/>
      <c r="D94" s="265">
        <v>6050</v>
      </c>
      <c r="E94" s="261" t="s">
        <v>163</v>
      </c>
      <c r="F94" s="262">
        <v>50000</v>
      </c>
      <c r="G94" s="262">
        <v>0</v>
      </c>
      <c r="H94" s="258" t="s">
        <v>164</v>
      </c>
      <c r="I94" s="257">
        <v>50000</v>
      </c>
      <c r="J94" s="266">
        <v>0</v>
      </c>
      <c r="K94" s="232" t="s">
        <v>165</v>
      </c>
      <c r="L94" s="232">
        <v>2013</v>
      </c>
    </row>
    <row r="95" spans="1:12" ht="40.5" customHeight="1">
      <c r="A95" s="281">
        <v>61</v>
      </c>
      <c r="B95" s="306"/>
      <c r="C95" s="206"/>
      <c r="D95" s="265">
        <v>6050</v>
      </c>
      <c r="E95" s="261" t="s">
        <v>83</v>
      </c>
      <c r="F95" s="262">
        <v>11500</v>
      </c>
      <c r="G95" s="262">
        <v>0</v>
      </c>
      <c r="H95" s="258" t="s">
        <v>84</v>
      </c>
      <c r="I95" s="257">
        <v>11500</v>
      </c>
      <c r="J95" s="266">
        <v>0</v>
      </c>
      <c r="K95" s="232" t="s">
        <v>167</v>
      </c>
      <c r="L95" s="232">
        <v>2013</v>
      </c>
    </row>
    <row r="96" spans="1:12" ht="34.5" customHeight="1">
      <c r="A96" s="281">
        <v>62</v>
      </c>
      <c r="B96" s="306"/>
      <c r="C96" s="206"/>
      <c r="D96" s="265">
        <v>6050</v>
      </c>
      <c r="E96" s="261" t="s">
        <v>168</v>
      </c>
      <c r="F96" s="262">
        <v>11500</v>
      </c>
      <c r="G96" s="262">
        <v>0</v>
      </c>
      <c r="H96" s="258" t="s">
        <v>166</v>
      </c>
      <c r="I96" s="257">
        <v>11500</v>
      </c>
      <c r="J96" s="266">
        <v>0</v>
      </c>
      <c r="K96" s="232" t="s">
        <v>165</v>
      </c>
      <c r="L96" s="232">
        <v>2013</v>
      </c>
    </row>
    <row r="97" spans="1:12" ht="34.5" customHeight="1">
      <c r="A97" s="281">
        <v>63</v>
      </c>
      <c r="B97" s="306"/>
      <c r="C97" s="206"/>
      <c r="D97" s="265">
        <v>6050</v>
      </c>
      <c r="E97" s="250" t="s">
        <v>169</v>
      </c>
      <c r="F97" s="262">
        <v>180000</v>
      </c>
      <c r="G97" s="262"/>
      <c r="H97" s="258" t="s">
        <v>170</v>
      </c>
      <c r="I97" s="257">
        <v>180000</v>
      </c>
      <c r="J97" s="266">
        <v>180000</v>
      </c>
      <c r="K97" s="232" t="s">
        <v>171</v>
      </c>
      <c r="L97" s="232">
        <v>2013</v>
      </c>
    </row>
    <row r="98" spans="1:12" ht="34.5" customHeight="1">
      <c r="A98" s="281">
        <v>64</v>
      </c>
      <c r="B98" s="306"/>
      <c r="C98" s="206"/>
      <c r="D98" s="265">
        <v>6050</v>
      </c>
      <c r="E98" s="261" t="s">
        <v>172</v>
      </c>
      <c r="F98" s="262">
        <f>4674+185326-40400</f>
        <v>149600</v>
      </c>
      <c r="G98" s="262"/>
      <c r="H98" s="258" t="s">
        <v>173</v>
      </c>
      <c r="I98" s="262">
        <f>185326+4674-40400</f>
        <v>149600</v>
      </c>
      <c r="J98" s="266"/>
      <c r="K98" s="232" t="s">
        <v>86</v>
      </c>
      <c r="L98" s="232">
        <v>2013</v>
      </c>
    </row>
    <row r="99" spans="1:12" ht="44.25" customHeight="1">
      <c r="A99" s="281">
        <v>65</v>
      </c>
      <c r="B99" s="306"/>
      <c r="C99" s="206"/>
      <c r="D99" s="265">
        <v>6050</v>
      </c>
      <c r="E99" s="261" t="s">
        <v>409</v>
      </c>
      <c r="F99" s="262">
        <v>42000</v>
      </c>
      <c r="G99" s="262"/>
      <c r="H99" s="258" t="s">
        <v>73</v>
      </c>
      <c r="I99" s="262">
        <v>42000</v>
      </c>
      <c r="J99" s="266"/>
      <c r="K99" s="232" t="s">
        <v>195</v>
      </c>
      <c r="L99" s="232">
        <v>2013</v>
      </c>
    </row>
    <row r="100" spans="1:12" ht="41.25" customHeight="1">
      <c r="A100" s="281">
        <v>66</v>
      </c>
      <c r="B100" s="306"/>
      <c r="C100" s="206"/>
      <c r="D100" s="265">
        <v>6050</v>
      </c>
      <c r="E100" s="261" t="s">
        <v>410</v>
      </c>
      <c r="F100" s="262">
        <f>12000+4500</f>
        <v>16500</v>
      </c>
      <c r="G100" s="262"/>
      <c r="H100" s="258" t="s">
        <v>74</v>
      </c>
      <c r="I100" s="262">
        <f>12000+4500</f>
        <v>16500</v>
      </c>
      <c r="J100" s="266"/>
      <c r="K100" s="232" t="s">
        <v>195</v>
      </c>
      <c r="L100" s="232">
        <v>2013</v>
      </c>
    </row>
    <row r="101" spans="1:12" ht="41.25" customHeight="1">
      <c r="A101" s="281">
        <v>67</v>
      </c>
      <c r="B101" s="306"/>
      <c r="C101" s="206"/>
      <c r="D101" s="265">
        <v>6050</v>
      </c>
      <c r="E101" s="261" t="s">
        <v>344</v>
      </c>
      <c r="F101" s="262">
        <v>10000</v>
      </c>
      <c r="G101" s="262"/>
      <c r="H101" s="258" t="s">
        <v>401</v>
      </c>
      <c r="I101" s="262">
        <v>10000</v>
      </c>
      <c r="J101" s="266"/>
      <c r="K101" s="232" t="s">
        <v>176</v>
      </c>
      <c r="L101" s="232">
        <v>2013</v>
      </c>
    </row>
    <row r="102" spans="1:12" ht="34.5" customHeight="1">
      <c r="A102" s="281">
        <v>68</v>
      </c>
      <c r="B102" s="306"/>
      <c r="C102" s="206"/>
      <c r="D102" s="265">
        <v>6060</v>
      </c>
      <c r="E102" s="261" t="s">
        <v>174</v>
      </c>
      <c r="F102" s="262">
        <v>5500</v>
      </c>
      <c r="G102" s="262">
        <v>0</v>
      </c>
      <c r="H102" s="258" t="s">
        <v>175</v>
      </c>
      <c r="I102" s="257">
        <v>5500</v>
      </c>
      <c r="J102" s="266">
        <v>0</v>
      </c>
      <c r="K102" s="232" t="s">
        <v>176</v>
      </c>
      <c r="L102" s="232">
        <v>2013</v>
      </c>
    </row>
    <row r="103" spans="1:12" ht="27" customHeight="1">
      <c r="A103" s="281"/>
      <c r="B103" s="306"/>
      <c r="C103" s="276">
        <v>80110</v>
      </c>
      <c r="D103" s="242"/>
      <c r="E103" s="243" t="s">
        <v>177</v>
      </c>
      <c r="F103" s="244">
        <f>SUM(F104+F105)</f>
        <v>61000</v>
      </c>
      <c r="G103" s="244">
        <f>SUM(G104+G105)</f>
        <v>0</v>
      </c>
      <c r="H103" s="244"/>
      <c r="I103" s="244">
        <f>SUM(I104+I105)</f>
        <v>61000</v>
      </c>
      <c r="J103" s="244">
        <f>SUM(J104+J105)</f>
        <v>0</v>
      </c>
      <c r="K103" s="245"/>
      <c r="L103" s="245"/>
    </row>
    <row r="104" spans="1:12" s="409" customFormat="1" ht="34.5" customHeight="1">
      <c r="A104" s="281">
        <v>69</v>
      </c>
      <c r="B104" s="306"/>
      <c r="C104" s="206"/>
      <c r="D104" s="310">
        <v>6050</v>
      </c>
      <c r="E104" s="261" t="s">
        <v>381</v>
      </c>
      <c r="F104" s="262">
        <f>70000-15000</f>
        <v>55000</v>
      </c>
      <c r="G104" s="262"/>
      <c r="H104" s="262" t="s">
        <v>75</v>
      </c>
      <c r="I104" s="262">
        <f>70000-15000</f>
        <v>55000</v>
      </c>
      <c r="J104" s="262"/>
      <c r="K104" s="232" t="s">
        <v>86</v>
      </c>
      <c r="L104" s="232">
        <v>2013</v>
      </c>
    </row>
    <row r="105" spans="1:12" ht="34.5" customHeight="1">
      <c r="A105" s="281">
        <v>70</v>
      </c>
      <c r="B105" s="306"/>
      <c r="C105" s="206"/>
      <c r="D105" s="310">
        <v>6060</v>
      </c>
      <c r="E105" s="261" t="s">
        <v>178</v>
      </c>
      <c r="F105" s="262">
        <v>6000</v>
      </c>
      <c r="G105" s="262">
        <v>0</v>
      </c>
      <c r="H105" s="258" t="s">
        <v>159</v>
      </c>
      <c r="I105" s="257">
        <v>6000</v>
      </c>
      <c r="J105" s="266">
        <v>0</v>
      </c>
      <c r="K105" s="232" t="s">
        <v>179</v>
      </c>
      <c r="L105" s="232">
        <v>2013</v>
      </c>
    </row>
    <row r="106" spans="1:12" ht="27" customHeight="1">
      <c r="A106" s="281"/>
      <c r="B106" s="236"/>
      <c r="C106" s="276">
        <v>80148</v>
      </c>
      <c r="D106" s="242"/>
      <c r="E106" s="243" t="s">
        <v>180</v>
      </c>
      <c r="F106" s="262">
        <f>F107+F108</f>
        <v>12150</v>
      </c>
      <c r="G106" s="262">
        <f>G107+G108</f>
        <v>0</v>
      </c>
      <c r="H106" s="262"/>
      <c r="I106" s="262">
        <f>I107+I108</f>
        <v>12150</v>
      </c>
      <c r="J106" s="262">
        <f>J107+J108</f>
        <v>0</v>
      </c>
      <c r="K106" s="232"/>
      <c r="L106" s="232"/>
    </row>
    <row r="107" spans="1:12" ht="39.75" customHeight="1">
      <c r="A107" s="281">
        <v>71</v>
      </c>
      <c r="B107" s="306"/>
      <c r="C107" s="206"/>
      <c r="D107" s="265">
        <v>6060</v>
      </c>
      <c r="E107" s="261" t="s">
        <v>350</v>
      </c>
      <c r="F107" s="262">
        <v>5650</v>
      </c>
      <c r="G107" s="262"/>
      <c r="H107" s="258" t="s">
        <v>223</v>
      </c>
      <c r="I107" s="262">
        <v>5650</v>
      </c>
      <c r="J107" s="266"/>
      <c r="K107" s="307" t="s">
        <v>256</v>
      </c>
      <c r="L107" s="274">
        <v>2013</v>
      </c>
    </row>
    <row r="108" spans="1:12" ht="27.75" customHeight="1">
      <c r="A108" s="281">
        <v>72</v>
      </c>
      <c r="B108" s="306"/>
      <c r="C108" s="206"/>
      <c r="D108" s="265">
        <v>6060</v>
      </c>
      <c r="E108" s="261" t="s">
        <v>181</v>
      </c>
      <c r="F108" s="262">
        <v>6500</v>
      </c>
      <c r="G108" s="262"/>
      <c r="H108" s="261" t="s">
        <v>182</v>
      </c>
      <c r="I108" s="262">
        <v>6500</v>
      </c>
      <c r="J108" s="266"/>
      <c r="K108" s="307" t="s">
        <v>183</v>
      </c>
      <c r="L108" s="274">
        <v>2013</v>
      </c>
    </row>
    <row r="109" spans="1:12" ht="23.25" customHeight="1">
      <c r="A109" s="281"/>
      <c r="B109" s="306"/>
      <c r="C109" s="276">
        <v>80195</v>
      </c>
      <c r="D109" s="242"/>
      <c r="E109" s="243" t="s">
        <v>132</v>
      </c>
      <c r="F109" s="244">
        <f>SUM(F110)</f>
        <v>6547200</v>
      </c>
      <c r="G109" s="244">
        <f>SUM(G110:G110)</f>
        <v>13284</v>
      </c>
      <c r="H109" s="311"/>
      <c r="I109" s="244">
        <f>SUM(I110)</f>
        <v>6533916</v>
      </c>
      <c r="J109" s="244">
        <f>SUM(J110:J110)</f>
        <v>841000</v>
      </c>
      <c r="K109" s="232"/>
      <c r="L109" s="232"/>
    </row>
    <row r="110" spans="1:12" ht="33.75" customHeight="1">
      <c r="A110" s="281">
        <v>73</v>
      </c>
      <c r="B110" s="306"/>
      <c r="C110" s="206"/>
      <c r="D110" s="310">
        <v>6050</v>
      </c>
      <c r="E110" s="250" t="s">
        <v>184</v>
      </c>
      <c r="F110" s="262">
        <f>5676200+13000+828000+30000</f>
        <v>6547200</v>
      </c>
      <c r="G110" s="262">
        <f>5034600-5021316</f>
        <v>13284</v>
      </c>
      <c r="H110" s="252" t="s">
        <v>185</v>
      </c>
      <c r="I110" s="266">
        <f>641600+5021316+13000+828000+30000</f>
        <v>6533916</v>
      </c>
      <c r="J110" s="266">
        <f>828000+13000</f>
        <v>841000</v>
      </c>
      <c r="K110" s="232" t="s">
        <v>86</v>
      </c>
      <c r="L110" s="232" t="s">
        <v>87</v>
      </c>
    </row>
    <row r="111" spans="1:12" s="317" customFormat="1" ht="24.75" customHeight="1">
      <c r="A111" s="312"/>
      <c r="B111" s="236">
        <v>851</v>
      </c>
      <c r="C111" s="235"/>
      <c r="D111" s="313"/>
      <c r="E111" s="314" t="s">
        <v>186</v>
      </c>
      <c r="F111" s="269">
        <f>F112+F114</f>
        <v>106099</v>
      </c>
      <c r="G111" s="269">
        <f>G112+G114</f>
        <v>0</v>
      </c>
      <c r="H111" s="269"/>
      <c r="I111" s="269">
        <f>I112+I114</f>
        <v>106099</v>
      </c>
      <c r="J111" s="269">
        <f>J112+J114</f>
        <v>0</v>
      </c>
      <c r="K111" s="316"/>
      <c r="L111" s="316"/>
    </row>
    <row r="112" spans="1:12" s="409" customFormat="1" ht="24.75" customHeight="1">
      <c r="A112" s="318"/>
      <c r="B112" s="332"/>
      <c r="C112" s="263">
        <v>85111</v>
      </c>
      <c r="D112" s="264"/>
      <c r="E112" s="250" t="s">
        <v>382</v>
      </c>
      <c r="F112" s="262">
        <f>F113</f>
        <v>100000</v>
      </c>
      <c r="G112" s="262">
        <f>G113</f>
        <v>0</v>
      </c>
      <c r="H112" s="262"/>
      <c r="I112" s="262">
        <f>I113</f>
        <v>100000</v>
      </c>
      <c r="J112" s="262">
        <f>J113</f>
        <v>0</v>
      </c>
      <c r="K112" s="232"/>
      <c r="L112" s="232"/>
    </row>
    <row r="113" spans="1:12" s="409" customFormat="1" ht="68.25" customHeight="1">
      <c r="A113" s="318">
        <v>74</v>
      </c>
      <c r="B113" s="332"/>
      <c r="C113" s="263"/>
      <c r="D113" s="264">
        <v>6220</v>
      </c>
      <c r="E113" s="250" t="s">
        <v>397</v>
      </c>
      <c r="F113" s="262">
        <v>100000</v>
      </c>
      <c r="G113" s="262"/>
      <c r="H113" s="258" t="s">
        <v>76</v>
      </c>
      <c r="I113" s="262">
        <v>100000</v>
      </c>
      <c r="J113" s="266"/>
      <c r="K113" s="232" t="s">
        <v>383</v>
      </c>
      <c r="L113" s="232">
        <v>2013</v>
      </c>
    </row>
    <row r="114" spans="1:12" ht="29.25" customHeight="1">
      <c r="A114" s="318"/>
      <c r="B114" s="306"/>
      <c r="C114" s="263">
        <v>85158</v>
      </c>
      <c r="D114" s="263"/>
      <c r="E114" s="319" t="s">
        <v>187</v>
      </c>
      <c r="F114" s="262">
        <f>F115</f>
        <v>6099</v>
      </c>
      <c r="G114" s="262"/>
      <c r="H114" s="258"/>
      <c r="I114" s="262">
        <f>I115</f>
        <v>6099</v>
      </c>
      <c r="J114" s="266"/>
      <c r="K114" s="232"/>
      <c r="L114" s="232"/>
    </row>
    <row r="115" spans="1:12" ht="29.25" customHeight="1">
      <c r="A115" s="318">
        <v>75</v>
      </c>
      <c r="B115" s="306"/>
      <c r="C115" s="206"/>
      <c r="D115" s="265">
        <v>6060</v>
      </c>
      <c r="E115" s="261" t="s">
        <v>188</v>
      </c>
      <c r="F115" s="262">
        <f>20000-13901</f>
        <v>6099</v>
      </c>
      <c r="G115" s="262"/>
      <c r="H115" s="258" t="s">
        <v>189</v>
      </c>
      <c r="I115" s="266">
        <f>20000-13901</f>
        <v>6099</v>
      </c>
      <c r="J115" s="266"/>
      <c r="K115" s="232" t="s">
        <v>190</v>
      </c>
      <c r="L115" s="232">
        <v>2013</v>
      </c>
    </row>
    <row r="116" spans="1:12" ht="31.5" customHeight="1">
      <c r="A116" s="281"/>
      <c r="B116" s="235">
        <v>853</v>
      </c>
      <c r="C116" s="263"/>
      <c r="D116" s="310"/>
      <c r="E116" s="315" t="s">
        <v>191</v>
      </c>
      <c r="F116" s="269">
        <f>F117+F119</f>
        <v>3492669.92</v>
      </c>
      <c r="G116" s="269">
        <f>G117+G119</f>
        <v>3163369.92</v>
      </c>
      <c r="H116" s="269"/>
      <c r="I116" s="269">
        <f>I117+I119</f>
        <v>1929300</v>
      </c>
      <c r="J116" s="269">
        <f>J117+J119</f>
        <v>0</v>
      </c>
      <c r="K116" s="316"/>
      <c r="L116" s="316"/>
    </row>
    <row r="117" spans="1:12" s="370" customFormat="1" ht="31.5" customHeight="1">
      <c r="A117" s="476"/>
      <c r="B117" s="276"/>
      <c r="C117" s="276">
        <v>85305</v>
      </c>
      <c r="D117" s="320"/>
      <c r="E117" s="243" t="s">
        <v>109</v>
      </c>
      <c r="F117" s="244">
        <f>F118</f>
        <v>20000</v>
      </c>
      <c r="G117" s="244">
        <f>G118</f>
        <v>0</v>
      </c>
      <c r="H117" s="244"/>
      <c r="I117" s="244">
        <f>I118</f>
        <v>20000</v>
      </c>
      <c r="J117" s="244">
        <f>J118</f>
        <v>0</v>
      </c>
      <c r="K117" s="245"/>
      <c r="L117" s="245"/>
    </row>
    <row r="118" spans="1:12" ht="48" customHeight="1">
      <c r="A118" s="281">
        <v>76</v>
      </c>
      <c r="B118" s="235"/>
      <c r="C118" s="263"/>
      <c r="D118" s="310">
        <v>6050</v>
      </c>
      <c r="E118" s="258" t="s">
        <v>107</v>
      </c>
      <c r="F118" s="262">
        <v>20000</v>
      </c>
      <c r="G118" s="262"/>
      <c r="H118" s="262" t="s">
        <v>108</v>
      </c>
      <c r="I118" s="262">
        <v>20000</v>
      </c>
      <c r="J118" s="262"/>
      <c r="K118" s="232"/>
      <c r="L118" s="232"/>
    </row>
    <row r="119" spans="1:12" ht="27" customHeight="1">
      <c r="A119" s="281"/>
      <c r="B119" s="235"/>
      <c r="C119" s="276">
        <v>85395</v>
      </c>
      <c r="D119" s="320"/>
      <c r="E119" s="243" t="s">
        <v>192</v>
      </c>
      <c r="F119" s="244">
        <f>SUM(F120:F130)</f>
        <v>3472669.92</v>
      </c>
      <c r="G119" s="244">
        <f>SUM(G120:G130)</f>
        <v>3163369.92</v>
      </c>
      <c r="H119" s="244"/>
      <c r="I119" s="244">
        <f>SUM(I120:I130)</f>
        <v>1909300</v>
      </c>
      <c r="J119" s="244">
        <f>SUM(J120:J130)</f>
        <v>0</v>
      </c>
      <c r="K119" s="245"/>
      <c r="L119" s="245"/>
    </row>
    <row r="120" spans="1:14" s="409" customFormat="1" ht="40.5" customHeight="1">
      <c r="A120" s="281">
        <v>77</v>
      </c>
      <c r="B120" s="235"/>
      <c r="C120" s="272"/>
      <c r="D120" s="310">
        <v>6057</v>
      </c>
      <c r="E120" s="261" t="s">
        <v>410</v>
      </c>
      <c r="F120" s="262">
        <v>13000</v>
      </c>
      <c r="G120" s="262"/>
      <c r="H120" s="258" t="s">
        <v>74</v>
      </c>
      <c r="I120" s="262">
        <v>13000</v>
      </c>
      <c r="J120" s="262"/>
      <c r="K120" s="291" t="s">
        <v>195</v>
      </c>
      <c r="L120" s="232">
        <v>2013</v>
      </c>
      <c r="N120" s="425"/>
    </row>
    <row r="121" spans="1:12" ht="38.25" customHeight="1">
      <c r="A121" s="281">
        <v>78</v>
      </c>
      <c r="B121" s="235"/>
      <c r="C121" s="240"/>
      <c r="D121" s="321">
        <v>6067</v>
      </c>
      <c r="E121" s="322" t="s">
        <v>193</v>
      </c>
      <c r="F121" s="324">
        <f>18000-1000</f>
        <v>17000</v>
      </c>
      <c r="G121" s="244"/>
      <c r="H121" s="323" t="s">
        <v>194</v>
      </c>
      <c r="I121" s="324">
        <f>18000-1000</f>
        <v>17000</v>
      </c>
      <c r="J121" s="244"/>
      <c r="K121" s="291" t="s">
        <v>195</v>
      </c>
      <c r="L121" s="232">
        <v>2013</v>
      </c>
    </row>
    <row r="122" spans="1:12" ht="40.5" customHeight="1">
      <c r="A122" s="281">
        <v>79</v>
      </c>
      <c r="B122" s="235"/>
      <c r="C122" s="240"/>
      <c r="D122" s="321">
        <v>6067</v>
      </c>
      <c r="E122" s="322" t="s">
        <v>196</v>
      </c>
      <c r="F122" s="324">
        <f>16000-6000+4000</f>
        <v>14000</v>
      </c>
      <c r="G122" s="244"/>
      <c r="H122" s="323" t="s">
        <v>197</v>
      </c>
      <c r="I122" s="324">
        <f>16000-6000+4000</f>
        <v>14000</v>
      </c>
      <c r="J122" s="244"/>
      <c r="K122" s="291" t="s">
        <v>195</v>
      </c>
      <c r="L122" s="232">
        <v>2013</v>
      </c>
    </row>
    <row r="123" spans="1:12" ht="30.75" customHeight="1">
      <c r="A123" s="225">
        <v>80</v>
      </c>
      <c r="B123" s="325"/>
      <c r="C123" s="240"/>
      <c r="D123" s="321">
        <v>6067</v>
      </c>
      <c r="E123" s="322" t="s">
        <v>427</v>
      </c>
      <c r="F123" s="324">
        <v>6300</v>
      </c>
      <c r="G123" s="244"/>
      <c r="H123" s="323" t="s">
        <v>419</v>
      </c>
      <c r="I123" s="324">
        <v>6300</v>
      </c>
      <c r="J123" s="244"/>
      <c r="K123" s="291" t="s">
        <v>430</v>
      </c>
      <c r="L123" s="232">
        <v>2013</v>
      </c>
    </row>
    <row r="124" spans="1:12" ht="31.5" customHeight="1">
      <c r="A124" s="225">
        <v>81</v>
      </c>
      <c r="B124" s="325"/>
      <c r="C124" s="240"/>
      <c r="D124" s="321">
        <v>6067</v>
      </c>
      <c r="E124" s="322" t="s">
        <v>428</v>
      </c>
      <c r="F124" s="324">
        <v>3500</v>
      </c>
      <c r="G124" s="244"/>
      <c r="H124" s="323" t="s">
        <v>429</v>
      </c>
      <c r="I124" s="324">
        <v>3500</v>
      </c>
      <c r="J124" s="244"/>
      <c r="K124" s="291" t="s">
        <v>430</v>
      </c>
      <c r="L124" s="232">
        <v>2013</v>
      </c>
    </row>
    <row r="125" spans="1:12" ht="31.5" customHeight="1">
      <c r="A125" s="225">
        <v>82</v>
      </c>
      <c r="B125" s="325"/>
      <c r="C125" s="240"/>
      <c r="D125" s="321">
        <v>6067</v>
      </c>
      <c r="E125" s="322" t="s">
        <v>79</v>
      </c>
      <c r="F125" s="324">
        <v>3500</v>
      </c>
      <c r="G125" s="244"/>
      <c r="H125" s="323" t="s">
        <v>81</v>
      </c>
      <c r="I125" s="324">
        <v>3500</v>
      </c>
      <c r="J125" s="244"/>
      <c r="K125" s="291" t="s">
        <v>171</v>
      </c>
      <c r="L125" s="232">
        <v>2013</v>
      </c>
    </row>
    <row r="126" spans="1:12" ht="31.5" customHeight="1">
      <c r="A126" s="225">
        <v>83</v>
      </c>
      <c r="B126" s="325"/>
      <c r="C126" s="240"/>
      <c r="D126" s="321">
        <v>6067</v>
      </c>
      <c r="E126" s="322" t="s">
        <v>80</v>
      </c>
      <c r="F126" s="324">
        <v>31000</v>
      </c>
      <c r="G126" s="244"/>
      <c r="H126" s="323" t="s">
        <v>82</v>
      </c>
      <c r="I126" s="324">
        <v>31000</v>
      </c>
      <c r="J126" s="244"/>
      <c r="K126" s="291" t="s">
        <v>171</v>
      </c>
      <c r="L126" s="232">
        <v>2013</v>
      </c>
    </row>
    <row r="127" spans="1:12" ht="66.75" customHeight="1">
      <c r="A127" s="488">
        <v>84</v>
      </c>
      <c r="B127" s="325"/>
      <c r="C127" s="240"/>
      <c r="D127" s="310">
        <v>6237</v>
      </c>
      <c r="E127" s="261" t="s">
        <v>198</v>
      </c>
      <c r="F127" s="262">
        <v>1360000</v>
      </c>
      <c r="G127" s="262">
        <v>1360000</v>
      </c>
      <c r="H127" s="326" t="s">
        <v>199</v>
      </c>
      <c r="I127" s="266">
        <v>1360000</v>
      </c>
      <c r="J127" s="266">
        <v>0</v>
      </c>
      <c r="K127" s="232" t="s">
        <v>200</v>
      </c>
      <c r="L127" s="232" t="s">
        <v>102</v>
      </c>
    </row>
    <row r="128" spans="1:12" ht="75" customHeight="1">
      <c r="A128" s="489"/>
      <c r="B128" s="325"/>
      <c r="C128" s="272"/>
      <c r="D128" s="310">
        <v>6239</v>
      </c>
      <c r="E128" s="261" t="s">
        <v>201</v>
      </c>
      <c r="F128" s="262">
        <v>240000</v>
      </c>
      <c r="G128" s="262">
        <v>240000</v>
      </c>
      <c r="H128" s="326" t="s">
        <v>199</v>
      </c>
      <c r="I128" s="266">
        <v>240000</v>
      </c>
      <c r="J128" s="266">
        <v>0</v>
      </c>
      <c r="K128" s="232" t="s">
        <v>200</v>
      </c>
      <c r="L128" s="232" t="s">
        <v>102</v>
      </c>
    </row>
    <row r="129" spans="1:14" ht="62.25" customHeight="1">
      <c r="A129" s="490">
        <v>85</v>
      </c>
      <c r="B129" s="325"/>
      <c r="C129" s="272"/>
      <c r="D129" s="310">
        <v>6237</v>
      </c>
      <c r="E129" s="261" t="s">
        <v>202</v>
      </c>
      <c r="F129" s="266">
        <f>G129+I129</f>
        <v>1516714.43</v>
      </c>
      <c r="G129" s="262">
        <v>1328864.43</v>
      </c>
      <c r="H129" s="258" t="s">
        <v>203</v>
      </c>
      <c r="I129" s="266">
        <v>187850</v>
      </c>
      <c r="J129" s="266"/>
      <c r="K129" s="232" t="s">
        <v>200</v>
      </c>
      <c r="L129" s="232" t="s">
        <v>87</v>
      </c>
      <c r="N129" s="233"/>
    </row>
    <row r="130" spans="1:12" ht="65.25" customHeight="1">
      <c r="A130" s="491"/>
      <c r="B130" s="325"/>
      <c r="C130" s="272"/>
      <c r="D130" s="310">
        <v>6239</v>
      </c>
      <c r="E130" s="261" t="s">
        <v>202</v>
      </c>
      <c r="F130" s="266">
        <f>G130+I130</f>
        <v>267655.49</v>
      </c>
      <c r="G130" s="262">
        <v>234505.49</v>
      </c>
      <c r="H130" s="258" t="s">
        <v>203</v>
      </c>
      <c r="I130" s="266">
        <v>33150</v>
      </c>
      <c r="J130" s="266"/>
      <c r="K130" s="232" t="s">
        <v>200</v>
      </c>
      <c r="L130" s="232" t="s">
        <v>87</v>
      </c>
    </row>
    <row r="131" spans="1:12" ht="30" customHeight="1">
      <c r="A131" s="299"/>
      <c r="B131" s="235">
        <v>900</v>
      </c>
      <c r="C131" s="235"/>
      <c r="D131" s="236"/>
      <c r="E131" s="268" t="s">
        <v>204</v>
      </c>
      <c r="F131" s="269">
        <f>F132+F135+F137+F147</f>
        <v>8243248.94</v>
      </c>
      <c r="G131" s="269">
        <f>G132+G135+G137+G147</f>
        <v>231240</v>
      </c>
      <c r="H131" s="269"/>
      <c r="I131" s="269">
        <f>I132+I135+I137+I147</f>
        <v>3239797.16</v>
      </c>
      <c r="J131" s="269">
        <f>J132+J135+J137+J147</f>
        <v>905000</v>
      </c>
      <c r="K131" s="269"/>
      <c r="L131" s="232"/>
    </row>
    <row r="132" spans="1:12" ht="30" customHeight="1">
      <c r="A132" s="299"/>
      <c r="B132" s="299"/>
      <c r="C132" s="275">
        <v>90002</v>
      </c>
      <c r="D132" s="277"/>
      <c r="E132" s="243" t="s">
        <v>205</v>
      </c>
      <c r="F132" s="244">
        <f>SUM(F133:F134)</f>
        <v>42000</v>
      </c>
      <c r="G132" s="244">
        <f>SUM(G133:G134)</f>
        <v>0</v>
      </c>
      <c r="H132" s="244"/>
      <c r="I132" s="244">
        <f>SUM(I133:I134)</f>
        <v>42000</v>
      </c>
      <c r="J132" s="244">
        <f>SUM(J133:J134)</f>
        <v>42000</v>
      </c>
      <c r="K132" s="232"/>
      <c r="L132" s="232"/>
    </row>
    <row r="133" spans="1:12" ht="42" customHeight="1">
      <c r="A133" s="206">
        <v>86</v>
      </c>
      <c r="B133" s="306"/>
      <c r="C133" s="327"/>
      <c r="D133" s="265">
        <v>6220</v>
      </c>
      <c r="E133" s="328" t="s">
        <v>206</v>
      </c>
      <c r="F133" s="329">
        <v>12000</v>
      </c>
      <c r="G133" s="330">
        <v>0</v>
      </c>
      <c r="H133" s="331" t="s">
        <v>207</v>
      </c>
      <c r="I133" s="329">
        <v>12000</v>
      </c>
      <c r="J133" s="329">
        <v>12000</v>
      </c>
      <c r="K133" s="232" t="s">
        <v>208</v>
      </c>
      <c r="L133" s="232">
        <v>2013</v>
      </c>
    </row>
    <row r="134" spans="1:12" ht="51.75" customHeight="1">
      <c r="A134" s="206">
        <v>87</v>
      </c>
      <c r="B134" s="306"/>
      <c r="C134" s="267"/>
      <c r="D134" s="265">
        <v>6230</v>
      </c>
      <c r="E134" s="322" t="s">
        <v>206</v>
      </c>
      <c r="F134" s="329">
        <v>30000</v>
      </c>
      <c r="G134" s="330">
        <v>0</v>
      </c>
      <c r="H134" s="331" t="s">
        <v>207</v>
      </c>
      <c r="I134" s="329">
        <v>30000</v>
      </c>
      <c r="J134" s="329">
        <v>30000</v>
      </c>
      <c r="K134" s="232" t="s">
        <v>208</v>
      </c>
      <c r="L134" s="232">
        <v>2013</v>
      </c>
    </row>
    <row r="135" spans="1:12" s="370" customFormat="1" ht="33.75" customHeight="1">
      <c r="A135" s="275"/>
      <c r="B135" s="308"/>
      <c r="C135" s="241">
        <v>90004</v>
      </c>
      <c r="D135" s="242"/>
      <c r="E135" s="319" t="s">
        <v>352</v>
      </c>
      <c r="F135" s="477">
        <f>F136</f>
        <v>25000</v>
      </c>
      <c r="G135" s="477">
        <f>G136</f>
        <v>0</v>
      </c>
      <c r="H135" s="477"/>
      <c r="I135" s="477">
        <f>I136</f>
        <v>25000</v>
      </c>
      <c r="J135" s="477">
        <f>J136</f>
        <v>0</v>
      </c>
      <c r="K135" s="245"/>
      <c r="L135" s="245"/>
    </row>
    <row r="136" spans="1:12" ht="66.75" customHeight="1">
      <c r="A136" s="206">
        <v>88</v>
      </c>
      <c r="B136" s="306"/>
      <c r="C136" s="267"/>
      <c r="D136" s="265">
        <v>6050</v>
      </c>
      <c r="E136" s="340" t="s">
        <v>372</v>
      </c>
      <c r="F136" s="329">
        <v>25000</v>
      </c>
      <c r="G136" s="330"/>
      <c r="H136" s="331" t="s">
        <v>332</v>
      </c>
      <c r="I136" s="329">
        <v>25000</v>
      </c>
      <c r="J136" s="329"/>
      <c r="K136" s="232" t="s">
        <v>282</v>
      </c>
      <c r="L136" s="232">
        <v>2013</v>
      </c>
    </row>
    <row r="137" spans="1:12" ht="27.75" customHeight="1">
      <c r="A137" s="216"/>
      <c r="B137" s="275"/>
      <c r="C137" s="276">
        <v>90015</v>
      </c>
      <c r="D137" s="277"/>
      <c r="E137" s="243" t="s">
        <v>209</v>
      </c>
      <c r="F137" s="244">
        <f>SUM(F138:F146)</f>
        <v>5109650.99</v>
      </c>
      <c r="G137" s="244">
        <f>SUM(G138:G146)</f>
        <v>0</v>
      </c>
      <c r="H137" s="244"/>
      <c r="I137" s="244">
        <f>SUM(I138:I146)</f>
        <v>1108059.21</v>
      </c>
      <c r="J137" s="244">
        <f>SUM(J138:J146)</f>
        <v>338000</v>
      </c>
      <c r="K137" s="245"/>
      <c r="L137" s="245"/>
    </row>
    <row r="138" spans="1:12" ht="34.5" customHeight="1">
      <c r="A138" s="263">
        <v>89</v>
      </c>
      <c r="B138" s="332"/>
      <c r="C138" s="198"/>
      <c r="D138" s="333">
        <v>6050</v>
      </c>
      <c r="E138" s="328" t="s">
        <v>210</v>
      </c>
      <c r="F138" s="334">
        <f>100000+160000</f>
        <v>260000</v>
      </c>
      <c r="G138" s="335">
        <v>0</v>
      </c>
      <c r="H138" s="336" t="s">
        <v>342</v>
      </c>
      <c r="I138" s="337">
        <f>100000+160000-240000+240000</f>
        <v>260000</v>
      </c>
      <c r="J138" s="337">
        <f>100000+160000-240000+240000</f>
        <v>260000</v>
      </c>
      <c r="K138" s="274" t="s">
        <v>119</v>
      </c>
      <c r="L138" s="274">
        <v>2013</v>
      </c>
    </row>
    <row r="139" spans="1:12" ht="50.25" customHeight="1">
      <c r="A139" s="263">
        <v>90</v>
      </c>
      <c r="B139" s="332"/>
      <c r="C139" s="206"/>
      <c r="D139" s="333">
        <v>6050</v>
      </c>
      <c r="E139" s="410" t="s">
        <v>211</v>
      </c>
      <c r="F139" s="329">
        <f>200000-95000+1149.61</f>
        <v>106149.61</v>
      </c>
      <c r="G139" s="338"/>
      <c r="H139" s="411" t="s">
        <v>212</v>
      </c>
      <c r="I139" s="329">
        <f>200000-95000</f>
        <v>105000</v>
      </c>
      <c r="J139" s="329"/>
      <c r="K139" s="274" t="s">
        <v>86</v>
      </c>
      <c r="L139" s="274" t="s">
        <v>330</v>
      </c>
    </row>
    <row r="140" spans="1:12" ht="39" customHeight="1">
      <c r="A140" s="263">
        <v>91</v>
      </c>
      <c r="B140" s="332"/>
      <c r="C140" s="206"/>
      <c r="D140" s="333">
        <v>6050</v>
      </c>
      <c r="E140" s="410" t="s">
        <v>213</v>
      </c>
      <c r="F140" s="329">
        <v>175000</v>
      </c>
      <c r="G140" s="338"/>
      <c r="H140" s="339" t="s">
        <v>214</v>
      </c>
      <c r="I140" s="329">
        <f>175000-150000+150000</f>
        <v>175000</v>
      </c>
      <c r="J140" s="329"/>
      <c r="K140" s="274" t="s">
        <v>119</v>
      </c>
      <c r="L140" s="274">
        <v>2013</v>
      </c>
    </row>
    <row r="141" spans="1:12" ht="72.75" customHeight="1">
      <c r="A141" s="263">
        <v>92</v>
      </c>
      <c r="B141" s="332"/>
      <c r="C141" s="206"/>
      <c r="D141" s="333">
        <v>6050</v>
      </c>
      <c r="E141" s="322" t="s">
        <v>215</v>
      </c>
      <c r="F141" s="329">
        <f>270000-120000+442.17</f>
        <v>150442.17</v>
      </c>
      <c r="G141" s="338"/>
      <c r="H141" s="412" t="s">
        <v>271</v>
      </c>
      <c r="I141" s="329">
        <f>270000-120000</f>
        <v>150000</v>
      </c>
      <c r="J141" s="329"/>
      <c r="K141" s="274" t="s">
        <v>86</v>
      </c>
      <c r="L141" s="274" t="s">
        <v>330</v>
      </c>
    </row>
    <row r="142" spans="1:12" ht="42" customHeight="1">
      <c r="A142" s="263">
        <v>93</v>
      </c>
      <c r="B142" s="332"/>
      <c r="C142" s="206"/>
      <c r="D142" s="333">
        <v>6050</v>
      </c>
      <c r="E142" s="322" t="s">
        <v>338</v>
      </c>
      <c r="F142" s="329">
        <v>25000</v>
      </c>
      <c r="G142" s="338"/>
      <c r="H142" s="339" t="s">
        <v>273</v>
      </c>
      <c r="I142" s="329">
        <v>25000</v>
      </c>
      <c r="J142" s="329"/>
      <c r="K142" s="274" t="s">
        <v>119</v>
      </c>
      <c r="L142" s="274">
        <v>2013</v>
      </c>
    </row>
    <row r="143" spans="1:12" ht="39.75" customHeight="1">
      <c r="A143" s="263">
        <v>94</v>
      </c>
      <c r="B143" s="332"/>
      <c r="C143" s="206"/>
      <c r="D143" s="333">
        <v>6050</v>
      </c>
      <c r="E143" s="322" t="s">
        <v>265</v>
      </c>
      <c r="F143" s="329">
        <f>4078000+48909.6</f>
        <v>4126909.6</v>
      </c>
      <c r="G143" s="338"/>
      <c r="H143" s="339" t="s">
        <v>341</v>
      </c>
      <c r="I143" s="329">
        <f>78000+48909.6</f>
        <v>126909.6</v>
      </c>
      <c r="J143" s="329">
        <v>78000</v>
      </c>
      <c r="K143" s="274" t="s">
        <v>119</v>
      </c>
      <c r="L143" s="274" t="s">
        <v>266</v>
      </c>
    </row>
    <row r="144" spans="1:12" ht="39.75" customHeight="1">
      <c r="A144" s="263">
        <v>95</v>
      </c>
      <c r="B144" s="332"/>
      <c r="C144" s="206"/>
      <c r="D144" s="333">
        <v>6050</v>
      </c>
      <c r="E144" s="322" t="s">
        <v>0</v>
      </c>
      <c r="F144" s="329">
        <f>50000+25000</f>
        <v>75000</v>
      </c>
      <c r="G144" s="338"/>
      <c r="H144" s="339" t="s">
        <v>420</v>
      </c>
      <c r="I144" s="329">
        <f>50000+25000</f>
        <v>75000</v>
      </c>
      <c r="J144" s="329"/>
      <c r="K144" s="274" t="s">
        <v>119</v>
      </c>
      <c r="L144" s="274">
        <v>2013</v>
      </c>
    </row>
    <row r="145" spans="1:12" ht="39.75" customHeight="1">
      <c r="A145" s="263">
        <v>96</v>
      </c>
      <c r="B145" s="332"/>
      <c r="C145" s="206"/>
      <c r="D145" s="333">
        <v>6050</v>
      </c>
      <c r="E145" s="472" t="s">
        <v>343</v>
      </c>
      <c r="F145" s="329">
        <v>1149.61</v>
      </c>
      <c r="G145" s="473"/>
      <c r="H145" s="336" t="s">
        <v>273</v>
      </c>
      <c r="I145" s="329">
        <v>1149.61</v>
      </c>
      <c r="J145" s="329"/>
      <c r="K145" s="274" t="s">
        <v>119</v>
      </c>
      <c r="L145" s="274">
        <v>2013</v>
      </c>
    </row>
    <row r="146" spans="1:12" ht="52.5" customHeight="1">
      <c r="A146" s="263">
        <v>97</v>
      </c>
      <c r="B146" s="332"/>
      <c r="C146" s="206"/>
      <c r="D146" s="333">
        <v>6050</v>
      </c>
      <c r="E146" s="340" t="s">
        <v>272</v>
      </c>
      <c r="F146" s="337">
        <f>300000-110000</f>
        <v>190000</v>
      </c>
      <c r="G146" s="334"/>
      <c r="H146" s="336" t="s">
        <v>273</v>
      </c>
      <c r="I146" s="329">
        <f>300000-110000</f>
        <v>190000</v>
      </c>
      <c r="J146" s="329"/>
      <c r="K146" s="274" t="s">
        <v>86</v>
      </c>
      <c r="L146" s="274">
        <v>2013</v>
      </c>
    </row>
    <row r="147" spans="1:12" ht="25.5" customHeight="1">
      <c r="A147" s="263"/>
      <c r="B147" s="275"/>
      <c r="C147" s="276">
        <v>90095</v>
      </c>
      <c r="D147" s="277"/>
      <c r="E147" s="243" t="s">
        <v>132</v>
      </c>
      <c r="F147" s="244">
        <f>SUM(F148:F159)</f>
        <v>3066597.95</v>
      </c>
      <c r="G147" s="244">
        <f>SUM(G148:G159)</f>
        <v>231240</v>
      </c>
      <c r="H147" s="244"/>
      <c r="I147" s="244">
        <f>SUM(I148:I159)</f>
        <v>2064737.95</v>
      </c>
      <c r="J147" s="244">
        <f>SUM(J148:J159)</f>
        <v>525000</v>
      </c>
      <c r="K147" s="245"/>
      <c r="L147" s="245"/>
    </row>
    <row r="148" spans="1:12" s="409" customFormat="1" ht="81.75" customHeight="1">
      <c r="A148" s="198">
        <v>98</v>
      </c>
      <c r="B148" s="264"/>
      <c r="C148" s="206"/>
      <c r="D148" s="265">
        <v>6010</v>
      </c>
      <c r="E148" s="261" t="s">
        <v>368</v>
      </c>
      <c r="F148" s="262">
        <v>6700</v>
      </c>
      <c r="G148" s="262"/>
      <c r="H148" s="252" t="s">
        <v>288</v>
      </c>
      <c r="I148" s="262">
        <v>6700</v>
      </c>
      <c r="J148" s="262"/>
      <c r="K148" s="343" t="s">
        <v>86</v>
      </c>
      <c r="L148" s="343">
        <v>2013</v>
      </c>
    </row>
    <row r="149" spans="1:12" s="409" customFormat="1" ht="48" customHeight="1">
      <c r="A149" s="198">
        <v>99</v>
      </c>
      <c r="B149" s="264"/>
      <c r="C149" s="206"/>
      <c r="D149" s="265">
        <v>6010</v>
      </c>
      <c r="E149" s="261" t="s">
        <v>369</v>
      </c>
      <c r="F149" s="262">
        <f>270620+262900</f>
        <v>533520</v>
      </c>
      <c r="G149" s="262"/>
      <c r="H149" s="481" t="s">
        <v>240</v>
      </c>
      <c r="I149" s="262">
        <v>262900</v>
      </c>
      <c r="J149" s="262"/>
      <c r="K149" s="343" t="s">
        <v>86</v>
      </c>
      <c r="L149" s="343" t="s">
        <v>330</v>
      </c>
    </row>
    <row r="150" spans="1:12" s="409" customFormat="1" ht="40.5" customHeight="1">
      <c r="A150" s="198">
        <v>100</v>
      </c>
      <c r="B150" s="264"/>
      <c r="C150" s="206"/>
      <c r="D150" s="265">
        <v>6010</v>
      </c>
      <c r="E150" s="261" t="s">
        <v>3</v>
      </c>
      <c r="F150" s="262">
        <v>31777.95</v>
      </c>
      <c r="G150" s="262"/>
      <c r="H150" s="481" t="s">
        <v>241</v>
      </c>
      <c r="I150" s="262">
        <v>31777.95</v>
      </c>
      <c r="J150" s="262"/>
      <c r="K150" s="343" t="s">
        <v>86</v>
      </c>
      <c r="L150" s="343">
        <v>2013</v>
      </c>
    </row>
    <row r="151" spans="1:12" s="409" customFormat="1" ht="47.25" customHeight="1">
      <c r="A151" s="198">
        <v>101</v>
      </c>
      <c r="B151" s="264"/>
      <c r="C151" s="206"/>
      <c r="D151" s="265">
        <v>6010</v>
      </c>
      <c r="E151" s="261" t="s">
        <v>370</v>
      </c>
      <c r="F151" s="262">
        <v>125400</v>
      </c>
      <c r="G151" s="262"/>
      <c r="H151" s="481" t="s">
        <v>242</v>
      </c>
      <c r="I151" s="262">
        <v>125400</v>
      </c>
      <c r="J151" s="262"/>
      <c r="K151" s="343" t="s">
        <v>86</v>
      </c>
      <c r="L151" s="343">
        <v>2013</v>
      </c>
    </row>
    <row r="152" spans="1:12" ht="72" customHeight="1">
      <c r="A152" s="198">
        <v>102</v>
      </c>
      <c r="B152" s="341"/>
      <c r="C152" s="275"/>
      <c r="D152" s="263">
        <v>6010</v>
      </c>
      <c r="E152" s="426" t="s">
        <v>270</v>
      </c>
      <c r="F152" s="262">
        <v>24000</v>
      </c>
      <c r="G152" s="262"/>
      <c r="H152" s="252" t="s">
        <v>288</v>
      </c>
      <c r="I152" s="262">
        <v>24000</v>
      </c>
      <c r="J152" s="262"/>
      <c r="K152" s="427" t="s">
        <v>86</v>
      </c>
      <c r="L152" s="427">
        <v>2013</v>
      </c>
    </row>
    <row r="153" spans="1:12" ht="25.5" customHeight="1">
      <c r="A153" s="198">
        <v>103</v>
      </c>
      <c r="B153" s="341"/>
      <c r="C153" s="275"/>
      <c r="D153" s="265">
        <v>6050</v>
      </c>
      <c r="E153" s="250" t="s">
        <v>274</v>
      </c>
      <c r="F153" s="262">
        <f>1375000-1300000+500000</f>
        <v>575000</v>
      </c>
      <c r="G153" s="262">
        <v>0</v>
      </c>
      <c r="H153" s="342" t="s">
        <v>275</v>
      </c>
      <c r="I153" s="262">
        <f>1375000-1300000</f>
        <v>75000</v>
      </c>
      <c r="J153" s="262">
        <f>1375000-1300000</f>
        <v>75000</v>
      </c>
      <c r="K153" s="343" t="s">
        <v>86</v>
      </c>
      <c r="L153" s="343" t="s">
        <v>330</v>
      </c>
    </row>
    <row r="154" spans="1:12" ht="33.75" customHeight="1">
      <c r="A154" s="198">
        <v>104</v>
      </c>
      <c r="B154" s="341"/>
      <c r="C154" s="275"/>
      <c r="D154" s="265">
        <v>6050</v>
      </c>
      <c r="E154" s="261" t="s">
        <v>411</v>
      </c>
      <c r="F154" s="262">
        <v>100000</v>
      </c>
      <c r="G154" s="262"/>
      <c r="H154" s="342" t="s">
        <v>77</v>
      </c>
      <c r="I154" s="262">
        <v>100000</v>
      </c>
      <c r="J154" s="262"/>
      <c r="K154" s="274" t="s">
        <v>282</v>
      </c>
      <c r="L154" s="274">
        <v>2013</v>
      </c>
    </row>
    <row r="155" spans="1:12" ht="45" customHeight="1">
      <c r="A155" s="198">
        <v>105</v>
      </c>
      <c r="B155" s="341"/>
      <c r="C155" s="275"/>
      <c r="D155" s="263">
        <v>6050</v>
      </c>
      <c r="E155" s="426" t="s">
        <v>416</v>
      </c>
      <c r="F155" s="262">
        <v>26300</v>
      </c>
      <c r="G155" s="262"/>
      <c r="H155" s="252" t="s">
        <v>224</v>
      </c>
      <c r="I155" s="262">
        <v>26300</v>
      </c>
      <c r="J155" s="262"/>
      <c r="K155" s="427" t="s">
        <v>86</v>
      </c>
      <c r="L155" s="427">
        <v>2013</v>
      </c>
    </row>
    <row r="156" spans="1:12" ht="55.5" customHeight="1">
      <c r="A156" s="198">
        <v>106</v>
      </c>
      <c r="B156" s="341"/>
      <c r="C156" s="275"/>
      <c r="D156" s="265">
        <v>6050</v>
      </c>
      <c r="E156" s="480" t="s">
        <v>29</v>
      </c>
      <c r="F156" s="262">
        <v>50000</v>
      </c>
      <c r="G156" s="262"/>
      <c r="H156" s="255" t="s">
        <v>30</v>
      </c>
      <c r="I156" s="262">
        <v>50000</v>
      </c>
      <c r="J156" s="262"/>
      <c r="K156" s="427" t="s">
        <v>282</v>
      </c>
      <c r="L156" s="427">
        <v>2013</v>
      </c>
    </row>
    <row r="157" spans="1:14" ht="39" customHeight="1">
      <c r="A157" s="486">
        <v>107</v>
      </c>
      <c r="B157" s="341"/>
      <c r="C157" s="275"/>
      <c r="D157" s="265">
        <v>6057</v>
      </c>
      <c r="E157" s="322" t="s">
        <v>276</v>
      </c>
      <c r="F157" s="329">
        <v>972315</v>
      </c>
      <c r="G157" s="262">
        <v>196554</v>
      </c>
      <c r="H157" s="344" t="s">
        <v>277</v>
      </c>
      <c r="I157" s="262">
        <v>775761</v>
      </c>
      <c r="J157" s="244">
        <v>0</v>
      </c>
      <c r="K157" s="343" t="s">
        <v>86</v>
      </c>
      <c r="L157" s="343" t="s">
        <v>278</v>
      </c>
      <c r="N157" s="233"/>
    </row>
    <row r="158" spans="1:12" ht="40.5" customHeight="1">
      <c r="A158" s="489"/>
      <c r="B158" s="345"/>
      <c r="C158" s="286"/>
      <c r="D158" s="265">
        <v>6059</v>
      </c>
      <c r="E158" s="322" t="s">
        <v>276</v>
      </c>
      <c r="F158" s="329">
        <v>171585</v>
      </c>
      <c r="G158" s="330">
        <v>34686</v>
      </c>
      <c r="H158" s="344" t="s">
        <v>277</v>
      </c>
      <c r="I158" s="329">
        <v>136899</v>
      </c>
      <c r="J158" s="329">
        <v>0</v>
      </c>
      <c r="K158" s="343" t="s">
        <v>86</v>
      </c>
      <c r="L158" s="343" t="s">
        <v>278</v>
      </c>
    </row>
    <row r="159" spans="1:12" ht="41.25" customHeight="1">
      <c r="A159" s="346">
        <v>108</v>
      </c>
      <c r="B159" s="345"/>
      <c r="C159" s="286"/>
      <c r="D159" s="347">
        <v>6230</v>
      </c>
      <c r="E159" s="322" t="s">
        <v>280</v>
      </c>
      <c r="F159" s="330">
        <f>50000+100000+300000</f>
        <v>450000</v>
      </c>
      <c r="G159" s="338">
        <v>0</v>
      </c>
      <c r="H159" s="339" t="s">
        <v>281</v>
      </c>
      <c r="I159" s="329">
        <f>50000+100000+300000</f>
        <v>450000</v>
      </c>
      <c r="J159" s="329">
        <f>50000+100000+300000</f>
        <v>450000</v>
      </c>
      <c r="K159" s="274" t="s">
        <v>282</v>
      </c>
      <c r="L159" s="274">
        <v>2013</v>
      </c>
    </row>
    <row r="160" spans="1:12" s="317" customFormat="1" ht="41.25" customHeight="1">
      <c r="A160" s="395"/>
      <c r="B160" s="396">
        <v>921</v>
      </c>
      <c r="C160" s="396"/>
      <c r="D160" s="235"/>
      <c r="E160" s="397" t="s">
        <v>347</v>
      </c>
      <c r="F160" s="403">
        <f>F161</f>
        <v>1465000</v>
      </c>
      <c r="G160" s="403">
        <f>G161</f>
        <v>0</v>
      </c>
      <c r="H160" s="403"/>
      <c r="I160" s="403">
        <f>I161</f>
        <v>365000</v>
      </c>
      <c r="J160" s="403">
        <f>J161</f>
        <v>0</v>
      </c>
      <c r="K160" s="398"/>
      <c r="L160" s="398"/>
    </row>
    <row r="161" spans="1:12" s="370" customFormat="1" ht="32.25" customHeight="1">
      <c r="A161" s="399"/>
      <c r="B161" s="400"/>
      <c r="C161" s="402">
        <v>92109</v>
      </c>
      <c r="D161" s="362"/>
      <c r="E161" s="401" t="s">
        <v>384</v>
      </c>
      <c r="F161" s="404">
        <f>F162+F163</f>
        <v>1465000</v>
      </c>
      <c r="G161" s="404">
        <f>G162+G163</f>
        <v>0</v>
      </c>
      <c r="H161" s="404"/>
      <c r="I161" s="404">
        <f>I162+I163</f>
        <v>365000</v>
      </c>
      <c r="J161" s="404">
        <f>J162+J163</f>
        <v>0</v>
      </c>
      <c r="K161" s="358"/>
      <c r="L161" s="358"/>
    </row>
    <row r="162" spans="1:12" ht="57" customHeight="1">
      <c r="A162" s="346">
        <v>109</v>
      </c>
      <c r="B162" s="345"/>
      <c r="C162" s="286"/>
      <c r="D162" s="292">
        <v>6050</v>
      </c>
      <c r="E162" s="322" t="s">
        <v>267</v>
      </c>
      <c r="F162" s="330">
        <f>1100000+340000</f>
        <v>1440000</v>
      </c>
      <c r="G162" s="338"/>
      <c r="H162" s="339" t="s">
        <v>268</v>
      </c>
      <c r="I162" s="329">
        <v>340000</v>
      </c>
      <c r="J162" s="329"/>
      <c r="K162" s="274" t="s">
        <v>86</v>
      </c>
      <c r="L162" s="274" t="s">
        <v>330</v>
      </c>
    </row>
    <row r="163" spans="1:12" ht="57" customHeight="1">
      <c r="A163" s="346">
        <v>110</v>
      </c>
      <c r="B163" s="345"/>
      <c r="C163" s="286"/>
      <c r="D163" s="292">
        <v>6220</v>
      </c>
      <c r="E163" s="322" t="s">
        <v>243</v>
      </c>
      <c r="F163" s="330">
        <v>25000</v>
      </c>
      <c r="G163" s="338"/>
      <c r="H163" s="339" t="s">
        <v>244</v>
      </c>
      <c r="I163" s="329">
        <v>25000</v>
      </c>
      <c r="J163" s="329"/>
      <c r="K163" s="274" t="s">
        <v>415</v>
      </c>
      <c r="L163" s="274">
        <v>2013</v>
      </c>
    </row>
    <row r="164" spans="1:12" ht="27.75" customHeight="1">
      <c r="A164" s="206"/>
      <c r="B164" s="234">
        <v>926</v>
      </c>
      <c r="C164" s="235"/>
      <c r="D164" s="236"/>
      <c r="E164" s="268" t="s">
        <v>283</v>
      </c>
      <c r="F164" s="269">
        <f>F165+F168</f>
        <v>304300</v>
      </c>
      <c r="G164" s="269">
        <f>G165+G168</f>
        <v>0</v>
      </c>
      <c r="H164" s="269"/>
      <c r="I164" s="269">
        <f>I165+I168</f>
        <v>304300</v>
      </c>
      <c r="J164" s="269">
        <f>J165+J168</f>
        <v>0</v>
      </c>
      <c r="K164" s="232"/>
      <c r="L164" s="232"/>
    </row>
    <row r="165" spans="1:12" ht="24" customHeight="1">
      <c r="A165" s="235"/>
      <c r="B165" s="302"/>
      <c r="C165" s="282">
        <v>92601</v>
      </c>
      <c r="D165" s="277"/>
      <c r="E165" s="243" t="s">
        <v>284</v>
      </c>
      <c r="F165" s="244">
        <f>SUM(F166:F167)</f>
        <v>84300</v>
      </c>
      <c r="G165" s="244">
        <f>SUM(G166:G167)</f>
        <v>0</v>
      </c>
      <c r="H165" s="244"/>
      <c r="I165" s="244">
        <f>SUM(I166:I167)</f>
        <v>84300</v>
      </c>
      <c r="J165" s="244">
        <f>SUM(J166:J167)</f>
        <v>0</v>
      </c>
      <c r="K165" s="245"/>
      <c r="L165" s="245"/>
    </row>
    <row r="166" spans="1:12" ht="41.25" customHeight="1">
      <c r="A166" s="263">
        <v>111</v>
      </c>
      <c r="B166" s="296"/>
      <c r="C166" s="240"/>
      <c r="D166" s="347">
        <v>6050</v>
      </c>
      <c r="E166" s="256" t="s">
        <v>285</v>
      </c>
      <c r="F166" s="262">
        <f>18300+16000</f>
        <v>34300</v>
      </c>
      <c r="G166" s="262">
        <v>0</v>
      </c>
      <c r="H166" s="309" t="s">
        <v>286</v>
      </c>
      <c r="I166" s="262">
        <f>18300+16000</f>
        <v>34300</v>
      </c>
      <c r="J166" s="262">
        <v>0</v>
      </c>
      <c r="K166" s="232" t="s">
        <v>86</v>
      </c>
      <c r="L166" s="274">
        <v>2013</v>
      </c>
    </row>
    <row r="167" spans="1:12" s="349" customFormat="1" ht="44.25" customHeight="1">
      <c r="A167" s="263">
        <v>112</v>
      </c>
      <c r="B167" s="296"/>
      <c r="C167" s="240"/>
      <c r="D167" s="348">
        <v>6050</v>
      </c>
      <c r="E167" s="255" t="s">
        <v>287</v>
      </c>
      <c r="F167" s="262">
        <v>50000</v>
      </c>
      <c r="G167" s="262">
        <v>0</v>
      </c>
      <c r="H167" s="252" t="s">
        <v>288</v>
      </c>
      <c r="I167" s="262">
        <v>50000</v>
      </c>
      <c r="J167" s="262">
        <v>0</v>
      </c>
      <c r="K167" s="232" t="s">
        <v>86</v>
      </c>
      <c r="L167" s="232">
        <v>2013</v>
      </c>
    </row>
    <row r="168" spans="1:12" s="349" customFormat="1" ht="25.5" customHeight="1">
      <c r="A168" s="263"/>
      <c r="B168" s="296"/>
      <c r="C168" s="276">
        <v>92604</v>
      </c>
      <c r="D168" s="350"/>
      <c r="E168" s="351" t="s">
        <v>289</v>
      </c>
      <c r="F168" s="262">
        <f>SUM(F169:F172)</f>
        <v>220000</v>
      </c>
      <c r="G168" s="262">
        <f>SUM(G169:G172)</f>
        <v>0</v>
      </c>
      <c r="H168" s="262"/>
      <c r="I168" s="262">
        <f>SUM(I169:I172)</f>
        <v>220000</v>
      </c>
      <c r="J168" s="262">
        <f>SUM(J169:J172)</f>
        <v>0</v>
      </c>
      <c r="K168" s="232"/>
      <c r="L168" s="232"/>
    </row>
    <row r="169" spans="1:12" s="349" customFormat="1" ht="27.75" customHeight="1">
      <c r="A169" s="263">
        <v>113</v>
      </c>
      <c r="B169" s="296"/>
      <c r="C169" s="272"/>
      <c r="D169" s="246">
        <v>6050</v>
      </c>
      <c r="E169" s="250" t="s">
        <v>290</v>
      </c>
      <c r="F169" s="262">
        <v>50000</v>
      </c>
      <c r="G169" s="262"/>
      <c r="H169" s="252" t="s">
        <v>291</v>
      </c>
      <c r="I169" s="262">
        <v>50000</v>
      </c>
      <c r="J169" s="262"/>
      <c r="K169" s="232" t="s">
        <v>292</v>
      </c>
      <c r="L169" s="232">
        <v>2013</v>
      </c>
    </row>
    <row r="170" spans="1:12" s="349" customFormat="1" ht="54.75" customHeight="1">
      <c r="A170" s="263">
        <v>114</v>
      </c>
      <c r="B170" s="296"/>
      <c r="C170" s="272"/>
      <c r="D170" s="453">
        <v>6050</v>
      </c>
      <c r="E170" s="250" t="s">
        <v>229</v>
      </c>
      <c r="F170" s="262">
        <v>20000</v>
      </c>
      <c r="G170" s="262"/>
      <c r="H170" s="252" t="s">
        <v>230</v>
      </c>
      <c r="I170" s="262">
        <v>20000</v>
      </c>
      <c r="J170" s="262"/>
      <c r="K170" s="232" t="s">
        <v>292</v>
      </c>
      <c r="L170" s="232">
        <v>2013</v>
      </c>
    </row>
    <row r="171" spans="1:12" s="349" customFormat="1" ht="43.5" customHeight="1">
      <c r="A171" s="263">
        <v>115</v>
      </c>
      <c r="B171" s="296"/>
      <c r="C171" s="272"/>
      <c r="D171" s="453">
        <v>6060</v>
      </c>
      <c r="E171" s="250" t="s">
        <v>4</v>
      </c>
      <c r="F171" s="262">
        <v>80000</v>
      </c>
      <c r="G171" s="262"/>
      <c r="H171" s="252" t="s">
        <v>245</v>
      </c>
      <c r="I171" s="262">
        <v>80000</v>
      </c>
      <c r="J171" s="262"/>
      <c r="K171" s="232" t="s">
        <v>292</v>
      </c>
      <c r="L171" s="232">
        <v>2013</v>
      </c>
    </row>
    <row r="172" spans="1:12" s="349" customFormat="1" ht="27.75" customHeight="1">
      <c r="A172" s="263">
        <v>116</v>
      </c>
      <c r="B172" s="296"/>
      <c r="C172" s="272"/>
      <c r="D172" s="453">
        <v>6060</v>
      </c>
      <c r="E172" s="250" t="s">
        <v>5</v>
      </c>
      <c r="F172" s="262">
        <v>70000</v>
      </c>
      <c r="G172" s="262"/>
      <c r="H172" s="252" t="s">
        <v>246</v>
      </c>
      <c r="I172" s="262">
        <v>70000</v>
      </c>
      <c r="J172" s="262"/>
      <c r="K172" s="232" t="s">
        <v>292</v>
      </c>
      <c r="L172" s="232">
        <v>2013</v>
      </c>
    </row>
    <row r="173" spans="1:15" ht="30" customHeight="1">
      <c r="A173" s="263"/>
      <c r="B173" s="352" t="s">
        <v>293</v>
      </c>
      <c r="C173" s="353"/>
      <c r="D173" s="292"/>
      <c r="E173" s="314"/>
      <c r="F173" s="354">
        <f>F174+F189+F193+F200+F207+F210+F217+F220</f>
        <v>41671493.05</v>
      </c>
      <c r="G173" s="354">
        <f>G174+G189+G193+G200+G207+G210+G217+G220</f>
        <v>18810224.86</v>
      </c>
      <c r="H173" s="354"/>
      <c r="I173" s="354">
        <f>I174+I189+I193+I200+I207+I210+I217+I220</f>
        <v>14329268.19</v>
      </c>
      <c r="J173" s="354">
        <f>J174+J189+J193+J200+J207+J210+J217+J220</f>
        <v>369082.52</v>
      </c>
      <c r="K173" s="232"/>
      <c r="L173" s="232"/>
      <c r="N173" s="415"/>
      <c r="O173" s="414"/>
    </row>
    <row r="174" spans="1:15" ht="26.25" customHeight="1">
      <c r="A174" s="235"/>
      <c r="B174" s="327">
        <v>600</v>
      </c>
      <c r="C174" s="235"/>
      <c r="D174" s="236"/>
      <c r="E174" s="268" t="s">
        <v>69</v>
      </c>
      <c r="F174" s="269">
        <f>F175</f>
        <v>38785457</v>
      </c>
      <c r="G174" s="269">
        <f>G175</f>
        <v>18810224.86</v>
      </c>
      <c r="H174" s="355"/>
      <c r="I174" s="269">
        <f>I175</f>
        <v>12443232.139999999</v>
      </c>
      <c r="J174" s="269">
        <f>J175</f>
        <v>52582.52000000002</v>
      </c>
      <c r="K174" s="232"/>
      <c r="L174" s="232"/>
      <c r="N174" s="416"/>
      <c r="O174" s="416"/>
    </row>
    <row r="175" spans="1:12" ht="27" customHeight="1">
      <c r="A175" s="263"/>
      <c r="B175" s="270"/>
      <c r="C175" s="276">
        <v>60015</v>
      </c>
      <c r="D175" s="242"/>
      <c r="E175" s="243" t="s">
        <v>294</v>
      </c>
      <c r="F175" s="244">
        <f>SUM(F176:F188)</f>
        <v>38785457</v>
      </c>
      <c r="G175" s="244">
        <f>SUM(G176:G188)</f>
        <v>18810224.86</v>
      </c>
      <c r="H175" s="311"/>
      <c r="I175" s="244">
        <f>SUM(I176:I188)</f>
        <v>12443232.139999999</v>
      </c>
      <c r="J175" s="244">
        <f>SUM(J176:J188)</f>
        <v>52582.52000000002</v>
      </c>
      <c r="K175" s="245"/>
      <c r="L175" s="245"/>
    </row>
    <row r="176" spans="1:14" ht="43.5" customHeight="1">
      <c r="A176" s="263">
        <v>117</v>
      </c>
      <c r="B176" s="332"/>
      <c r="C176" s="206"/>
      <c r="D176" s="265">
        <v>6050</v>
      </c>
      <c r="E176" s="328" t="s">
        <v>295</v>
      </c>
      <c r="F176" s="334">
        <f>27061100+125000+122352</f>
        <v>27308452</v>
      </c>
      <c r="G176" s="335">
        <f>23211100-3406101.69-1044773.45</f>
        <v>18760224.86</v>
      </c>
      <c r="H176" s="336" t="s">
        <v>296</v>
      </c>
      <c r="I176" s="337">
        <f>3850000+125000+122352+3406101.69+1044773.45</f>
        <v>8548227.139999999</v>
      </c>
      <c r="J176" s="337">
        <f>2141080-167000-1921497.48</f>
        <v>52582.52000000002</v>
      </c>
      <c r="K176" s="274" t="s">
        <v>297</v>
      </c>
      <c r="L176" s="274" t="s">
        <v>87</v>
      </c>
      <c r="N176" s="233"/>
    </row>
    <row r="177" spans="1:15" s="349" customFormat="1" ht="35.25" customHeight="1">
      <c r="A177" s="263">
        <v>118</v>
      </c>
      <c r="B177" s="332"/>
      <c r="C177" s="206"/>
      <c r="D177" s="265">
        <v>6050</v>
      </c>
      <c r="E177" s="328" t="s">
        <v>298</v>
      </c>
      <c r="F177" s="334">
        <v>5800000</v>
      </c>
      <c r="G177" s="335"/>
      <c r="H177" s="328" t="s">
        <v>299</v>
      </c>
      <c r="I177" s="337">
        <v>1100000</v>
      </c>
      <c r="J177" s="337">
        <v>0</v>
      </c>
      <c r="K177" s="274" t="s">
        <v>119</v>
      </c>
      <c r="L177" s="274">
        <v>2013</v>
      </c>
      <c r="N177" s="379"/>
      <c r="O177" s="379"/>
    </row>
    <row r="178" spans="1:16" s="349" customFormat="1" ht="58.5" customHeight="1">
      <c r="A178" s="263">
        <v>119</v>
      </c>
      <c r="B178" s="332"/>
      <c r="C178" s="206"/>
      <c r="D178" s="265">
        <v>6050</v>
      </c>
      <c r="E178" s="328" t="s">
        <v>300</v>
      </c>
      <c r="F178" s="334">
        <v>260000</v>
      </c>
      <c r="G178" s="335"/>
      <c r="H178" s="252" t="s">
        <v>288</v>
      </c>
      <c r="I178" s="337">
        <v>260000</v>
      </c>
      <c r="J178" s="337"/>
      <c r="K178" s="274" t="s">
        <v>86</v>
      </c>
      <c r="L178" s="274">
        <v>2013</v>
      </c>
      <c r="N178" s="379"/>
      <c r="O178" s="379"/>
      <c r="P178" s="379"/>
    </row>
    <row r="179" spans="1:15" s="349" customFormat="1" ht="57.75" customHeight="1">
      <c r="A179" s="263">
        <v>120</v>
      </c>
      <c r="B179" s="332"/>
      <c r="C179" s="206"/>
      <c r="D179" s="265">
        <v>6050</v>
      </c>
      <c r="E179" s="328" t="s">
        <v>301</v>
      </c>
      <c r="F179" s="334">
        <v>30000</v>
      </c>
      <c r="G179" s="335"/>
      <c r="H179" s="252" t="s">
        <v>288</v>
      </c>
      <c r="I179" s="337">
        <v>30000</v>
      </c>
      <c r="J179" s="337"/>
      <c r="K179" s="274" t="s">
        <v>119</v>
      </c>
      <c r="L179" s="274">
        <v>2013</v>
      </c>
      <c r="N179" s="379"/>
      <c r="O179" s="379"/>
    </row>
    <row r="180" spans="1:12" s="349" customFormat="1" ht="35.25" customHeight="1">
      <c r="A180" s="263">
        <v>121</v>
      </c>
      <c r="B180" s="332"/>
      <c r="C180" s="206"/>
      <c r="D180" s="265">
        <v>6050</v>
      </c>
      <c r="E180" s="328" t="s">
        <v>339</v>
      </c>
      <c r="F180" s="485">
        <f>2832000+2832000-828000-125000-130000-703798</f>
        <v>3877202</v>
      </c>
      <c r="G180" s="335"/>
      <c r="H180" s="252" t="s">
        <v>340</v>
      </c>
      <c r="I180" s="484">
        <f>2832000-828000-125000-130000-703798</f>
        <v>1045202</v>
      </c>
      <c r="J180" s="484">
        <f>240000+753800-78000-828000-87800</f>
        <v>0</v>
      </c>
      <c r="K180" s="274" t="s">
        <v>86</v>
      </c>
      <c r="L180" s="274">
        <v>2013</v>
      </c>
    </row>
    <row r="181" spans="1:12" s="349" customFormat="1" ht="35.25" customHeight="1">
      <c r="A181" s="263">
        <v>122</v>
      </c>
      <c r="B181" s="332"/>
      <c r="C181" s="206"/>
      <c r="D181" s="265">
        <v>6050</v>
      </c>
      <c r="E181" s="328" t="s">
        <v>412</v>
      </c>
      <c r="F181" s="334">
        <v>500000</v>
      </c>
      <c r="G181" s="335"/>
      <c r="H181" s="252" t="s">
        <v>269</v>
      </c>
      <c r="I181" s="337">
        <v>500000</v>
      </c>
      <c r="J181" s="337"/>
      <c r="K181" s="274" t="s">
        <v>119</v>
      </c>
      <c r="L181" s="274">
        <v>2013</v>
      </c>
    </row>
    <row r="182" spans="1:12" s="349" customFormat="1" ht="66.75" customHeight="1">
      <c r="A182" s="263">
        <v>123</v>
      </c>
      <c r="B182" s="332"/>
      <c r="C182" s="206"/>
      <c r="D182" s="265">
        <v>6050</v>
      </c>
      <c r="E182" s="474" t="s">
        <v>41</v>
      </c>
      <c r="F182" s="334">
        <v>119400</v>
      </c>
      <c r="G182" s="335"/>
      <c r="H182" s="454" t="s">
        <v>42</v>
      </c>
      <c r="I182" s="337">
        <v>119400</v>
      </c>
      <c r="J182" s="337"/>
      <c r="K182" s="274" t="s">
        <v>119</v>
      </c>
      <c r="L182" s="274">
        <v>2013</v>
      </c>
    </row>
    <row r="183" spans="1:12" s="349" customFormat="1" ht="54.75" customHeight="1">
      <c r="A183" s="263">
        <v>124</v>
      </c>
      <c r="B183" s="332"/>
      <c r="C183" s="206"/>
      <c r="D183" s="265">
        <v>6050</v>
      </c>
      <c r="E183" s="455" t="s">
        <v>359</v>
      </c>
      <c r="F183" s="334">
        <f>450000-60000</f>
        <v>390000</v>
      </c>
      <c r="G183" s="335"/>
      <c r="H183" s="454" t="s">
        <v>247</v>
      </c>
      <c r="I183" s="337">
        <f>450000-60000</f>
        <v>390000</v>
      </c>
      <c r="J183" s="337"/>
      <c r="K183" s="274" t="s">
        <v>119</v>
      </c>
      <c r="L183" s="274">
        <v>2013</v>
      </c>
    </row>
    <row r="184" spans="1:12" s="349" customFormat="1" ht="51.75" customHeight="1">
      <c r="A184" s="263">
        <v>125</v>
      </c>
      <c r="B184" s="332"/>
      <c r="C184" s="206"/>
      <c r="D184" s="265">
        <v>6050</v>
      </c>
      <c r="E184" s="456" t="s">
        <v>360</v>
      </c>
      <c r="F184" s="334">
        <v>220000</v>
      </c>
      <c r="G184" s="335"/>
      <c r="H184" s="456" t="s">
        <v>248</v>
      </c>
      <c r="I184" s="337">
        <v>220000</v>
      </c>
      <c r="J184" s="337"/>
      <c r="K184" s="274" t="s">
        <v>119</v>
      </c>
      <c r="L184" s="274">
        <v>2013</v>
      </c>
    </row>
    <row r="185" spans="1:12" s="349" customFormat="1" ht="59.25" customHeight="1">
      <c r="A185" s="263">
        <v>126</v>
      </c>
      <c r="B185" s="332"/>
      <c r="C185" s="206"/>
      <c r="D185" s="265">
        <v>6050</v>
      </c>
      <c r="E185" s="456" t="s">
        <v>249</v>
      </c>
      <c r="F185" s="334">
        <v>12000</v>
      </c>
      <c r="G185" s="335"/>
      <c r="H185" s="356" t="s">
        <v>303</v>
      </c>
      <c r="I185" s="337">
        <v>12000</v>
      </c>
      <c r="J185" s="337"/>
      <c r="K185" s="274" t="s">
        <v>119</v>
      </c>
      <c r="L185" s="274">
        <v>2013</v>
      </c>
    </row>
    <row r="186" spans="1:14" s="349" customFormat="1" ht="133.5" customHeight="1">
      <c r="A186" s="198">
        <v>127</v>
      </c>
      <c r="B186" s="332"/>
      <c r="C186" s="206"/>
      <c r="D186" s="310">
        <v>6050</v>
      </c>
      <c r="E186" s="328" t="s">
        <v>302</v>
      </c>
      <c r="F186" s="334">
        <f>550000-350000-27597+69000</f>
        <v>241403</v>
      </c>
      <c r="G186" s="335">
        <v>50000</v>
      </c>
      <c r="H186" s="356" t="s">
        <v>236</v>
      </c>
      <c r="I186" s="337">
        <f>500000-350000-27597+69000</f>
        <v>191403</v>
      </c>
      <c r="J186" s="337">
        <v>0</v>
      </c>
      <c r="K186" s="274" t="s">
        <v>237</v>
      </c>
      <c r="L186" s="274" t="s">
        <v>87</v>
      </c>
      <c r="N186" s="379"/>
    </row>
    <row r="187" spans="1:14" s="349" customFormat="1" ht="60" customHeight="1">
      <c r="A187" s="198">
        <v>128</v>
      </c>
      <c r="B187" s="332"/>
      <c r="C187" s="206"/>
      <c r="D187" s="310">
        <v>6050</v>
      </c>
      <c r="E187" s="328" t="s">
        <v>226</v>
      </c>
      <c r="F187" s="337">
        <v>12000</v>
      </c>
      <c r="G187" s="335"/>
      <c r="H187" s="356" t="s">
        <v>222</v>
      </c>
      <c r="I187" s="337">
        <v>12000</v>
      </c>
      <c r="J187" s="337"/>
      <c r="K187" s="457" t="s">
        <v>119</v>
      </c>
      <c r="L187" s="457">
        <v>2013</v>
      </c>
      <c r="N187" s="379"/>
    </row>
    <row r="188" spans="1:14" s="349" customFormat="1" ht="80.25" customHeight="1">
      <c r="A188" s="198">
        <v>129</v>
      </c>
      <c r="B188" s="332"/>
      <c r="C188" s="206"/>
      <c r="D188" s="310">
        <v>6050</v>
      </c>
      <c r="E188" s="328" t="s">
        <v>221</v>
      </c>
      <c r="F188" s="337">
        <f>15000</f>
        <v>15000</v>
      </c>
      <c r="G188" s="335"/>
      <c r="H188" s="356" t="s">
        <v>351</v>
      </c>
      <c r="I188" s="337">
        <f>15000</f>
        <v>15000</v>
      </c>
      <c r="J188" s="337"/>
      <c r="K188" s="457" t="s">
        <v>119</v>
      </c>
      <c r="L188" s="457">
        <v>2013</v>
      </c>
      <c r="N188" s="379"/>
    </row>
    <row r="189" spans="1:14" s="465" customFormat="1" ht="28.5" customHeight="1">
      <c r="A189" s="235"/>
      <c r="B189" s="236">
        <v>630</v>
      </c>
      <c r="C189" s="235"/>
      <c r="D189" s="313"/>
      <c r="E189" s="463" t="s">
        <v>348</v>
      </c>
      <c r="F189" s="464">
        <f>F190</f>
        <v>130000</v>
      </c>
      <c r="G189" s="464">
        <f>G190</f>
        <v>0</v>
      </c>
      <c r="H189" s="464"/>
      <c r="I189" s="464">
        <f>I190</f>
        <v>130000</v>
      </c>
      <c r="J189" s="464">
        <f>J190</f>
        <v>0</v>
      </c>
      <c r="K189" s="421"/>
      <c r="L189" s="421"/>
      <c r="N189" s="466"/>
    </row>
    <row r="190" spans="1:14" s="461" customFormat="1" ht="29.25" customHeight="1">
      <c r="A190" s="275"/>
      <c r="B190" s="406"/>
      <c r="C190" s="276">
        <v>63095</v>
      </c>
      <c r="D190" s="369"/>
      <c r="E190" s="458" t="s">
        <v>132</v>
      </c>
      <c r="F190" s="459">
        <f>SUM(F191:F192)</f>
        <v>130000</v>
      </c>
      <c r="G190" s="459">
        <f>SUM(G191:G192)</f>
        <v>0</v>
      </c>
      <c r="H190" s="459"/>
      <c r="I190" s="459">
        <f>SUM(I191:I192)</f>
        <v>130000</v>
      </c>
      <c r="J190" s="459">
        <f>SUM(J191:J192)</f>
        <v>0</v>
      </c>
      <c r="K190" s="460"/>
      <c r="L190" s="460"/>
      <c r="N190" s="462"/>
    </row>
    <row r="191" spans="1:14" s="349" customFormat="1" ht="54" customHeight="1">
      <c r="A191" s="206">
        <v>130</v>
      </c>
      <c r="B191" s="332"/>
      <c r="C191" s="206"/>
      <c r="D191" s="265">
        <v>6050</v>
      </c>
      <c r="E191" s="328" t="s">
        <v>371</v>
      </c>
      <c r="F191" s="334">
        <v>60000</v>
      </c>
      <c r="G191" s="335"/>
      <c r="H191" s="252" t="s">
        <v>288</v>
      </c>
      <c r="I191" s="337">
        <v>60000</v>
      </c>
      <c r="J191" s="337"/>
      <c r="K191" s="457" t="s">
        <v>86</v>
      </c>
      <c r="L191" s="457">
        <v>2013</v>
      </c>
      <c r="N191" s="379"/>
    </row>
    <row r="192" spans="1:14" s="349" customFormat="1" ht="39.75" customHeight="1">
      <c r="A192" s="206">
        <v>131</v>
      </c>
      <c r="B192" s="332"/>
      <c r="C192" s="206"/>
      <c r="D192" s="265">
        <v>6050</v>
      </c>
      <c r="E192" s="328" t="s">
        <v>362</v>
      </c>
      <c r="F192" s="334">
        <v>70000</v>
      </c>
      <c r="G192" s="335"/>
      <c r="H192" s="356" t="s">
        <v>250</v>
      </c>
      <c r="I192" s="337">
        <v>70000</v>
      </c>
      <c r="J192" s="337"/>
      <c r="K192" s="457" t="s">
        <v>292</v>
      </c>
      <c r="L192" s="457">
        <v>2013</v>
      </c>
      <c r="N192" s="379"/>
    </row>
    <row r="193" spans="1:17" s="48" customFormat="1" ht="27" customHeight="1">
      <c r="A193" s="206"/>
      <c r="B193" s="235">
        <v>710</v>
      </c>
      <c r="C193" s="235"/>
      <c r="D193" s="235"/>
      <c r="E193" s="314" t="s">
        <v>304</v>
      </c>
      <c r="F193" s="295">
        <f>F194+F197</f>
        <v>55000</v>
      </c>
      <c r="G193" s="295">
        <f>G194+G197</f>
        <v>0</v>
      </c>
      <c r="H193" s="295"/>
      <c r="I193" s="295">
        <f>I194+I197</f>
        <v>55000</v>
      </c>
      <c r="J193" s="295">
        <f>J194+J197</f>
        <v>0</v>
      </c>
      <c r="K193" s="231"/>
      <c r="L193" s="231"/>
      <c r="N193" s="357"/>
      <c r="O193" s="357"/>
      <c r="P193" s="357"/>
      <c r="Q193" s="3"/>
    </row>
    <row r="194" spans="1:17" s="48" customFormat="1" ht="27" customHeight="1">
      <c r="A194" s="206"/>
      <c r="B194" s="299"/>
      <c r="C194" s="270">
        <v>71012</v>
      </c>
      <c r="D194" s="277"/>
      <c r="E194" s="283" t="s">
        <v>305</v>
      </c>
      <c r="F194" s="284">
        <f>F195+F196</f>
        <v>45000</v>
      </c>
      <c r="G194" s="284">
        <f>G195+G196</f>
        <v>0</v>
      </c>
      <c r="H194" s="284"/>
      <c r="I194" s="284">
        <f>I195+I196</f>
        <v>45000</v>
      </c>
      <c r="J194" s="284">
        <f>J195+J196</f>
        <v>0</v>
      </c>
      <c r="K194" s="358"/>
      <c r="L194" s="358"/>
      <c r="N194" s="357"/>
      <c r="O194" s="357"/>
      <c r="P194" s="357"/>
      <c r="Q194" s="3"/>
    </row>
    <row r="195" spans="1:17" s="48" customFormat="1" ht="52.5" customHeight="1">
      <c r="A195" s="206">
        <v>132</v>
      </c>
      <c r="B195" s="306"/>
      <c r="C195" s="198"/>
      <c r="D195" s="265">
        <v>6050</v>
      </c>
      <c r="E195" s="303" t="s">
        <v>346</v>
      </c>
      <c r="F195" s="304">
        <v>25000</v>
      </c>
      <c r="G195" s="304"/>
      <c r="H195" s="304" t="s">
        <v>251</v>
      </c>
      <c r="I195" s="304">
        <v>25000</v>
      </c>
      <c r="J195" s="304"/>
      <c r="K195" s="231" t="s">
        <v>308</v>
      </c>
      <c r="L195" s="231">
        <v>2013</v>
      </c>
      <c r="N195" s="357"/>
      <c r="O195" s="357"/>
      <c r="P195" s="357"/>
      <c r="Q195" s="3"/>
    </row>
    <row r="196" spans="1:17" s="48" customFormat="1" ht="54.75" customHeight="1">
      <c r="A196" s="206">
        <v>133</v>
      </c>
      <c r="B196" s="306"/>
      <c r="C196" s="267"/>
      <c r="D196" s="265">
        <v>6060</v>
      </c>
      <c r="E196" s="303" t="s">
        <v>306</v>
      </c>
      <c r="F196" s="304">
        <f>25000+20000-25000</f>
        <v>20000</v>
      </c>
      <c r="G196" s="304">
        <v>0</v>
      </c>
      <c r="H196" s="359" t="s">
        <v>307</v>
      </c>
      <c r="I196" s="304">
        <f>25000+20000-25000</f>
        <v>20000</v>
      </c>
      <c r="J196" s="304">
        <v>0</v>
      </c>
      <c r="K196" s="231" t="s">
        <v>308</v>
      </c>
      <c r="L196" s="231">
        <v>2013</v>
      </c>
      <c r="N196" s="357"/>
      <c r="O196" s="357"/>
      <c r="P196" s="357"/>
      <c r="Q196" s="3"/>
    </row>
    <row r="197" spans="1:17" s="48" customFormat="1" ht="21.75" customHeight="1">
      <c r="A197" s="216"/>
      <c r="B197" s="275"/>
      <c r="C197" s="241">
        <v>71015</v>
      </c>
      <c r="D197" s="277"/>
      <c r="E197" s="283" t="s">
        <v>309</v>
      </c>
      <c r="F197" s="284">
        <f>F198+F199</f>
        <v>10000</v>
      </c>
      <c r="G197" s="284">
        <f>G199</f>
        <v>0</v>
      </c>
      <c r="H197" s="284"/>
      <c r="I197" s="284">
        <f>I198+I199</f>
        <v>10000</v>
      </c>
      <c r="J197" s="284">
        <f>J199</f>
        <v>0</v>
      </c>
      <c r="K197" s="358"/>
      <c r="L197" s="358"/>
      <c r="N197" s="357"/>
      <c r="O197" s="357"/>
      <c r="P197" s="357"/>
      <c r="Q197" s="3"/>
    </row>
    <row r="198" spans="1:17" s="48" customFormat="1" ht="40.5" customHeight="1">
      <c r="A198" s="216">
        <v>134</v>
      </c>
      <c r="B198" s="275"/>
      <c r="C198" s="240"/>
      <c r="D198" s="292">
        <v>6060</v>
      </c>
      <c r="E198" s="303" t="s">
        <v>310</v>
      </c>
      <c r="F198" s="304">
        <v>5000</v>
      </c>
      <c r="G198" s="304">
        <v>0</v>
      </c>
      <c r="H198" s="359" t="s">
        <v>311</v>
      </c>
      <c r="I198" s="360">
        <v>5000</v>
      </c>
      <c r="J198" s="360">
        <v>0</v>
      </c>
      <c r="K198" s="274" t="s">
        <v>312</v>
      </c>
      <c r="L198" s="274">
        <v>2013</v>
      </c>
      <c r="N198" s="357"/>
      <c r="O198" s="357"/>
      <c r="P198" s="357"/>
      <c r="Q198" s="3"/>
    </row>
    <row r="199" spans="1:17" s="48" customFormat="1" ht="41.25" customHeight="1">
      <c r="A199" s="263">
        <v>135</v>
      </c>
      <c r="B199" s="206"/>
      <c r="C199" s="272"/>
      <c r="D199" s="292">
        <v>6060</v>
      </c>
      <c r="E199" s="303" t="s">
        <v>313</v>
      </c>
      <c r="F199" s="304">
        <v>5000</v>
      </c>
      <c r="G199" s="304">
        <v>0</v>
      </c>
      <c r="H199" s="359" t="s">
        <v>314</v>
      </c>
      <c r="I199" s="360">
        <v>5000</v>
      </c>
      <c r="J199" s="360">
        <v>0</v>
      </c>
      <c r="K199" s="274" t="s">
        <v>312</v>
      </c>
      <c r="L199" s="274">
        <v>2013</v>
      </c>
      <c r="N199" s="357"/>
      <c r="O199" s="357"/>
      <c r="P199" s="357"/>
      <c r="Q199" s="3"/>
    </row>
    <row r="200" spans="1:17" s="48" customFormat="1" ht="35.25" customHeight="1">
      <c r="A200" s="235"/>
      <c r="B200" s="235">
        <v>754</v>
      </c>
      <c r="C200" s="235"/>
      <c r="D200" s="235"/>
      <c r="E200" s="279" t="s">
        <v>145</v>
      </c>
      <c r="F200" s="361">
        <f>F201+F203</f>
        <v>560000</v>
      </c>
      <c r="G200" s="361">
        <f>G201+G203</f>
        <v>0</v>
      </c>
      <c r="H200" s="361"/>
      <c r="I200" s="361">
        <f>I201+I203</f>
        <v>560000</v>
      </c>
      <c r="J200" s="361">
        <f>J201+J203</f>
        <v>100000</v>
      </c>
      <c r="K200" s="274"/>
      <c r="L200" s="274"/>
      <c r="N200" s="357"/>
      <c r="O200" s="357"/>
      <c r="P200" s="357"/>
      <c r="Q200" s="3"/>
    </row>
    <row r="201" spans="1:17" s="48" customFormat="1" ht="35.25" customHeight="1">
      <c r="A201" s="263"/>
      <c r="B201" s="206"/>
      <c r="C201" s="263">
        <v>75405</v>
      </c>
      <c r="D201" s="386"/>
      <c r="E201" s="303" t="s">
        <v>402</v>
      </c>
      <c r="F201" s="273">
        <f>F202</f>
        <v>210000</v>
      </c>
      <c r="G201" s="273">
        <f>G202</f>
        <v>0</v>
      </c>
      <c r="H201" s="273"/>
      <c r="I201" s="273">
        <f>I202</f>
        <v>210000</v>
      </c>
      <c r="J201" s="273">
        <f>J202</f>
        <v>0</v>
      </c>
      <c r="K201" s="274"/>
      <c r="L201" s="274"/>
      <c r="N201" s="357"/>
      <c r="O201" s="357"/>
      <c r="P201" s="357"/>
      <c r="Q201" s="3"/>
    </row>
    <row r="202" spans="1:17" s="48" customFormat="1" ht="35.25" customHeight="1">
      <c r="A202" s="263">
        <v>136</v>
      </c>
      <c r="B202" s="206"/>
      <c r="C202" s="263"/>
      <c r="D202" s="386">
        <v>6170</v>
      </c>
      <c r="E202" s="303" t="s">
        <v>252</v>
      </c>
      <c r="F202" s="273">
        <f>150000+60000</f>
        <v>210000</v>
      </c>
      <c r="G202" s="273"/>
      <c r="H202" s="273" t="s">
        <v>253</v>
      </c>
      <c r="I202" s="273">
        <f>150000+60000</f>
        <v>210000</v>
      </c>
      <c r="J202" s="273"/>
      <c r="K202" s="274" t="s">
        <v>149</v>
      </c>
      <c r="L202" s="274">
        <v>2013</v>
      </c>
      <c r="N202" s="357"/>
      <c r="O202" s="357"/>
      <c r="P202" s="357"/>
      <c r="Q202" s="3"/>
    </row>
    <row r="203" spans="1:17" s="48" customFormat="1" ht="33" customHeight="1">
      <c r="A203" s="263"/>
      <c r="B203" s="275"/>
      <c r="C203" s="276">
        <v>75411</v>
      </c>
      <c r="D203" s="362"/>
      <c r="E203" s="283" t="s">
        <v>315</v>
      </c>
      <c r="F203" s="273">
        <f>SUM(F204:F206)</f>
        <v>350000</v>
      </c>
      <c r="G203" s="273">
        <f>SUM(G204:G206)</f>
        <v>0</v>
      </c>
      <c r="H203" s="273"/>
      <c r="I203" s="273">
        <f>SUM(I204:I206)</f>
        <v>350000</v>
      </c>
      <c r="J203" s="273">
        <f>SUM(J204:J206)</f>
        <v>100000</v>
      </c>
      <c r="K203" s="274"/>
      <c r="L203" s="274"/>
      <c r="N203" s="357"/>
      <c r="O203" s="357"/>
      <c r="P203" s="357"/>
      <c r="Q203" s="3"/>
    </row>
    <row r="204" spans="1:17" s="48" customFormat="1" ht="105.75" customHeight="1">
      <c r="A204" s="486">
        <v>137</v>
      </c>
      <c r="B204" s="206"/>
      <c r="C204" s="272"/>
      <c r="D204" s="347">
        <v>6050</v>
      </c>
      <c r="E204" s="261" t="s">
        <v>316</v>
      </c>
      <c r="F204" s="304">
        <f>100000</f>
        <v>100000</v>
      </c>
      <c r="G204" s="304">
        <v>0</v>
      </c>
      <c r="H204" s="359" t="s">
        <v>317</v>
      </c>
      <c r="I204" s="273">
        <f>100000</f>
        <v>100000</v>
      </c>
      <c r="J204" s="273"/>
      <c r="K204" s="274" t="s">
        <v>318</v>
      </c>
      <c r="L204" s="274">
        <v>2013</v>
      </c>
      <c r="N204" s="357"/>
      <c r="O204" s="357"/>
      <c r="P204" s="357"/>
      <c r="Q204" s="3"/>
    </row>
    <row r="205" spans="1:17" s="48" customFormat="1" ht="111.75" customHeight="1">
      <c r="A205" s="487"/>
      <c r="B205" s="206"/>
      <c r="C205" s="272"/>
      <c r="D205" s="347">
        <v>6170</v>
      </c>
      <c r="E205" s="261" t="s">
        <v>316</v>
      </c>
      <c r="F205" s="304">
        <f>100000+130000</f>
        <v>230000</v>
      </c>
      <c r="G205" s="304"/>
      <c r="H205" s="359" t="s">
        <v>317</v>
      </c>
      <c r="I205" s="273">
        <f>130000+100000</f>
        <v>230000</v>
      </c>
      <c r="J205" s="273">
        <v>100000</v>
      </c>
      <c r="K205" s="274" t="s">
        <v>149</v>
      </c>
      <c r="L205" s="274">
        <v>2013</v>
      </c>
      <c r="N205" s="357"/>
      <c r="O205" s="357"/>
      <c r="P205" s="357"/>
      <c r="Q205" s="3"/>
    </row>
    <row r="206" spans="1:17" s="48" customFormat="1" ht="87" customHeight="1">
      <c r="A206" s="263">
        <v>138</v>
      </c>
      <c r="B206" s="206"/>
      <c r="C206" s="272"/>
      <c r="D206" s="347">
        <v>6170</v>
      </c>
      <c r="E206" s="261" t="s">
        <v>373</v>
      </c>
      <c r="F206" s="304">
        <v>20000</v>
      </c>
      <c r="G206" s="304"/>
      <c r="H206" s="359" t="s">
        <v>254</v>
      </c>
      <c r="I206" s="467">
        <v>20000</v>
      </c>
      <c r="J206" s="467"/>
      <c r="K206" s="274" t="s">
        <v>149</v>
      </c>
      <c r="L206" s="274">
        <v>2013</v>
      </c>
      <c r="N206" s="357"/>
      <c r="O206" s="357"/>
      <c r="P206" s="357"/>
      <c r="Q206" s="3"/>
    </row>
    <row r="207" spans="1:12" ht="21.75" customHeight="1">
      <c r="A207" s="393"/>
      <c r="B207" s="235">
        <v>758</v>
      </c>
      <c r="C207" s="235"/>
      <c r="D207" s="236"/>
      <c r="E207" s="268" t="s">
        <v>377</v>
      </c>
      <c r="F207" s="269">
        <f>F208</f>
        <v>240536.05</v>
      </c>
      <c r="G207" s="269">
        <f aca="true" t="shared" si="1" ref="G207:J208">G208</f>
        <v>0</v>
      </c>
      <c r="H207" s="269"/>
      <c r="I207" s="269">
        <f t="shared" si="1"/>
        <v>240536.05</v>
      </c>
      <c r="J207" s="269">
        <f t="shared" si="1"/>
        <v>0</v>
      </c>
      <c r="K207" s="232"/>
      <c r="L207" s="232"/>
    </row>
    <row r="208" spans="1:12" ht="22.5" customHeight="1">
      <c r="A208" s="394"/>
      <c r="B208" s="302"/>
      <c r="C208" s="282">
        <v>75818</v>
      </c>
      <c r="D208" s="277"/>
      <c r="E208" s="283" t="s">
        <v>378</v>
      </c>
      <c r="F208" s="284">
        <f>F209</f>
        <v>240536.05</v>
      </c>
      <c r="G208" s="284">
        <f t="shared" si="1"/>
        <v>0</v>
      </c>
      <c r="H208" s="284"/>
      <c r="I208" s="284">
        <f t="shared" si="1"/>
        <v>240536.05</v>
      </c>
      <c r="J208" s="284">
        <f t="shared" si="1"/>
        <v>0</v>
      </c>
      <c r="K208" s="245"/>
      <c r="L208" s="245"/>
    </row>
    <row r="209" spans="1:12" ht="32.25" customHeight="1">
      <c r="A209" s="394"/>
      <c r="B209" s="299"/>
      <c r="C209" s="272"/>
      <c r="D209" s="292">
        <v>6800</v>
      </c>
      <c r="E209" s="303" t="s">
        <v>152</v>
      </c>
      <c r="F209" s="304">
        <f>185000-85000+140536.05</f>
        <v>240536.05</v>
      </c>
      <c r="G209" s="304"/>
      <c r="H209" s="252"/>
      <c r="I209" s="363">
        <f>185000-85000+140536.05</f>
        <v>240536.05</v>
      </c>
      <c r="J209" s="301">
        <f>500000-500000</f>
        <v>0</v>
      </c>
      <c r="K209" s="232"/>
      <c r="L209" s="232"/>
    </row>
    <row r="210" spans="1:12" ht="26.25" customHeight="1">
      <c r="A210" s="198"/>
      <c r="B210" s="327">
        <v>801</v>
      </c>
      <c r="C210" s="235"/>
      <c r="D210" s="235"/>
      <c r="E210" s="294" t="s">
        <v>153</v>
      </c>
      <c r="F210" s="269">
        <f>F211+F213+F215</f>
        <v>316500</v>
      </c>
      <c r="G210" s="269">
        <f>G211+G213+G215</f>
        <v>0</v>
      </c>
      <c r="H210" s="269"/>
      <c r="I210" s="269">
        <f>I211+I213+I215</f>
        <v>316500</v>
      </c>
      <c r="J210" s="269">
        <f>J211+J213+J215</f>
        <v>116500</v>
      </c>
      <c r="K210" s="316"/>
      <c r="L210" s="316"/>
    </row>
    <row r="211" spans="1:12" s="370" customFormat="1" ht="26.25" customHeight="1">
      <c r="A211" s="406"/>
      <c r="B211" s="270"/>
      <c r="C211" s="271">
        <v>80120</v>
      </c>
      <c r="D211" s="276"/>
      <c r="E211" s="297" t="s">
        <v>387</v>
      </c>
      <c r="F211" s="244">
        <f>F212</f>
        <v>110000</v>
      </c>
      <c r="G211" s="244">
        <f>G212</f>
        <v>0</v>
      </c>
      <c r="H211" s="244"/>
      <c r="I211" s="244">
        <f>I212</f>
        <v>110000</v>
      </c>
      <c r="J211" s="244">
        <f>J212</f>
        <v>110000</v>
      </c>
      <c r="K211" s="245"/>
      <c r="L211" s="245"/>
    </row>
    <row r="212" spans="1:12" s="409" customFormat="1" ht="35.25" customHeight="1">
      <c r="A212" s="332">
        <v>138</v>
      </c>
      <c r="B212" s="206"/>
      <c r="C212" s="333"/>
      <c r="D212" s="263">
        <v>6050</v>
      </c>
      <c r="E212" s="405" t="s">
        <v>413</v>
      </c>
      <c r="F212" s="262">
        <v>110000</v>
      </c>
      <c r="G212" s="262"/>
      <c r="H212" s="262" t="s">
        <v>421</v>
      </c>
      <c r="I212" s="262">
        <v>110000</v>
      </c>
      <c r="J212" s="262">
        <v>110000</v>
      </c>
      <c r="K212" s="232" t="s">
        <v>386</v>
      </c>
      <c r="L212" s="232">
        <v>2013</v>
      </c>
    </row>
    <row r="213" spans="1:12" s="409" customFormat="1" ht="45" customHeight="1">
      <c r="A213" s="332">
        <v>140</v>
      </c>
      <c r="B213" s="206"/>
      <c r="C213" s="333">
        <v>80140</v>
      </c>
      <c r="D213" s="263"/>
      <c r="E213" s="405" t="s">
        <v>422</v>
      </c>
      <c r="F213" s="262">
        <f>F214</f>
        <v>200000</v>
      </c>
      <c r="G213" s="262">
        <f>G214</f>
        <v>0</v>
      </c>
      <c r="H213" s="262"/>
      <c r="I213" s="262">
        <f>I214</f>
        <v>200000</v>
      </c>
      <c r="J213" s="262">
        <f>J214</f>
        <v>0</v>
      </c>
      <c r="K213" s="232"/>
      <c r="L213" s="232"/>
    </row>
    <row r="214" spans="1:12" s="409" customFormat="1" ht="41.25" customHeight="1">
      <c r="A214" s="332">
        <v>141</v>
      </c>
      <c r="B214" s="206"/>
      <c r="C214" s="333"/>
      <c r="D214" s="263">
        <v>6050</v>
      </c>
      <c r="E214" s="405" t="s">
        <v>414</v>
      </c>
      <c r="F214" s="262">
        <v>200000</v>
      </c>
      <c r="G214" s="262"/>
      <c r="H214" s="262" t="s">
        <v>78</v>
      </c>
      <c r="I214" s="262">
        <v>200000</v>
      </c>
      <c r="J214" s="262"/>
      <c r="K214" s="232" t="s">
        <v>385</v>
      </c>
      <c r="L214" s="232">
        <v>2013</v>
      </c>
    </row>
    <row r="215" spans="1:12" ht="32.25" customHeight="1">
      <c r="A215" s="198"/>
      <c r="B215" s="272"/>
      <c r="C215" s="271">
        <v>80146</v>
      </c>
      <c r="D215" s="276"/>
      <c r="E215" s="364" t="s">
        <v>319</v>
      </c>
      <c r="F215" s="244">
        <f>F216</f>
        <v>6500</v>
      </c>
      <c r="G215" s="244">
        <f>G216</f>
        <v>0</v>
      </c>
      <c r="H215" s="244"/>
      <c r="I215" s="244">
        <f>I216</f>
        <v>6500</v>
      </c>
      <c r="J215" s="244">
        <f>J216</f>
        <v>6500</v>
      </c>
      <c r="K215" s="245"/>
      <c r="L215" s="245"/>
    </row>
    <row r="216" spans="1:12" ht="53.25" customHeight="1">
      <c r="A216" s="216">
        <v>142</v>
      </c>
      <c r="B216" s="300"/>
      <c r="C216" s="310"/>
      <c r="D216" s="198">
        <v>6050</v>
      </c>
      <c r="E216" s="365" t="s">
        <v>320</v>
      </c>
      <c r="F216" s="366">
        <v>6500</v>
      </c>
      <c r="G216" s="367">
        <v>0</v>
      </c>
      <c r="H216" s="368" t="s">
        <v>321</v>
      </c>
      <c r="I216" s="363">
        <v>6500</v>
      </c>
      <c r="J216" s="301">
        <v>6500</v>
      </c>
      <c r="K216" s="232" t="s">
        <v>322</v>
      </c>
      <c r="L216" s="232">
        <v>2013</v>
      </c>
    </row>
    <row r="217" spans="1:12" s="317" customFormat="1" ht="28.5" customHeight="1">
      <c r="A217" s="267"/>
      <c r="B217" s="267">
        <v>852</v>
      </c>
      <c r="C217" s="235"/>
      <c r="D217" s="235"/>
      <c r="E217" s="314" t="s">
        <v>323</v>
      </c>
      <c r="F217" s="295">
        <f>F218</f>
        <v>84000</v>
      </c>
      <c r="G217" s="295">
        <f aca="true" t="shared" si="2" ref="G217:J218">G218</f>
        <v>0</v>
      </c>
      <c r="H217" s="295"/>
      <c r="I217" s="295">
        <f t="shared" si="2"/>
        <v>84000</v>
      </c>
      <c r="J217" s="295">
        <f t="shared" si="2"/>
        <v>0</v>
      </c>
      <c r="K217" s="316"/>
      <c r="L217" s="316"/>
    </row>
    <row r="218" spans="1:12" s="370" customFormat="1" ht="24" customHeight="1">
      <c r="A218" s="270"/>
      <c r="B218" s="270"/>
      <c r="C218" s="369">
        <v>85202</v>
      </c>
      <c r="D218" s="276"/>
      <c r="E218" s="319" t="s">
        <v>324</v>
      </c>
      <c r="F218" s="298">
        <f>F219</f>
        <v>84000</v>
      </c>
      <c r="G218" s="298">
        <f t="shared" si="2"/>
        <v>0</v>
      </c>
      <c r="H218" s="298"/>
      <c r="I218" s="298">
        <f t="shared" si="2"/>
        <v>84000</v>
      </c>
      <c r="J218" s="298">
        <f t="shared" si="2"/>
        <v>0</v>
      </c>
      <c r="K218" s="245"/>
      <c r="L218" s="245"/>
    </row>
    <row r="219" spans="1:12" ht="42" customHeight="1">
      <c r="A219" s="216">
        <v>143</v>
      </c>
      <c r="B219" s="216"/>
      <c r="C219" s="265"/>
      <c r="D219" s="263">
        <v>6060</v>
      </c>
      <c r="E219" s="250" t="s">
        <v>325</v>
      </c>
      <c r="F219" s="367">
        <v>84000</v>
      </c>
      <c r="G219" s="367"/>
      <c r="H219" s="252" t="s">
        <v>326</v>
      </c>
      <c r="I219" s="363">
        <v>84000</v>
      </c>
      <c r="J219" s="266"/>
      <c r="K219" s="232" t="s">
        <v>327</v>
      </c>
      <c r="L219" s="232">
        <v>2013</v>
      </c>
    </row>
    <row r="220" spans="1:12" ht="24" customHeight="1">
      <c r="A220" s="235"/>
      <c r="B220" s="234">
        <v>926</v>
      </c>
      <c r="C220" s="235"/>
      <c r="D220" s="236"/>
      <c r="E220" s="268" t="s">
        <v>283</v>
      </c>
      <c r="F220" s="269">
        <f>F221</f>
        <v>1500000</v>
      </c>
      <c r="G220" s="269">
        <f>G221</f>
        <v>0</v>
      </c>
      <c r="H220" s="269"/>
      <c r="I220" s="269">
        <f>I221</f>
        <v>500000</v>
      </c>
      <c r="J220" s="269">
        <f>J221</f>
        <v>100000</v>
      </c>
      <c r="K220" s="232"/>
      <c r="L220" s="232"/>
    </row>
    <row r="221" spans="1:12" ht="24" customHeight="1">
      <c r="A221" s="306"/>
      <c r="B221" s="302"/>
      <c r="C221" s="282">
        <v>92601</v>
      </c>
      <c r="D221" s="277"/>
      <c r="E221" s="243" t="s">
        <v>284</v>
      </c>
      <c r="F221" s="244">
        <f>SUM(F222:F222)</f>
        <v>1500000</v>
      </c>
      <c r="G221" s="244">
        <f>SUM(G222:G222)</f>
        <v>0</v>
      </c>
      <c r="H221" s="244"/>
      <c r="I221" s="244">
        <f>SUM(I222:I222)</f>
        <v>500000</v>
      </c>
      <c r="J221" s="244">
        <f>SUM(J222:J222)</f>
        <v>100000</v>
      </c>
      <c r="K221" s="245"/>
      <c r="L221" s="245"/>
    </row>
    <row r="222" spans="1:12" ht="38.25" customHeight="1">
      <c r="A222" s="332">
        <v>144</v>
      </c>
      <c r="B222" s="296"/>
      <c r="C222" s="240"/>
      <c r="D222" s="347">
        <v>6050</v>
      </c>
      <c r="E222" s="256" t="s">
        <v>328</v>
      </c>
      <c r="F222" s="262">
        <f>50000+450000+1000000</f>
        <v>1500000</v>
      </c>
      <c r="G222" s="262">
        <v>0</v>
      </c>
      <c r="H222" s="252" t="s">
        <v>329</v>
      </c>
      <c r="I222" s="262">
        <f>450000+50000</f>
        <v>500000</v>
      </c>
      <c r="J222" s="262">
        <v>100000</v>
      </c>
      <c r="K222" s="232" t="s">
        <v>86</v>
      </c>
      <c r="L222" s="274" t="s">
        <v>330</v>
      </c>
    </row>
    <row r="223" spans="1:15" ht="28.5" customHeight="1">
      <c r="A223" s="235"/>
      <c r="B223" s="371" t="s">
        <v>18</v>
      </c>
      <c r="C223" s="372"/>
      <c r="D223" s="373"/>
      <c r="E223" s="374"/>
      <c r="F223" s="354">
        <f>F13+F173</f>
        <v>95177996.06</v>
      </c>
      <c r="G223" s="354">
        <f>G13+G173</f>
        <v>23804561.88</v>
      </c>
      <c r="H223" s="354"/>
      <c r="I223" s="354">
        <f>I13+I173</f>
        <v>49574365.349999994</v>
      </c>
      <c r="J223" s="354">
        <f>J13+J173</f>
        <v>5513303</v>
      </c>
      <c r="K223" s="375"/>
      <c r="L223" s="375"/>
      <c r="N223" s="415"/>
      <c r="O223" s="415"/>
    </row>
    <row r="224" spans="1:15" ht="21.75" customHeight="1">
      <c r="A224" s="175"/>
      <c r="B224" s="183"/>
      <c r="C224" s="183"/>
      <c r="D224" s="175"/>
      <c r="E224" s="177"/>
      <c r="F224" s="376"/>
      <c r="G224" s="376"/>
      <c r="H224" s="183"/>
      <c r="I224" s="3"/>
      <c r="J224" s="3"/>
      <c r="K224" s="179"/>
      <c r="L224" s="179"/>
      <c r="N224" s="416"/>
      <c r="O224" s="416"/>
    </row>
    <row r="225" spans="1:15" ht="22.5" customHeight="1">
      <c r="A225" s="175"/>
      <c r="B225" s="176"/>
      <c r="C225" s="176"/>
      <c r="D225" s="175"/>
      <c r="G225" s="177"/>
      <c r="H225" s="177"/>
      <c r="I225" s="4"/>
      <c r="J225" s="4"/>
      <c r="K225" s="190"/>
      <c r="L225" s="179"/>
      <c r="N225" s="233"/>
      <c r="O225" s="239"/>
    </row>
    <row r="226" spans="1:15" ht="12.75">
      <c r="A226" s="175"/>
      <c r="B226" s="176"/>
      <c r="C226" s="176"/>
      <c r="D226" s="175"/>
      <c r="G226" s="177"/>
      <c r="H226" s="177"/>
      <c r="I226" s="4"/>
      <c r="J226" s="4"/>
      <c r="K226" s="190"/>
      <c r="L226" s="179"/>
      <c r="M226" s="233"/>
      <c r="N226" s="233"/>
      <c r="O226" s="233"/>
    </row>
    <row r="227" spans="8:15" ht="12.75">
      <c r="H227" s="377"/>
      <c r="I227" s="253"/>
      <c r="J227" s="233"/>
      <c r="K227" s="233"/>
      <c r="N227" s="233"/>
      <c r="O227" s="233"/>
    </row>
    <row r="228" spans="8:15" ht="12.75">
      <c r="H228" s="253"/>
      <c r="I228" s="378"/>
      <c r="J228" s="233"/>
      <c r="K228" s="233"/>
      <c r="N228" s="233"/>
      <c r="O228" s="233"/>
    </row>
    <row r="229" spans="8:15" ht="12.75">
      <c r="H229" s="233"/>
      <c r="I229" s="233"/>
      <c r="J229" s="233"/>
      <c r="K229" s="233"/>
      <c r="N229" s="233"/>
      <c r="O229" s="233"/>
    </row>
    <row r="230" spans="8:15" ht="12.75">
      <c r="H230" s="233"/>
      <c r="I230" s="233"/>
      <c r="J230" s="233"/>
      <c r="K230" s="233"/>
      <c r="N230" s="233"/>
      <c r="O230" s="233"/>
    </row>
    <row r="231" spans="8:11" ht="12.75">
      <c r="H231" s="233"/>
      <c r="I231" s="233"/>
      <c r="J231" s="233"/>
      <c r="K231" s="233"/>
    </row>
    <row r="232" spans="8:11" ht="12.75">
      <c r="H232" s="233"/>
      <c r="I232" s="233"/>
      <c r="J232" s="233"/>
      <c r="K232" s="233"/>
    </row>
    <row r="233" spans="8:11" ht="12.75">
      <c r="H233" s="233"/>
      <c r="I233" s="233"/>
      <c r="J233" s="233"/>
      <c r="K233" s="233"/>
    </row>
    <row r="234" spans="8:11" ht="12.75">
      <c r="H234" s="233"/>
      <c r="I234" s="233"/>
      <c r="J234" s="233"/>
      <c r="K234" s="233"/>
    </row>
    <row r="235" spans="8:11" ht="12.75">
      <c r="H235" s="233"/>
      <c r="I235" s="233"/>
      <c r="J235" s="233"/>
      <c r="K235" s="233"/>
    </row>
    <row r="236" spans="8:11" ht="12.75">
      <c r="H236" s="233"/>
      <c r="I236" s="233"/>
      <c r="J236" s="233"/>
      <c r="K236" s="233"/>
    </row>
    <row r="237" spans="8:11" ht="12.75">
      <c r="H237" s="233"/>
      <c r="I237" s="233"/>
      <c r="J237" s="233"/>
      <c r="K237" s="233"/>
    </row>
    <row r="238" spans="8:11" ht="12.75">
      <c r="H238" s="233"/>
      <c r="I238" s="233"/>
      <c r="J238" s="233"/>
      <c r="K238" s="233"/>
    </row>
  </sheetData>
  <sheetProtection/>
  <mergeCells count="4">
    <mergeCell ref="A204:A205"/>
    <mergeCell ref="A127:A128"/>
    <mergeCell ref="A129:A130"/>
    <mergeCell ref="A157:A158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2013-08-19T08:12:57Z</cp:lastPrinted>
  <dcterms:created xsi:type="dcterms:W3CDTF">2009-03-04T08:33:11Z</dcterms:created>
  <dcterms:modified xsi:type="dcterms:W3CDTF">2013-08-19T11:22:58Z</dcterms:modified>
  <cp:category/>
  <cp:version/>
  <cp:contentType/>
  <cp:contentStatus/>
</cp:coreProperties>
</file>