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'Zał.1_WPF_bazowy'!$A$1:$X$101</definedName>
    <definedName name="_xlnm.Print_Titles" localSheetId="0">'Zał.1_WPF_bazowy'!$A:$E,'Zał.1_WPF_bazowy'!$6:$6</definedName>
  </definedNames>
  <calcPr fullCalcOnLoad="1"/>
</workbook>
</file>

<file path=xl/sharedStrings.xml><?xml version="1.0" encoding="utf-8"?>
<sst xmlns="http://schemas.openxmlformats.org/spreadsheetml/2006/main" count="3098" uniqueCount="465">
  <si>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</si>
  <si>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</si>
  <si>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</si>
  <si>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</si>
  <si>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</si>
  <si>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</si>
  <si>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</si>
  <si>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</si>
  <si>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</si>
  <si>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</si>
  <si>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</si>
  <si>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</si>
  <si>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</si>
  <si>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</si>
  <si>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</si>
  <si>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</si>
  <si>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</si>
  <si>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</si>
  <si>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</si>
  <si>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</si>
  <si>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</si>
  <si>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</si>
  <si>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</si>
  <si>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</si>
  <si>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</si>
  <si>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</si>
  <si>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</si>
  <si>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</si>
  <si>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</si>
  <si>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</si>
  <si>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</si>
  <si>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</si>
  <si>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</si>
  <si>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</si>
  <si>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</si>
  <si>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</si>
  <si>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</si>
  <si>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</si>
  <si>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</si>
  <si>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</si>
  <si>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</si>
  <si>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</si>
  <si>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</si>
  <si>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</si>
  <si>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</si>
  <si>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</si>
  <si>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</si>
  <si>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</si>
  <si>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</si>
  <si>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</si>
  <si>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</si>
  <si>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</si>
  <si>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</si>
  <si>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</si>
  <si>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</si>
  <si>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</si>
  <si>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</si>
  <si>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</si>
  <si>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</si>
  <si>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</si>
  <si>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</si>
  <si>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</si>
  <si>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</si>
  <si>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</si>
  <si>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</si>
  <si>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</si>
  <si>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</si>
  <si>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</si>
  <si>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</si>
  <si>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</si>
  <si>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</si>
  <si>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</si>
  <si>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</si>
  <si>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</si>
  <si>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</si>
  <si>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</si>
  <si>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</si>
  <si>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</si>
  <si>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</si>
  <si>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</si>
  <si>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</si>
  <si>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</si>
  <si>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</si>
  <si>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</si>
  <si>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</si>
  <si>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</si>
  <si>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</si>
  <si>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</si>
  <si>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</si>
  <si>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</si>
  <si>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</si>
  <si>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</si>
  <si>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</si>
  <si>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</si>
  <si>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</si>
  <si>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</si>
  <si>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</si>
  <si>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</si>
  <si>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</si>
  <si>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</si>
  <si>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</si>
  <si>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</si>
  <si>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</si>
  <si>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</si>
  <si>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</si>
  <si>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</si>
  <si>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</si>
  <si>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</si>
  <si>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</si>
  <si>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</si>
  <si>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</si>
  <si>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</si>
  <si>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</si>
  <si>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</si>
  <si>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</si>
  <si>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</si>
  <si>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</si>
  <si>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</si>
  <si>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</si>
  <si>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</si>
  <si>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</si>
  <si>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</si>
  <si>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</si>
  <si>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</si>
  <si>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</si>
  <si>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</si>
  <si>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</si>
  <si>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</si>
  <si>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</si>
  <si>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</si>
  <si>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</si>
  <si>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</si>
  <si>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</si>
  <si>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</si>
  <si>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</si>
  <si>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</si>
  <si>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</si>
  <si>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</si>
  <si>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</si>
  <si>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</si>
  <si>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</si>
  <si>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</si>
  <si>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</si>
  <si>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</si>
  <si>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</si>
  <si>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</si>
  <si>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</si>
  <si>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</si>
  <si>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</si>
  <si>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</si>
  <si>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</si>
  <si>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</si>
  <si>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</si>
  <si>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</si>
  <si>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</si>
  <si>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</si>
  <si>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</si>
  <si>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</si>
  <si>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</si>
  <si>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</si>
  <si>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</si>
  <si>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</si>
  <si>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</si>
  <si>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</si>
  <si>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</si>
  <si>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</si>
  <si>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</si>
  <si>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</si>
  <si>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</si>
  <si>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</si>
  <si>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</si>
  <si>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</si>
  <si>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</si>
  <si>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</si>
  <si>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</si>
  <si>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</si>
  <si>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</si>
  <si>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</si>
  <si>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</si>
  <si>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</si>
  <si>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</si>
  <si>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</si>
  <si>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</si>
  <si>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</si>
  <si>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</si>
  <si>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</si>
  <si>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</si>
  <si>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</si>
  <si>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</si>
  <si>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</si>
  <si>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</si>
  <si>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</si>
  <si>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</si>
  <si>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</si>
  <si>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</si>
  <si>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</si>
  <si>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</si>
  <si>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</si>
  <si>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</si>
  <si>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</si>
  <si>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</si>
  <si>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</si>
  <si>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</si>
  <si>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</si>
  <si>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</si>
  <si>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</si>
  <si>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</si>
  <si>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</si>
  <si>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</si>
  <si>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</si>
  <si>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</si>
  <si>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</si>
  <si>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</si>
  <si>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</si>
  <si>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</si>
  <si>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</si>
  <si>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</si>
  <si>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</si>
  <si>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</si>
  <si>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</si>
  <si>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</si>
  <si>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</si>
  <si>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</si>
  <si>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</si>
  <si>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</si>
  <si>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</si>
  <si>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</si>
  <si>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</si>
  <si>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</si>
  <si>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</si>
  <si>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</si>
  <si>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</si>
  <si>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</si>
  <si>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</si>
  <si>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</si>
  <si>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</si>
  <si>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</si>
  <si>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</si>
  <si>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</si>
  <si>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</si>
  <si>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</si>
  <si>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</si>
  <si>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</si>
  <si>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</si>
  <si>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</si>
  <si>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</si>
  <si>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</si>
  <si>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</si>
  <si>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</si>
  <si>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</si>
  <si>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</si>
  <si>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</si>
  <si>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</si>
  <si>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</si>
  <si>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</si>
  <si>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</si>
  <si>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</si>
  <si>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</si>
  <si>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</si>
  <si>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</si>
  <si>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</si>
  <si>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</si>
  <si>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</si>
  <si>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</si>
  <si>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</si>
  <si>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</si>
  <si>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</si>
  <si>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</si>
  <si>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</si>
  <si>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</si>
  <si>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</si>
  <si>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</si>
  <si>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</si>
  <si>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</si>
  <si>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</si>
  <si>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</si>
  <si>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</si>
  <si>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</si>
  <si>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</si>
  <si>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</si>
  <si>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</si>
  <si>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</si>
  <si>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</si>
  <si>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</si>
  <si>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</si>
  <si>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</si>
  <si>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</si>
  <si>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</si>
  <si>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</si>
  <si>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</si>
  <si>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</si>
  <si>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</si>
  <si>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</si>
  <si>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</si>
  <si>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</si>
  <si>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</si>
  <si>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</si>
  <si>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</si>
  <si>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</si>
  <si>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</si>
  <si>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</si>
  <si>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</si>
  <si>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</si>
  <si>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</si>
  <si>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</si>
  <si>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</si>
  <si>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</si>
  <si>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</si>
  <si>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</si>
  <si>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</si>
  <si>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</si>
  <si>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</si>
  <si>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</si>
  <si>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</si>
  <si>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</si>
  <si>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</si>
  <si>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</si>
  <si>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</si>
  <si>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</si>
  <si>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</si>
  <si>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</si>
  <si>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</si>
  <si>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</si>
  <si>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</si>
  <si>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</si>
  <si>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</si>
  <si>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</si>
  <si>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</si>
  <si>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</si>
  <si>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</si>
  <si>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</si>
  <si>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</si>
  <si>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</si>
  <si>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</si>
  <si>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</si>
  <si>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</si>
  <si>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</si>
  <si>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</si>
  <si>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</si>
  <si>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</si>
  <si>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</si>
  <si>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</si>
  <si>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</si>
  <si>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</si>
  <si>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</si>
  <si>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</si>
  <si>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</si>
  <si>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</si>
  <si>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</si>
  <si>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</si>
  <si>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</si>
  <si>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</si>
  <si>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</si>
  <si>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</si>
  <si>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</si>
  <si>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</si>
  <si>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</si>
  <si>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</si>
  <si>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</si>
  <si>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</si>
  <si>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</si>
  <si>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</si>
  <si>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</si>
  <si>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</si>
  <si>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</si>
  <si>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</si>
  <si>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</si>
  <si>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</si>
  <si>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</si>
  <si>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</si>
  <si>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</si>
  <si>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</si>
  <si>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</si>
  <si>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</si>
  <si>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</si>
  <si>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</si>
  <si>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</si>
  <si>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</si>
  <si>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</si>
  <si>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</si>
  <si>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</si>
  <si>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</si>
  <si>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</si>
  <si>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</si>
  <si>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</si>
  <si>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</si>
  <si>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</si>
  <si>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</si>
  <si>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</si>
  <si>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</si>
  <si>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</si>
  <si>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</si>
  <si>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</si>
  <si>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</si>
  <si>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</si>
  <si>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</si>
  <si>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</si>
  <si>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</si>
  <si>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</si>
  <si>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</si>
  <si>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</si>
  <si>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</si>
  <si>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</si>
  <si>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</si>
  <si>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</si>
  <si>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</si>
  <si>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</si>
  <si>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</si>
  <si>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</si>
  <si>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</si>
  <si>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</si>
  <si>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</si>
  <si>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</si>
  <si>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Do symulacji prognozy i obserwacji zmian wskaźników z art. 243, 169 i 170 na podstawie danych wprowadzanych ręcznie służy arkusz "WPF_AnalizaWsk_Projektowanie"</t>
  </si>
  <si>
    <t>Kontrola poprawności wyliczenia kwoty długu planowanego do spłaty z wydatków budżetu (różnica nie powinna być dodatnia)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</si>
  <si>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</si>
  <si>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</si>
  <si>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</si>
  <si>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</si>
  <si>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</si>
  <si>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</si>
  <si>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</si>
  <si>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</si>
  <si>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</si>
  <si>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</si>
  <si>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</si>
  <si>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</si>
  <si>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</si>
  <si>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</si>
  <si>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</si>
  <si>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</si>
  <si>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</si>
  <si>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</si>
  <si>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</si>
  <si>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</si>
  <si>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</si>
  <si>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Wyliczenie zobowiązań wynikających z przejęcia przez jst zobowiązań po likwidowanych i przekształcanych SZOZ</t>
  </si>
  <si>
    <t>październik</t>
  </si>
  <si>
    <t>Konin</t>
  </si>
  <si>
    <t>[11.3.1] + [11.3.2]</t>
  </si>
  <si>
    <t>[1.1] - [2.1]</t>
  </si>
  <si>
    <t>( [1.1] -  ( [2.1]  - [2.1.2] ) + [1.2.1] ) / [1]</t>
  </si>
  <si>
    <t>([6] - [6.1]) / [1]</t>
  </si>
  <si>
    <t>[2.1] + [2.2]</t>
  </si>
  <si>
    <t>[9.6] - [9.7]</t>
  </si>
  <si>
    <t>[6] / [1]</t>
  </si>
  <si>
    <t>([2.1.1] + [2.1.3.1] + [5.1] - [5.1.1] ) / [1]</t>
  </si>
  <si>
    <t>[1.1] + [4.1] + [4.2] - (  [2.1] - [2.1.2]  )</t>
  </si>
  <si>
    <t>[1.1] + [1.2]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</si>
  <si>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</si>
  <si>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</si>
  <si>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</si>
  <si>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</si>
  <si>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[9.6] - [9.7.1]</t>
  </si>
  <si>
    <t>([2.1.1]+[2.1.3.1] + [5.1]+[9.5]-[5.1.1] )/[1]</t>
  </si>
  <si>
    <t>[5.1] + [5.2]</t>
  </si>
  <si>
    <t>[4.1] + [4.2] + [4.3] + [4.4]</t>
  </si>
  <si>
    <t>[1] -[2]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</si>
  <si>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</si>
  <si>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</si>
  <si>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Załącznik nr 1</t>
  </si>
  <si>
    <t>do Uchwały nr</t>
  </si>
  <si>
    <t>Rady Miasta Konina</t>
  </si>
  <si>
    <t>z dnia 30 października 2013</t>
  </si>
  <si>
    <t>Wieloletnia Prognoza Finansowa miasta Konina na lata 2013-2017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</si>
</sst>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57" fillId="24" borderId="0" applyNumberFormat="0" applyBorder="0" applyAlignment="0" applyProtection="0"/>
    <xf numFmtId="0" fontId="11" fillId="25" borderId="0" applyNumberFormat="0" applyBorder="0" applyAlignment="0" applyProtection="0"/>
    <xf numFmtId="0" fontId="58" fillId="24" borderId="0" applyNumberFormat="0" applyBorder="0" applyAlignment="0" applyProtection="0"/>
    <xf numFmtId="0" fontId="57" fillId="26" borderId="0" applyNumberFormat="0" applyBorder="0" applyAlignment="0" applyProtection="0"/>
    <xf numFmtId="0" fontId="11" fillId="17" borderId="0" applyNumberFormat="0" applyBorder="0" applyAlignment="0" applyProtection="0"/>
    <xf numFmtId="0" fontId="58" fillId="26" borderId="0" applyNumberFormat="0" applyBorder="0" applyAlignment="0" applyProtection="0"/>
    <xf numFmtId="0" fontId="57" fillId="27" borderId="0" applyNumberFormat="0" applyBorder="0" applyAlignment="0" applyProtection="0"/>
    <xf numFmtId="0" fontId="11" fillId="19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11" fillId="29" borderId="0" applyNumberFormat="0" applyBorder="0" applyAlignment="0" applyProtection="0"/>
    <xf numFmtId="0" fontId="58" fillId="28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58" fillId="30" borderId="0" applyNumberFormat="0" applyBorder="0" applyAlignment="0" applyProtection="0"/>
    <xf numFmtId="0" fontId="57" fillId="32" borderId="0" applyNumberFormat="0" applyBorder="0" applyAlignment="0" applyProtection="0"/>
    <xf numFmtId="0" fontId="11" fillId="33" borderId="0" applyNumberFormat="0" applyBorder="0" applyAlignment="0" applyProtection="0"/>
    <xf numFmtId="0" fontId="58" fillId="32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58" fillId="34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58" fillId="36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58" fillId="38" borderId="0" applyNumberFormat="0" applyBorder="0" applyAlignment="0" applyProtection="0"/>
    <xf numFmtId="0" fontId="57" fillId="40" borderId="0" applyNumberFormat="0" applyBorder="0" applyAlignment="0" applyProtection="0"/>
    <xf numFmtId="0" fontId="11" fillId="29" borderId="0" applyNumberFormat="0" applyBorder="0" applyAlignment="0" applyProtection="0"/>
    <xf numFmtId="0" fontId="58" fillId="40" borderId="0" applyNumberFormat="0" applyBorder="0" applyAlignment="0" applyProtection="0"/>
    <xf numFmtId="0" fontId="57" fillId="41" borderId="0" applyNumberFormat="0" applyBorder="0" applyAlignment="0" applyProtection="0"/>
    <xf numFmtId="0" fontId="11" fillId="31" borderId="0" applyNumberFormat="0" applyBorder="0" applyAlignment="0" applyProtection="0"/>
    <xf numFmtId="0" fontId="58" fillId="41" borderId="0" applyNumberFormat="0" applyBorder="0" applyAlignment="0" applyProtection="0"/>
    <xf numFmtId="0" fontId="57" fillId="42" borderId="0" applyNumberFormat="0" applyBorder="0" applyAlignment="0" applyProtection="0"/>
    <xf numFmtId="0" fontId="11" fillId="43" borderId="0" applyNumberFormat="0" applyBorder="0" applyAlignment="0" applyProtection="0"/>
    <xf numFmtId="0" fontId="58" fillId="42" borderId="0" applyNumberFormat="0" applyBorder="0" applyAlignment="0" applyProtection="0"/>
    <xf numFmtId="0" fontId="59" fillId="44" borderId="1" applyNumberFormat="0" applyAlignment="0" applyProtection="0"/>
    <xf numFmtId="0" fontId="12" fillId="13" borderId="2" applyNumberFormat="0" applyAlignment="0" applyProtection="0"/>
    <xf numFmtId="0" fontId="60" fillId="44" borderId="1" applyNumberFormat="0" applyAlignment="0" applyProtection="0"/>
    <xf numFmtId="0" fontId="61" fillId="45" borderId="3" applyNumberFormat="0" applyAlignment="0" applyProtection="0"/>
    <xf numFmtId="0" fontId="13" fillId="46" borderId="4" applyNumberFormat="0" applyAlignment="0" applyProtection="0"/>
    <xf numFmtId="0" fontId="62" fillId="45" borderId="3" applyNumberFormat="0" applyAlignment="0" applyProtection="0"/>
    <xf numFmtId="0" fontId="63" fillId="47" borderId="0" applyNumberFormat="0" applyBorder="0" applyAlignment="0" applyProtection="0"/>
    <xf numFmtId="0" fontId="14" fillId="7" borderId="0" applyNumberFormat="0" applyBorder="0" applyAlignment="0" applyProtection="0"/>
    <xf numFmtId="0" fontId="6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67" fillId="48" borderId="7" applyNumberFormat="0" applyAlignment="0" applyProtection="0"/>
    <xf numFmtId="0" fontId="16" fillId="49" borderId="8" applyNumberFormat="0" applyAlignment="0" applyProtection="0"/>
    <xf numFmtId="0" fontId="68" fillId="48" borderId="7" applyNumberFormat="0" applyAlignment="0" applyProtection="0"/>
    <xf numFmtId="0" fontId="69" fillId="0" borderId="9" applyNumberFormat="0" applyFill="0" applyAlignment="0" applyProtection="0"/>
    <xf numFmtId="0" fontId="17" fillId="0" borderId="10" applyNumberFormat="0" applyFill="0" applyAlignment="0" applyProtection="0"/>
    <xf numFmtId="0" fontId="70" fillId="0" borderId="9" applyNumberFormat="0" applyFill="0" applyAlignment="0" applyProtection="0"/>
    <xf numFmtId="0" fontId="71" fillId="0" borderId="11" applyNumberFormat="0" applyFill="0" applyAlignment="0" applyProtection="0"/>
    <xf numFmtId="0" fontId="18" fillId="0" borderId="12" applyNumberFormat="0" applyFill="0" applyAlignment="0" applyProtection="0"/>
    <xf numFmtId="0" fontId="72" fillId="0" borderId="11" applyNumberFormat="0" applyFill="0" applyAlignment="0" applyProtection="0"/>
    <xf numFmtId="0" fontId="73" fillId="0" borderId="13" applyNumberFormat="0" applyFill="0" applyAlignment="0" applyProtection="0"/>
    <xf numFmtId="0" fontId="19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50" borderId="0" applyNumberFormat="0" applyBorder="0" applyAlignment="0" applyProtection="0"/>
    <xf numFmtId="0" fontId="20" fillId="51" borderId="0" applyNumberFormat="0" applyBorder="0" applyAlignment="0" applyProtection="0"/>
    <xf numFmtId="0" fontId="7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77" fillId="45" borderId="1" applyNumberFormat="0" applyAlignment="0" applyProtection="0"/>
    <xf numFmtId="0" fontId="21" fillId="46" borderId="2" applyNumberFormat="0" applyAlignment="0" applyProtection="0"/>
    <xf numFmtId="0" fontId="7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5" applyNumberFormat="0" applyFill="0" applyAlignment="0" applyProtection="0"/>
    <xf numFmtId="0" fontId="10" fillId="0" borderId="16" applyNumberFormat="0" applyFill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54" borderId="0" applyNumberFormat="0" applyBorder="0" applyAlignment="0" applyProtection="0"/>
    <xf numFmtId="0" fontId="25" fillId="5" borderId="0" applyNumberFormat="0" applyBorder="0" applyAlignment="0" applyProtection="0"/>
    <xf numFmtId="0" fontId="87" fillId="5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9" fillId="0" borderId="0" xfId="0" applyFont="1" applyAlignment="1">
      <alignment/>
    </xf>
    <xf numFmtId="0" fontId="88" fillId="0" borderId="19" xfId="0" applyNumberFormat="1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9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0" fillId="0" borderId="0" xfId="0" applyNumberFormat="1" applyFont="1" applyAlignment="1">
      <alignment horizontal="center" vertical="center"/>
    </xf>
    <xf numFmtId="166" fontId="90" fillId="0" borderId="0" xfId="0" applyNumberFormat="1" applyFont="1" applyAlignment="1">
      <alignment vertical="center"/>
    </xf>
    <xf numFmtId="2" fontId="90" fillId="0" borderId="0" xfId="0" applyNumberFormat="1" applyFont="1" applyAlignment="1">
      <alignment vertical="center"/>
    </xf>
    <xf numFmtId="49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14" fontId="9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92" fillId="0" borderId="24" xfId="0" applyFont="1" applyBorder="1" applyAlignment="1">
      <alignment horizontal="right" vertical="center"/>
    </xf>
    <xf numFmtId="0" fontId="92" fillId="0" borderId="25" xfId="0" applyFont="1" applyBorder="1" applyAlignment="1">
      <alignment horizontal="right" vertical="center"/>
    </xf>
    <xf numFmtId="0" fontId="92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92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30" xfId="131" applyNumberFormat="1" applyFont="1" applyFill="1" applyBorder="1" applyAlignment="1">
      <alignment horizontal="center" vertical="center" wrapText="1"/>
      <protection/>
    </xf>
    <xf numFmtId="0" fontId="93" fillId="0" borderId="31" xfId="0" applyFont="1" applyBorder="1" applyAlignment="1">
      <alignment horizontal="left" vertical="center"/>
    </xf>
    <xf numFmtId="0" fontId="92" fillId="0" borderId="31" xfId="0" applyFont="1" applyBorder="1" applyAlignment="1">
      <alignment horizontal="left" vertical="center"/>
    </xf>
    <xf numFmtId="0" fontId="92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2" fillId="0" borderId="25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8" fillId="60" borderId="39" xfId="0" applyFont="1" applyFill="1" applyBorder="1" applyAlignment="1">
      <alignment horizontal="left" vertical="center" wrapText="1"/>
    </xf>
    <xf numFmtId="0" fontId="28" fillId="60" borderId="24" xfId="0" applyFont="1" applyFill="1" applyBorder="1" applyAlignment="1">
      <alignment horizontal="left" vertical="center" wrapText="1"/>
    </xf>
    <xf numFmtId="0" fontId="28" fillId="56" borderId="24" xfId="0" applyFont="1" applyFill="1" applyBorder="1" applyAlignment="1">
      <alignment horizontal="left" vertical="center" wrapText="1"/>
    </xf>
    <xf numFmtId="0" fontId="28" fillId="55" borderId="24" xfId="0" applyFont="1" applyFill="1" applyBorder="1" applyAlignment="1">
      <alignment horizontal="left" vertical="center" wrapText="1"/>
    </xf>
    <xf numFmtId="0" fontId="28" fillId="55" borderId="26" xfId="0" applyFont="1" applyFill="1" applyBorder="1" applyAlignment="1">
      <alignment horizontal="left" vertical="center" wrapText="1"/>
    </xf>
    <xf numFmtId="0" fontId="92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91" fillId="59" borderId="27" xfId="0" applyFont="1" applyFill="1" applyBorder="1" applyAlignment="1">
      <alignment vertical="center" wrapText="1"/>
    </xf>
    <xf numFmtId="0" fontId="91" fillId="59" borderId="28" xfId="0" applyFont="1" applyFill="1" applyBorder="1" applyAlignment="1">
      <alignment vertical="center" wrapText="1"/>
    </xf>
    <xf numFmtId="0" fontId="91" fillId="59" borderId="31" xfId="0" applyFont="1" applyFill="1" applyBorder="1" applyAlignment="1">
      <alignment vertical="center" wrapText="1"/>
    </xf>
    <xf numFmtId="0" fontId="91" fillId="59" borderId="33" xfId="0" applyFont="1" applyFill="1" applyBorder="1" applyAlignment="1">
      <alignment vertical="center" wrapText="1"/>
    </xf>
    <xf numFmtId="0" fontId="91" fillId="59" borderId="32" xfId="0" applyFont="1" applyFill="1" applyBorder="1" applyAlignment="1">
      <alignment vertical="center" wrapText="1"/>
    </xf>
    <xf numFmtId="0" fontId="91" fillId="59" borderId="3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1" fillId="59" borderId="30" xfId="0" applyFont="1" applyFill="1" applyBorder="1" applyAlignment="1">
      <alignment vertical="center" wrapText="1"/>
    </xf>
    <xf numFmtId="0" fontId="91" fillId="59" borderId="34" xfId="0" applyFont="1" applyFill="1" applyBorder="1" applyAlignment="1">
      <alignment vertical="center" wrapText="1"/>
    </xf>
    <xf numFmtId="0" fontId="91" fillId="59" borderId="37" xfId="0" applyFont="1" applyFill="1" applyBorder="1" applyAlignment="1">
      <alignment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89" fillId="0" borderId="35" xfId="0" applyNumberFormat="1" applyFont="1" applyFill="1" applyBorder="1" applyAlignment="1">
      <alignment horizontal="center" vertical="center"/>
    </xf>
    <xf numFmtId="0" fontId="89" fillId="0" borderId="33" xfId="0" applyNumberFormat="1" applyFont="1" applyFill="1" applyBorder="1" applyAlignment="1">
      <alignment horizontal="center" vertical="center"/>
    </xf>
    <xf numFmtId="0" fontId="91" fillId="59" borderId="31" xfId="0" applyFont="1" applyFill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2" fillId="0" borderId="31" xfId="0" applyFont="1" applyBorder="1" applyAlignment="1" applyProtection="1">
      <alignment horizontal="left" vertical="center"/>
      <protection locked="0"/>
    </xf>
    <xf numFmtId="0" fontId="92" fillId="0" borderId="25" xfId="0" applyFont="1" applyBorder="1" applyAlignment="1" applyProtection="1">
      <alignment horizontal="left" vertical="center"/>
      <protection locked="0"/>
    </xf>
    <xf numFmtId="0" fontId="92" fillId="0" borderId="24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vertical="center" wrapText="1"/>
      <protection locked="0"/>
    </xf>
    <xf numFmtId="0" fontId="91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5" borderId="0" xfId="0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Alignment="1">
      <alignment/>
    </xf>
    <xf numFmtId="0" fontId="2" fillId="10" borderId="40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1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1" fillId="10" borderId="41" xfId="0" applyFont="1" applyFill="1" applyBorder="1" applyAlignment="1">
      <alignment horizontal="left" vertical="center" wrapText="1"/>
    </xf>
    <xf numFmtId="0" fontId="31" fillId="10" borderId="42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3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3" xfId="138" applyNumberFormat="1" applyFont="1" applyFill="1" applyBorder="1" applyAlignment="1">
      <alignment horizontal="right" vertical="center"/>
    </xf>
    <xf numFmtId="169" fontId="2" fillId="0" borderId="44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5" xfId="0" applyNumberFormat="1" applyFont="1" applyFill="1" applyBorder="1" applyAlignment="1">
      <alignment horizontal="right" vertical="center" wrapText="1"/>
    </xf>
    <xf numFmtId="169" fontId="2" fillId="59" borderId="44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30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47" xfId="0" applyFont="1" applyBorder="1" applyAlignment="1" applyProtection="1">
      <alignment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92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7" xfId="0" applyFont="1" applyFill="1" applyBorder="1" applyAlignment="1" applyProtection="1">
      <alignment vertical="center"/>
      <protection locked="0"/>
    </xf>
    <xf numFmtId="0" fontId="33" fillId="0" borderId="47" xfId="0" applyFont="1" applyFill="1" applyBorder="1" applyAlignment="1" applyProtection="1">
      <alignment vertical="center"/>
      <protection locked="0"/>
    </xf>
    <xf numFmtId="0" fontId="93" fillId="0" borderId="25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166" fontId="89" fillId="0" borderId="35" xfId="0" applyNumberFormat="1" applyFont="1" applyFill="1" applyBorder="1" applyAlignment="1">
      <alignment horizontal="center" vertical="center"/>
    </xf>
    <xf numFmtId="166" fontId="89" fillId="0" borderId="33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96" fillId="0" borderId="41" xfId="134" applyFont="1" applyBorder="1" applyAlignment="1">
      <alignment horizontal="left" vertical="center"/>
      <protection/>
    </xf>
    <xf numFmtId="0" fontId="96" fillId="0" borderId="25" xfId="134" applyFont="1" applyBorder="1" applyAlignment="1">
      <alignment horizontal="left" vertical="center"/>
      <protection/>
    </xf>
    <xf numFmtId="0" fontId="96" fillId="0" borderId="35" xfId="134" applyFont="1" applyBorder="1" applyAlignment="1">
      <alignment horizontal="left" vertical="center"/>
      <protection/>
    </xf>
    <xf numFmtId="0" fontId="96" fillId="0" borderId="42" xfId="134" applyFont="1" applyBorder="1" applyAlignment="1">
      <alignment horizontal="left" vertical="center"/>
      <protection/>
    </xf>
    <xf numFmtId="0" fontId="96" fillId="0" borderId="48" xfId="134" applyFont="1" applyBorder="1" applyAlignment="1">
      <alignment horizontal="left" vertical="center"/>
      <protection/>
    </xf>
    <xf numFmtId="0" fontId="96" fillId="0" borderId="38" xfId="134" applyFont="1" applyBorder="1" applyAlignment="1">
      <alignment horizontal="left" vertical="center"/>
      <protection/>
    </xf>
    <xf numFmtId="0" fontId="96" fillId="0" borderId="40" xfId="134" applyFont="1" applyBorder="1" applyAlignment="1">
      <alignment horizontal="left" vertical="center"/>
      <protection/>
    </xf>
    <xf numFmtId="0" fontId="96" fillId="0" borderId="49" xfId="134" applyFont="1" applyBorder="1" applyAlignment="1">
      <alignment horizontal="left" vertical="center"/>
      <protection/>
    </xf>
    <xf numFmtId="0" fontId="96" fillId="0" borderId="29" xfId="134" applyFont="1" applyBorder="1" applyAlignment="1">
      <alignment horizontal="left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9" xfId="131" applyNumberFormat="1" applyFont="1" applyFill="1" applyBorder="1" applyAlignment="1">
      <alignment horizontal="center" vertical="center"/>
      <protection/>
    </xf>
    <xf numFmtId="0" fontId="93" fillId="0" borderId="24" xfId="0" applyFont="1" applyBorder="1" applyAlignment="1">
      <alignment horizontal="left" vertical="center" wrapText="1"/>
    </xf>
    <xf numFmtId="0" fontId="93" fillId="0" borderId="25" xfId="0" applyFont="1" applyBorder="1" applyAlignment="1">
      <alignment horizontal="left" vertical="center" wrapText="1"/>
    </xf>
    <xf numFmtId="0" fontId="92" fillId="0" borderId="25" xfId="0" applyFont="1" applyBorder="1" applyAlignment="1">
      <alignment horizontal="left" vertical="center" wrapText="1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92" fillId="0" borderId="48" xfId="0" applyFont="1" applyBorder="1" applyAlignment="1">
      <alignment horizontal="left" vertical="center"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19"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X250"/>
  <sheetViews>
    <sheetView tabSelected="1" zoomScale="90" zoomScaleNormal="90" zoomScaleSheetLayoutView="100" zoomScalePageLayoutView="0" workbookViewId="0" topLeftCell="A1">
      <pane xSplit="5" ySplit="6" topLeftCell="J6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68" sqref="J68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hidden="1" customWidth="1" outlineLevel="1"/>
    <col min="10" max="10" width="14" style="1" customWidth="1" collapsed="1"/>
    <col min="11" max="24" width="14" style="1" customWidth="1"/>
  </cols>
  <sheetData>
    <row r="1" spans="1:24" s="80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80" customFormat="1" ht="15">
      <c r="A2" s="1"/>
      <c r="B2" s="1"/>
      <c r="C2" s="1"/>
      <c r="D2" s="1"/>
      <c r="E2" s="1"/>
      <c r="F2" s="1"/>
      <c r="G2" s="1"/>
      <c r="H2" s="1"/>
      <c r="I2" s="1"/>
      <c r="J2" s="278" t="s">
        <v>464</v>
      </c>
      <c r="K2" s="1"/>
      <c r="L2" s="1"/>
      <c r="M2" s="1"/>
      <c r="N2" s="1"/>
      <c r="O2" s="276" t="s">
        <v>460</v>
      </c>
      <c r="P2" s="276"/>
      <c r="Q2" s="1"/>
      <c r="R2" s="1"/>
      <c r="S2" s="1"/>
      <c r="T2" s="1"/>
      <c r="U2" s="1"/>
      <c r="V2" s="1"/>
      <c r="W2" s="1"/>
      <c r="X2" s="1"/>
    </row>
    <row r="3" spans="1:24" s="80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6" t="s">
        <v>461</v>
      </c>
      <c r="P3" s="276"/>
      <c r="Q3" s="1"/>
      <c r="R3" s="1"/>
      <c r="S3" s="1"/>
      <c r="T3" s="1"/>
      <c r="U3" s="1"/>
      <c r="V3" s="1"/>
      <c r="W3" s="1"/>
      <c r="X3" s="1"/>
    </row>
    <row r="4" spans="1:24" s="80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6" t="s">
        <v>462</v>
      </c>
      <c r="P4" s="276"/>
      <c r="Q4" s="1"/>
      <c r="R4" s="1"/>
      <c r="S4" s="1"/>
      <c r="T4" s="1"/>
      <c r="U4" s="1"/>
      <c r="V4" s="1"/>
      <c r="W4" s="1"/>
      <c r="X4" s="1"/>
    </row>
    <row r="5" spans="1:24" ht="15.75">
      <c r="A5" s="135"/>
      <c r="B5" s="137"/>
      <c r="C5" s="262"/>
      <c r="D5" s="262"/>
      <c r="E5" s="137"/>
      <c r="F5" s="293" t="s">
        <v>425</v>
      </c>
      <c r="G5" s="293"/>
      <c r="H5" s="263" t="s">
        <v>424</v>
      </c>
      <c r="I5" s="263" t="s">
        <v>425</v>
      </c>
      <c r="J5" s="272">
        <f>""</f>
      </c>
      <c r="K5" s="262"/>
      <c r="L5" s="262"/>
      <c r="M5" s="262"/>
      <c r="N5" s="262"/>
      <c r="O5" s="277" t="s">
        <v>463</v>
      </c>
      <c r="P5" s="277"/>
      <c r="Q5" s="135"/>
      <c r="R5" s="135"/>
      <c r="S5" s="135"/>
      <c r="T5" s="135"/>
      <c r="U5" s="135"/>
      <c r="V5" s="135"/>
      <c r="W5" s="135"/>
      <c r="X5" s="135"/>
    </row>
    <row r="6" spans="1:24" ht="14.25">
      <c r="A6" s="42" t="s">
        <v>0</v>
      </c>
      <c r="B6" s="288" t="s">
        <v>1</v>
      </c>
      <c r="C6" s="289"/>
      <c r="D6" s="289"/>
      <c r="E6" s="289"/>
      <c r="F6" s="90" t="s">
        <v>421</v>
      </c>
      <c r="G6" s="46" t="s">
        <v>422</v>
      </c>
      <c r="H6" s="46" t="s">
        <v>423</v>
      </c>
      <c r="I6" s="47" t="s">
        <v>423</v>
      </c>
      <c r="J6" s="45">
        <f>+definicja!E9</f>
        <v>2013</v>
      </c>
      <c r="K6" s="43">
        <f>+definicja!F9</f>
        <v>2014</v>
      </c>
      <c r="L6" s="43">
        <f>+definicja!G9</f>
        <v>2015</v>
      </c>
      <c r="M6" s="43">
        <f>+definicja!H9</f>
        <v>2016</v>
      </c>
      <c r="N6" s="43">
        <f>+definicja!I9</f>
        <v>2017</v>
      </c>
      <c r="O6" s="43">
        <f>+definicja!J9</f>
        <v>2018</v>
      </c>
      <c r="P6" s="43">
        <f>+definicja!K9</f>
        <v>2019</v>
      </c>
      <c r="Q6" s="43">
        <f>+definicja!L9</f>
        <v>2020</v>
      </c>
      <c r="R6" s="43">
        <f>+definicja!M9</f>
        <v>2021</v>
      </c>
      <c r="S6" s="43">
        <f>+definicja!N9</f>
        <v>2022</v>
      </c>
      <c r="T6" s="43">
        <f>+definicja!O9</f>
        <v>2023</v>
      </c>
      <c r="U6" s="43">
        <f>+definicja!P9</f>
        <v>2024</v>
      </c>
      <c r="V6" s="43">
        <f>+definicja!Q9</f>
        <v>2025</v>
      </c>
      <c r="W6" s="43">
        <f>+definicja!R9</f>
        <v>2026</v>
      </c>
      <c r="X6" s="43">
        <f>+definicja!S9</f>
        <v>2027</v>
      </c>
    </row>
    <row r="7" spans="1:24" ht="15" customHeight="1" outlineLevel="1">
      <c r="A7" s="48">
        <v>1</v>
      </c>
      <c r="B7" s="290" t="s">
        <v>24</v>
      </c>
      <c r="C7" s="291"/>
      <c r="D7" s="291"/>
      <c r="E7" s="291"/>
      <c r="F7" s="91">
        <f>339294911.55</f>
        <v>339294911.55</v>
      </c>
      <c r="G7" s="51">
        <f>366887885.96</f>
        <v>366887885.96</v>
      </c>
      <c r="H7" s="51">
        <f>375903986.06</f>
        <v>375903986.06</v>
      </c>
      <c r="I7" s="52">
        <f>394489158.51</f>
        <v>394489158.51</v>
      </c>
      <c r="J7" s="53">
        <f>410313788.06</f>
        <v>410313788.06</v>
      </c>
      <c r="K7" s="54">
        <f>382805000</f>
        <v>382805000</v>
      </c>
      <c r="L7" s="54">
        <f>393010500</f>
        <v>393010500</v>
      </c>
      <c r="M7" s="54">
        <f>401876072</f>
        <v>401876072</v>
      </c>
      <c r="N7" s="54">
        <f>407676072</f>
        <v>407676072</v>
      </c>
      <c r="O7" s="54">
        <f aca="true" t="shared" si="0" ref="O7:X8">406676072</f>
        <v>406676072</v>
      </c>
      <c r="P7" s="54">
        <f t="shared" si="0"/>
        <v>406676072</v>
      </c>
      <c r="Q7" s="54">
        <f t="shared" si="0"/>
        <v>406676072</v>
      </c>
      <c r="R7" s="54">
        <f t="shared" si="0"/>
        <v>406676072</v>
      </c>
      <c r="S7" s="54">
        <f t="shared" si="0"/>
        <v>406676072</v>
      </c>
      <c r="T7" s="54">
        <f t="shared" si="0"/>
        <v>406676072</v>
      </c>
      <c r="U7" s="54">
        <f t="shared" si="0"/>
        <v>406676072</v>
      </c>
      <c r="V7" s="54">
        <f t="shared" si="0"/>
        <v>406676072</v>
      </c>
      <c r="W7" s="54">
        <f t="shared" si="0"/>
        <v>406676072</v>
      </c>
      <c r="X7" s="54">
        <f t="shared" si="0"/>
        <v>406676072</v>
      </c>
    </row>
    <row r="8" spans="1:24" ht="15" customHeight="1" outlineLevel="2">
      <c r="A8" s="49" t="s">
        <v>159</v>
      </c>
      <c r="B8" s="39"/>
      <c r="C8" s="292" t="s">
        <v>223</v>
      </c>
      <c r="D8" s="292"/>
      <c r="E8" s="292"/>
      <c r="F8" s="92">
        <f>319576462.12</f>
        <v>319576462.12</v>
      </c>
      <c r="G8" s="55">
        <f>343431158.34</f>
        <v>343431158.34</v>
      </c>
      <c r="H8" s="55">
        <f>362270411.6</f>
        <v>362270411.6</v>
      </c>
      <c r="I8" s="56">
        <f>369803638.67</f>
        <v>369803638.67</v>
      </c>
      <c r="J8" s="57">
        <f>380625600.54</f>
        <v>380625600.54</v>
      </c>
      <c r="K8" s="58">
        <f>381005000</f>
        <v>381005000</v>
      </c>
      <c r="L8" s="58">
        <f>392010500</f>
        <v>392010500</v>
      </c>
      <c r="M8" s="58">
        <f>400876072</f>
        <v>400876072</v>
      </c>
      <c r="N8" s="58">
        <f>406676072</f>
        <v>406676072</v>
      </c>
      <c r="O8" s="58">
        <f t="shared" si="0"/>
        <v>406676072</v>
      </c>
      <c r="P8" s="58">
        <f t="shared" si="0"/>
        <v>406676072</v>
      </c>
      <c r="Q8" s="58">
        <f t="shared" si="0"/>
        <v>406676072</v>
      </c>
      <c r="R8" s="58">
        <f t="shared" si="0"/>
        <v>406676072</v>
      </c>
      <c r="S8" s="58">
        <f t="shared" si="0"/>
        <v>406676072</v>
      </c>
      <c r="T8" s="58">
        <f t="shared" si="0"/>
        <v>406676072</v>
      </c>
      <c r="U8" s="58">
        <f t="shared" si="0"/>
        <v>406676072</v>
      </c>
      <c r="V8" s="58">
        <f t="shared" si="0"/>
        <v>406676072</v>
      </c>
      <c r="W8" s="58">
        <f t="shared" si="0"/>
        <v>406676072</v>
      </c>
      <c r="X8" s="58">
        <f t="shared" si="0"/>
        <v>406676072</v>
      </c>
    </row>
    <row r="9" spans="1:24" ht="15" customHeight="1" outlineLevel="2">
      <c r="A9" s="49" t="s">
        <v>39</v>
      </c>
      <c r="B9" s="39"/>
      <c r="C9" s="40"/>
      <c r="D9" s="292" t="s">
        <v>210</v>
      </c>
      <c r="E9" s="292"/>
      <c r="F9" s="92">
        <f>0</f>
        <v>0</v>
      </c>
      <c r="G9" s="55">
        <f>0</f>
        <v>0</v>
      </c>
      <c r="H9" s="55">
        <f>0</f>
        <v>0</v>
      </c>
      <c r="I9" s="56">
        <f>0</f>
        <v>0</v>
      </c>
      <c r="J9" s="57">
        <f>72581486</f>
        <v>72581486</v>
      </c>
      <c r="K9" s="58">
        <f>77081500</f>
        <v>77081500</v>
      </c>
      <c r="L9" s="58">
        <f>81860500</f>
        <v>81860500</v>
      </c>
      <c r="M9" s="58">
        <f>86900800</f>
        <v>86900800</v>
      </c>
      <c r="N9" s="58">
        <f>89110400</f>
        <v>89110400</v>
      </c>
      <c r="O9" s="58">
        <f>0</f>
        <v>0</v>
      </c>
      <c r="P9" s="58">
        <f>0</f>
        <v>0</v>
      </c>
      <c r="Q9" s="58">
        <f>0</f>
        <v>0</v>
      </c>
      <c r="R9" s="58">
        <f>0</f>
        <v>0</v>
      </c>
      <c r="S9" s="58">
        <f>0</f>
        <v>0</v>
      </c>
      <c r="T9" s="58">
        <f>0</f>
        <v>0</v>
      </c>
      <c r="U9" s="58">
        <f>0</f>
        <v>0</v>
      </c>
      <c r="V9" s="58">
        <f>0</f>
        <v>0</v>
      </c>
      <c r="W9" s="58">
        <f>0</f>
        <v>0</v>
      </c>
      <c r="X9" s="58">
        <f>0</f>
        <v>0</v>
      </c>
    </row>
    <row r="10" spans="1:24" ht="15" customHeight="1" outlineLevel="2">
      <c r="A10" s="49" t="s">
        <v>41</v>
      </c>
      <c r="B10" s="39"/>
      <c r="C10" s="40"/>
      <c r="D10" s="292" t="s">
        <v>211</v>
      </c>
      <c r="E10" s="292"/>
      <c r="F10" s="92">
        <f>0</f>
        <v>0</v>
      </c>
      <c r="G10" s="55">
        <f>0</f>
        <v>0</v>
      </c>
      <c r="H10" s="55">
        <f>0</f>
        <v>0</v>
      </c>
      <c r="I10" s="56">
        <f>0</f>
        <v>0</v>
      </c>
      <c r="J10" s="57">
        <f>7850000</f>
        <v>7850000</v>
      </c>
      <c r="K10" s="58">
        <f>8320000</f>
        <v>8320000</v>
      </c>
      <c r="L10" s="58">
        <f>8819200</f>
        <v>8819200</v>
      </c>
      <c r="M10" s="58">
        <f>9348352</f>
        <v>9348352</v>
      </c>
      <c r="N10" s="58">
        <f>9615760</f>
        <v>9615760</v>
      </c>
      <c r="O10" s="58">
        <f>0</f>
        <v>0</v>
      </c>
      <c r="P10" s="58">
        <f>0</f>
        <v>0</v>
      </c>
      <c r="Q10" s="58">
        <f>0</f>
        <v>0</v>
      </c>
      <c r="R10" s="58">
        <f>0</f>
        <v>0</v>
      </c>
      <c r="S10" s="58">
        <f>0</f>
        <v>0</v>
      </c>
      <c r="T10" s="58">
        <f>0</f>
        <v>0</v>
      </c>
      <c r="U10" s="58">
        <f>0</f>
        <v>0</v>
      </c>
      <c r="V10" s="58">
        <f>0</f>
        <v>0</v>
      </c>
      <c r="W10" s="58">
        <f>0</f>
        <v>0</v>
      </c>
      <c r="X10" s="58">
        <f>0</f>
        <v>0</v>
      </c>
    </row>
    <row r="11" spans="1:24" ht="15" customHeight="1" outlineLevel="2">
      <c r="A11" s="49" t="s">
        <v>43</v>
      </c>
      <c r="B11" s="39"/>
      <c r="C11" s="40"/>
      <c r="D11" s="292" t="s">
        <v>215</v>
      </c>
      <c r="E11" s="292"/>
      <c r="F11" s="92">
        <f>0</f>
        <v>0</v>
      </c>
      <c r="G11" s="55">
        <f>0</f>
        <v>0</v>
      </c>
      <c r="H11" s="55">
        <f>0</f>
        <v>0</v>
      </c>
      <c r="I11" s="56">
        <f>0</f>
        <v>0</v>
      </c>
      <c r="J11" s="57">
        <f>100811857</f>
        <v>100811857</v>
      </c>
      <c r="K11" s="58">
        <f>117390048</f>
        <v>117390048</v>
      </c>
      <c r="L11" s="58">
        <f>123259500</f>
        <v>123259500</v>
      </c>
      <c r="M11" s="58">
        <f>129422400</f>
        <v>129422400</v>
      </c>
      <c r="N11" s="58">
        <f>132893500</f>
        <v>132893500</v>
      </c>
      <c r="O11" s="58">
        <f>0</f>
        <v>0</v>
      </c>
      <c r="P11" s="58">
        <f>0</f>
        <v>0</v>
      </c>
      <c r="Q11" s="58">
        <f>0</f>
        <v>0</v>
      </c>
      <c r="R11" s="58">
        <f>0</f>
        <v>0</v>
      </c>
      <c r="S11" s="58">
        <f>0</f>
        <v>0</v>
      </c>
      <c r="T11" s="58">
        <f>0</f>
        <v>0</v>
      </c>
      <c r="U11" s="58">
        <f>0</f>
        <v>0</v>
      </c>
      <c r="V11" s="58">
        <f>0</f>
        <v>0</v>
      </c>
      <c r="W11" s="58">
        <f>0</f>
        <v>0</v>
      </c>
      <c r="X11" s="58">
        <f>0</f>
        <v>0</v>
      </c>
    </row>
    <row r="12" spans="1:24" ht="15" customHeight="1" outlineLevel="2">
      <c r="A12" s="49" t="s">
        <v>45</v>
      </c>
      <c r="B12" s="39"/>
      <c r="C12" s="40"/>
      <c r="D12" s="40"/>
      <c r="E12" s="44" t="s">
        <v>212</v>
      </c>
      <c r="F12" s="92">
        <f>0</f>
        <v>0</v>
      </c>
      <c r="G12" s="55">
        <f>0</f>
        <v>0</v>
      </c>
      <c r="H12" s="55">
        <f>0</f>
        <v>0</v>
      </c>
      <c r="I12" s="56">
        <f>0</f>
        <v>0</v>
      </c>
      <c r="J12" s="57">
        <f>61060000</f>
        <v>61060000</v>
      </c>
      <c r="K12" s="58">
        <f>63390600</f>
        <v>63390600</v>
      </c>
      <c r="L12" s="58">
        <f>64056200</f>
        <v>64056200</v>
      </c>
      <c r="M12" s="58">
        <f>64742130</f>
        <v>64742130</v>
      </c>
      <c r="N12" s="58">
        <f>65075900</f>
        <v>65075900</v>
      </c>
      <c r="O12" s="58">
        <f>0</f>
        <v>0</v>
      </c>
      <c r="P12" s="58">
        <f>0</f>
        <v>0</v>
      </c>
      <c r="Q12" s="58">
        <f>0</f>
        <v>0</v>
      </c>
      <c r="R12" s="58">
        <f>0</f>
        <v>0</v>
      </c>
      <c r="S12" s="58">
        <f>0</f>
        <v>0</v>
      </c>
      <c r="T12" s="58">
        <f>0</f>
        <v>0</v>
      </c>
      <c r="U12" s="58">
        <f>0</f>
        <v>0</v>
      </c>
      <c r="V12" s="58">
        <f>0</f>
        <v>0</v>
      </c>
      <c r="W12" s="58">
        <f>0</f>
        <v>0</v>
      </c>
      <c r="X12" s="58">
        <f>0</f>
        <v>0</v>
      </c>
    </row>
    <row r="13" spans="1:24" ht="15" customHeight="1" outlineLevel="2">
      <c r="A13" s="49" t="s">
        <v>47</v>
      </c>
      <c r="B13" s="39"/>
      <c r="C13" s="40"/>
      <c r="D13" s="292" t="s">
        <v>213</v>
      </c>
      <c r="E13" s="292"/>
      <c r="F13" s="92">
        <f>0</f>
        <v>0</v>
      </c>
      <c r="G13" s="55">
        <f>0</f>
        <v>0</v>
      </c>
      <c r="H13" s="55">
        <f>0</f>
        <v>0</v>
      </c>
      <c r="I13" s="56">
        <f>0</f>
        <v>0</v>
      </c>
      <c r="J13" s="57">
        <f>120406446</f>
        <v>120406446</v>
      </c>
      <c r="K13" s="58">
        <f>120734950</f>
        <v>120734950</v>
      </c>
      <c r="L13" s="58">
        <f>123149000</f>
        <v>123149000</v>
      </c>
      <c r="M13" s="58">
        <f>125611900</f>
        <v>125611900</v>
      </c>
      <c r="N13" s="58">
        <f>126100130</f>
        <v>126100130</v>
      </c>
      <c r="O13" s="58">
        <f>0</f>
        <v>0</v>
      </c>
      <c r="P13" s="58">
        <f>0</f>
        <v>0</v>
      </c>
      <c r="Q13" s="58">
        <f>0</f>
        <v>0</v>
      </c>
      <c r="R13" s="58">
        <f>0</f>
        <v>0</v>
      </c>
      <c r="S13" s="58">
        <f>0</f>
        <v>0</v>
      </c>
      <c r="T13" s="58">
        <f>0</f>
        <v>0</v>
      </c>
      <c r="U13" s="58">
        <f>0</f>
        <v>0</v>
      </c>
      <c r="V13" s="58">
        <f>0</f>
        <v>0</v>
      </c>
      <c r="W13" s="58">
        <f>0</f>
        <v>0</v>
      </c>
      <c r="X13" s="58">
        <f>0</f>
        <v>0</v>
      </c>
    </row>
    <row r="14" spans="1:24" ht="15" customHeight="1" outlineLevel="2">
      <c r="A14" s="49" t="s">
        <v>49</v>
      </c>
      <c r="B14" s="39"/>
      <c r="C14" s="40"/>
      <c r="D14" s="292" t="s">
        <v>214</v>
      </c>
      <c r="E14" s="292"/>
      <c r="F14" s="92">
        <f>0</f>
        <v>0</v>
      </c>
      <c r="G14" s="55">
        <f>0</f>
        <v>0</v>
      </c>
      <c r="H14" s="55">
        <f>0</f>
        <v>0</v>
      </c>
      <c r="I14" s="56">
        <f>0</f>
        <v>0</v>
      </c>
      <c r="J14" s="57">
        <f>50664975.08</f>
        <v>50664975.08</v>
      </c>
      <c r="K14" s="58">
        <f>46874000</f>
        <v>46874000</v>
      </c>
      <c r="L14" s="58">
        <f>47295866</f>
        <v>47295866</v>
      </c>
      <c r="M14" s="58">
        <f>47721500</f>
        <v>47721500</v>
      </c>
      <c r="N14" s="58">
        <f>47950000</f>
        <v>47950000</v>
      </c>
      <c r="O14" s="58">
        <f>0</f>
        <v>0</v>
      </c>
      <c r="P14" s="58">
        <f>0</f>
        <v>0</v>
      </c>
      <c r="Q14" s="58">
        <f>0</f>
        <v>0</v>
      </c>
      <c r="R14" s="58">
        <f>0</f>
        <v>0</v>
      </c>
      <c r="S14" s="58">
        <f>0</f>
        <v>0</v>
      </c>
      <c r="T14" s="58">
        <f>0</f>
        <v>0</v>
      </c>
      <c r="U14" s="58">
        <f>0</f>
        <v>0</v>
      </c>
      <c r="V14" s="58">
        <f>0</f>
        <v>0</v>
      </c>
      <c r="W14" s="58">
        <f>0</f>
        <v>0</v>
      </c>
      <c r="X14" s="58">
        <f>0</f>
        <v>0</v>
      </c>
    </row>
    <row r="15" spans="1:24" ht="15" customHeight="1" outlineLevel="2">
      <c r="A15" s="49" t="s">
        <v>160</v>
      </c>
      <c r="B15" s="39"/>
      <c r="C15" s="292" t="s">
        <v>27</v>
      </c>
      <c r="D15" s="292"/>
      <c r="E15" s="292"/>
      <c r="F15" s="92">
        <f>19718449.43</f>
        <v>19718449.43</v>
      </c>
      <c r="G15" s="55">
        <f>23456727.62</f>
        <v>23456727.62</v>
      </c>
      <c r="H15" s="55">
        <f>13633574.46</f>
        <v>13633574.46</v>
      </c>
      <c r="I15" s="56">
        <f>24685519.84</f>
        <v>24685519.84</v>
      </c>
      <c r="J15" s="57">
        <f>29688187.52</f>
        <v>29688187.52</v>
      </c>
      <c r="K15" s="58">
        <f>1800000</f>
        <v>1800000</v>
      </c>
      <c r="L15" s="58">
        <f aca="true" t="shared" si="1" ref="L15:N16">1000000</f>
        <v>1000000</v>
      </c>
      <c r="M15" s="58">
        <f t="shared" si="1"/>
        <v>1000000</v>
      </c>
      <c r="N15" s="58">
        <f t="shared" si="1"/>
        <v>1000000</v>
      </c>
      <c r="O15" s="58">
        <f>0</f>
        <v>0</v>
      </c>
      <c r="P15" s="58">
        <f>0</f>
        <v>0</v>
      </c>
      <c r="Q15" s="58">
        <f>0</f>
        <v>0</v>
      </c>
      <c r="R15" s="58">
        <f>0</f>
        <v>0</v>
      </c>
      <c r="S15" s="58">
        <f>0</f>
        <v>0</v>
      </c>
      <c r="T15" s="58">
        <f>0</f>
        <v>0</v>
      </c>
      <c r="U15" s="58">
        <f>0</f>
        <v>0</v>
      </c>
      <c r="V15" s="58">
        <f>0</f>
        <v>0</v>
      </c>
      <c r="W15" s="58">
        <f>0</f>
        <v>0</v>
      </c>
      <c r="X15" s="58">
        <f>0</f>
        <v>0</v>
      </c>
    </row>
    <row r="16" spans="1:24" ht="15" customHeight="1" outlineLevel="2">
      <c r="A16" s="49" t="s">
        <v>52</v>
      </c>
      <c r="B16" s="39"/>
      <c r="C16" s="40"/>
      <c r="D16" s="292" t="s">
        <v>28</v>
      </c>
      <c r="E16" s="292"/>
      <c r="F16" s="92">
        <f>2491821.13</f>
        <v>2491821.13</v>
      </c>
      <c r="G16" s="55">
        <f>1691206.53</f>
        <v>1691206.53</v>
      </c>
      <c r="H16" s="55">
        <f>3646000</f>
        <v>3646000</v>
      </c>
      <c r="I16" s="56">
        <f>3926613</f>
        <v>3926613</v>
      </c>
      <c r="J16" s="57">
        <f>10186200</f>
        <v>10186200</v>
      </c>
      <c r="K16" s="58">
        <f>1000000</f>
        <v>1000000</v>
      </c>
      <c r="L16" s="58">
        <f t="shared" si="1"/>
        <v>1000000</v>
      </c>
      <c r="M16" s="58">
        <f t="shared" si="1"/>
        <v>1000000</v>
      </c>
      <c r="N16" s="58">
        <f t="shared" si="1"/>
        <v>1000000</v>
      </c>
      <c r="O16" s="58">
        <f>0</f>
        <v>0</v>
      </c>
      <c r="P16" s="58">
        <f>0</f>
        <v>0</v>
      </c>
      <c r="Q16" s="58">
        <f>0</f>
        <v>0</v>
      </c>
      <c r="R16" s="58">
        <f>0</f>
        <v>0</v>
      </c>
      <c r="S16" s="58">
        <f>0</f>
        <v>0</v>
      </c>
      <c r="T16" s="58">
        <f>0</f>
        <v>0</v>
      </c>
      <c r="U16" s="58">
        <f>0</f>
        <v>0</v>
      </c>
      <c r="V16" s="58">
        <f>0</f>
        <v>0</v>
      </c>
      <c r="W16" s="58">
        <f>0</f>
        <v>0</v>
      </c>
      <c r="X16" s="58">
        <f>0</f>
        <v>0</v>
      </c>
    </row>
    <row r="17" spans="1:24" ht="15" customHeight="1" outlineLevel="2">
      <c r="A17" s="49" t="s">
        <v>54</v>
      </c>
      <c r="B17" s="39"/>
      <c r="C17" s="40"/>
      <c r="D17" s="292" t="s">
        <v>216</v>
      </c>
      <c r="E17" s="292"/>
      <c r="F17" s="92">
        <f>0</f>
        <v>0</v>
      </c>
      <c r="G17" s="55">
        <f>0</f>
        <v>0</v>
      </c>
      <c r="H17" s="55">
        <f>0</f>
        <v>0</v>
      </c>
      <c r="I17" s="56">
        <f>0</f>
        <v>0</v>
      </c>
      <c r="J17" s="57">
        <f>14159072.82</f>
        <v>14159072.82</v>
      </c>
      <c r="K17" s="58">
        <f>800000</f>
        <v>800000</v>
      </c>
      <c r="L17" s="58">
        <f>0</f>
        <v>0</v>
      </c>
      <c r="M17" s="58">
        <f>0</f>
        <v>0</v>
      </c>
      <c r="N17" s="58">
        <f>0</f>
        <v>0</v>
      </c>
      <c r="O17" s="58">
        <f>0</f>
        <v>0</v>
      </c>
      <c r="P17" s="58">
        <f>0</f>
        <v>0</v>
      </c>
      <c r="Q17" s="58">
        <f>0</f>
        <v>0</v>
      </c>
      <c r="R17" s="58">
        <f>0</f>
        <v>0</v>
      </c>
      <c r="S17" s="58">
        <f>0</f>
        <v>0</v>
      </c>
      <c r="T17" s="58">
        <f>0</f>
        <v>0</v>
      </c>
      <c r="U17" s="58">
        <f>0</f>
        <v>0</v>
      </c>
      <c r="V17" s="58">
        <f>0</f>
        <v>0</v>
      </c>
      <c r="W17" s="58">
        <f>0</f>
        <v>0</v>
      </c>
      <c r="X17" s="58">
        <f>0</f>
        <v>0</v>
      </c>
    </row>
    <row r="18" spans="1:24" ht="15" customHeight="1" outlineLevel="1">
      <c r="A18" s="48">
        <v>2</v>
      </c>
      <c r="B18" s="290" t="s">
        <v>19</v>
      </c>
      <c r="C18" s="291"/>
      <c r="D18" s="291"/>
      <c r="E18" s="291"/>
      <c r="F18" s="91">
        <f>370539191.17</f>
        <v>370539191.17</v>
      </c>
      <c r="G18" s="51">
        <f>378530806.79</f>
        <v>378530806.79</v>
      </c>
      <c r="H18" s="51">
        <f>405455981.22</f>
        <v>405455981.22</v>
      </c>
      <c r="I18" s="52">
        <f>396396539.83</f>
        <v>396396539.83</v>
      </c>
      <c r="J18" s="53">
        <f>416900063.22</f>
        <v>416900063.22</v>
      </c>
      <c r="K18" s="54">
        <f>379440475.08</f>
        <v>379440475.08</v>
      </c>
      <c r="L18" s="54">
        <f>385642774.28</f>
        <v>385642774.28</v>
      </c>
      <c r="M18" s="54">
        <f>387076292</f>
        <v>387076292</v>
      </c>
      <c r="N18" s="54">
        <f>388876292</f>
        <v>388876292</v>
      </c>
      <c r="O18" s="54">
        <f>390604872</f>
        <v>390604872</v>
      </c>
      <c r="P18" s="54">
        <f>391104872</f>
        <v>391104872</v>
      </c>
      <c r="Q18" s="54">
        <f>388674872</f>
        <v>388674872</v>
      </c>
      <c r="R18" s="54">
        <f>392698872</f>
        <v>392698872</v>
      </c>
      <c r="S18" s="54">
        <f>399278872</f>
        <v>399278872</v>
      </c>
      <c r="T18" s="54">
        <f>406004872</f>
        <v>406004872</v>
      </c>
      <c r="U18" s="54">
        <f>406594872</f>
        <v>406594872</v>
      </c>
      <c r="V18" s="54">
        <f>406594872</f>
        <v>406594872</v>
      </c>
      <c r="W18" s="54">
        <f>406594872</f>
        <v>406594872</v>
      </c>
      <c r="X18" s="54">
        <f>406628472</f>
        <v>406628472</v>
      </c>
    </row>
    <row r="19" spans="1:24" ht="15" customHeight="1" outlineLevel="2">
      <c r="A19" s="49" t="s">
        <v>161</v>
      </c>
      <c r="B19" s="39"/>
      <c r="C19" s="292" t="s">
        <v>217</v>
      </c>
      <c r="D19" s="292"/>
      <c r="E19" s="292"/>
      <c r="F19" s="92">
        <f>305713347.46</f>
        <v>305713347.46</v>
      </c>
      <c r="G19" s="55">
        <f>325716535.71</f>
        <v>325716535.71</v>
      </c>
      <c r="H19" s="55">
        <f>351140279.76</f>
        <v>351140279.76</v>
      </c>
      <c r="I19" s="56">
        <f>349095431.95</f>
        <v>349095431.95</v>
      </c>
      <c r="J19" s="57">
        <f>367276007.87</f>
        <v>367276007.87</v>
      </c>
      <c r="K19" s="58">
        <f>354200000</f>
        <v>354200000</v>
      </c>
      <c r="L19" s="58">
        <f>354287320.16</f>
        <v>354287320.16</v>
      </c>
      <c r="M19" s="58">
        <f>354507492</f>
        <v>354507492</v>
      </c>
      <c r="N19" s="58">
        <f>354507492</f>
        <v>354507492</v>
      </c>
      <c r="O19" s="58">
        <f>355007492</f>
        <v>355007492</v>
      </c>
      <c r="P19" s="58">
        <f>355607492</f>
        <v>355607492</v>
      </c>
      <c r="Q19" s="58">
        <f>355627492</f>
        <v>355627492</v>
      </c>
      <c r="R19" s="58">
        <f>355507492</f>
        <v>355507492</v>
      </c>
      <c r="S19" s="58">
        <f>355481492</f>
        <v>355481492</v>
      </c>
      <c r="T19" s="58">
        <f>355207492</f>
        <v>355207492</v>
      </c>
      <c r="U19" s="58">
        <f>355207492</f>
        <v>355207492</v>
      </c>
      <c r="V19" s="58">
        <f>355207492</f>
        <v>355207492</v>
      </c>
      <c r="W19" s="58">
        <f>355207492</f>
        <v>355207492</v>
      </c>
      <c r="X19" s="58">
        <f>355107492</f>
        <v>355107492</v>
      </c>
    </row>
    <row r="20" spans="1:24" ht="15" customHeight="1" outlineLevel="2">
      <c r="A20" s="49" t="s">
        <v>57</v>
      </c>
      <c r="B20" s="39"/>
      <c r="C20" s="40"/>
      <c r="D20" s="292" t="s">
        <v>220</v>
      </c>
      <c r="E20" s="292"/>
      <c r="F20" s="92">
        <f>0</f>
        <v>0</v>
      </c>
      <c r="G20" s="55">
        <f>0</f>
        <v>0</v>
      </c>
      <c r="H20" s="55">
        <f>0</f>
        <v>0</v>
      </c>
      <c r="I20" s="56">
        <f>0</f>
        <v>0</v>
      </c>
      <c r="J20" s="57">
        <f>0</f>
        <v>0</v>
      </c>
      <c r="K20" s="58">
        <f>0</f>
        <v>0</v>
      </c>
      <c r="L20" s="58">
        <f>0</f>
        <v>0</v>
      </c>
      <c r="M20" s="58">
        <f>0</f>
        <v>0</v>
      </c>
      <c r="N20" s="58">
        <f>10823927.68</f>
        <v>10823927.68</v>
      </c>
      <c r="O20" s="58">
        <f>10599729.11</f>
        <v>10599729.11</v>
      </c>
      <c r="P20" s="58">
        <f>10375569.55</f>
        <v>10375569.55</v>
      </c>
      <c r="Q20" s="58">
        <f>10150409</f>
        <v>10150409</v>
      </c>
      <c r="R20" s="58">
        <f>9926249.43</f>
        <v>9926249.43</v>
      </c>
      <c r="S20" s="58">
        <f>9701088.88</f>
        <v>9701088.88</v>
      </c>
      <c r="T20" s="58">
        <f>9476929.31</f>
        <v>9476929.31</v>
      </c>
      <c r="U20" s="58">
        <f>9251753.76</f>
        <v>9251753.76</v>
      </c>
      <c r="V20" s="58">
        <f>9028814.18</f>
        <v>9028814.18</v>
      </c>
      <c r="W20" s="58">
        <f>8804608.63</f>
        <v>8804608.63</v>
      </c>
      <c r="X20" s="58">
        <f>8579404.06</f>
        <v>8579404.06</v>
      </c>
    </row>
    <row r="21" spans="1:24" ht="48" customHeight="1" outlineLevel="2">
      <c r="A21" s="49" t="s">
        <v>59</v>
      </c>
      <c r="B21" s="39"/>
      <c r="C21" s="40"/>
      <c r="D21" s="40"/>
      <c r="E21" s="44" t="s">
        <v>219</v>
      </c>
      <c r="F21" s="92">
        <f>0</f>
        <v>0</v>
      </c>
      <c r="G21" s="55">
        <f>0</f>
        <v>0</v>
      </c>
      <c r="H21" s="55">
        <f>0</f>
        <v>0</v>
      </c>
      <c r="I21" s="56">
        <f>0</f>
        <v>0</v>
      </c>
      <c r="J21" s="57">
        <f>0</f>
        <v>0</v>
      </c>
      <c r="K21" s="58">
        <f>0</f>
        <v>0</v>
      </c>
      <c r="L21" s="58">
        <f>0</f>
        <v>0</v>
      </c>
      <c r="M21" s="58">
        <f>0</f>
        <v>0</v>
      </c>
      <c r="N21" s="58">
        <f>0</f>
        <v>0</v>
      </c>
      <c r="O21" s="58">
        <f>0</f>
        <v>0</v>
      </c>
      <c r="P21" s="58">
        <f>0</f>
        <v>0</v>
      </c>
      <c r="Q21" s="58">
        <f>0</f>
        <v>0</v>
      </c>
      <c r="R21" s="58">
        <f>0</f>
        <v>0</v>
      </c>
      <c r="S21" s="58">
        <f>0</f>
        <v>0</v>
      </c>
      <c r="T21" s="58">
        <f>0</f>
        <v>0</v>
      </c>
      <c r="U21" s="58">
        <f>0</f>
        <v>0</v>
      </c>
      <c r="V21" s="58">
        <f>0</f>
        <v>0</v>
      </c>
      <c r="W21" s="58">
        <f>0</f>
        <v>0</v>
      </c>
      <c r="X21" s="58">
        <f>0</f>
        <v>0</v>
      </c>
    </row>
    <row r="22" spans="1:24" ht="39" customHeight="1" outlineLevel="2">
      <c r="A22" s="49" t="s">
        <v>61</v>
      </c>
      <c r="B22" s="39"/>
      <c r="C22" s="40"/>
      <c r="D22" s="292" t="s">
        <v>218</v>
      </c>
      <c r="E22" s="292"/>
      <c r="F22" s="93" t="s">
        <v>29</v>
      </c>
      <c r="G22" s="59" t="s">
        <v>29</v>
      </c>
      <c r="H22" s="59" t="s">
        <v>29</v>
      </c>
      <c r="I22" s="60" t="s">
        <v>29</v>
      </c>
      <c r="J22" s="57">
        <f>0</f>
        <v>0</v>
      </c>
      <c r="K22" s="58">
        <f>0</f>
        <v>0</v>
      </c>
      <c r="L22" s="58">
        <f>0</f>
        <v>0</v>
      </c>
      <c r="M22" s="58">
        <f>0</f>
        <v>0</v>
      </c>
      <c r="N22" s="58">
        <f>0</f>
        <v>0</v>
      </c>
      <c r="O22" s="58">
        <f>0</f>
        <v>0</v>
      </c>
      <c r="P22" s="58">
        <f>0</f>
        <v>0</v>
      </c>
      <c r="Q22" s="58">
        <f>0</f>
        <v>0</v>
      </c>
      <c r="R22" s="58">
        <f>0</f>
        <v>0</v>
      </c>
      <c r="S22" s="58">
        <f>0</f>
        <v>0</v>
      </c>
      <c r="T22" s="58">
        <f>0</f>
        <v>0</v>
      </c>
      <c r="U22" s="58">
        <f>0</f>
        <v>0</v>
      </c>
      <c r="V22" s="58">
        <f>0</f>
        <v>0</v>
      </c>
      <c r="W22" s="58">
        <f>0</f>
        <v>0</v>
      </c>
      <c r="X22" s="58">
        <f>0</f>
        <v>0</v>
      </c>
    </row>
    <row r="23" spans="1:24" ht="15" customHeight="1" outlineLevel="2">
      <c r="A23" s="49" t="s">
        <v>63</v>
      </c>
      <c r="B23" s="39"/>
      <c r="C23" s="40"/>
      <c r="D23" s="292" t="s">
        <v>221</v>
      </c>
      <c r="E23" s="292"/>
      <c r="F23" s="92">
        <f>2707118.11</f>
        <v>2707118.11</v>
      </c>
      <c r="G23" s="55">
        <f>4192438.07</f>
        <v>4192438.07</v>
      </c>
      <c r="H23" s="55">
        <f>7405000</f>
        <v>7405000</v>
      </c>
      <c r="I23" s="56">
        <f>5127565.18</f>
        <v>5127565.18</v>
      </c>
      <c r="J23" s="57">
        <f>7250000</f>
        <v>7250000</v>
      </c>
      <c r="K23" s="58">
        <f>6500000</f>
        <v>6500000</v>
      </c>
      <c r="L23" s="58">
        <f>6230000</f>
        <v>6230000</v>
      </c>
      <c r="M23" s="58">
        <f>5750000</f>
        <v>5750000</v>
      </c>
      <c r="N23" s="58">
        <f>5000000</f>
        <v>5000000</v>
      </c>
      <c r="O23" s="58">
        <f>4000000</f>
        <v>4000000</v>
      </c>
      <c r="P23" s="58">
        <f>3200000</f>
        <v>3200000</v>
      </c>
      <c r="Q23" s="58">
        <f>2350000</f>
        <v>2350000</v>
      </c>
      <c r="R23" s="58">
        <f>1300000</f>
        <v>1300000</v>
      </c>
      <c r="S23" s="58">
        <f>600000</f>
        <v>600000</v>
      </c>
      <c r="T23" s="58">
        <f>150000</f>
        <v>150000</v>
      </c>
      <c r="U23" s="58">
        <f>150000</f>
        <v>150000</v>
      </c>
      <c r="V23" s="58">
        <f>100000</f>
        <v>100000</v>
      </c>
      <c r="W23" s="58">
        <f>100000</f>
        <v>100000</v>
      </c>
      <c r="X23" s="58">
        <f>50000</f>
        <v>50000</v>
      </c>
    </row>
    <row r="24" spans="1:24" ht="15" customHeight="1" outlineLevel="2">
      <c r="A24" s="49" t="s">
        <v>65</v>
      </c>
      <c r="B24" s="39"/>
      <c r="C24" s="40"/>
      <c r="D24" s="40"/>
      <c r="E24" s="44" t="s">
        <v>222</v>
      </c>
      <c r="F24" s="92">
        <f>2661878.11</f>
        <v>2661878.11</v>
      </c>
      <c r="G24" s="55">
        <f>4131238.07</f>
        <v>4131238.07</v>
      </c>
      <c r="H24" s="55">
        <f>7100000</f>
        <v>7100000</v>
      </c>
      <c r="I24" s="56">
        <f>5085565.18</f>
        <v>5085565.18</v>
      </c>
      <c r="J24" s="57">
        <f>7150000</f>
        <v>7150000</v>
      </c>
      <c r="K24" s="58">
        <f>6389814.07</f>
        <v>6389814.07</v>
      </c>
      <c r="L24" s="58">
        <f>6173488.95</f>
        <v>6173488.95</v>
      </c>
      <c r="M24" s="58">
        <f>5750000</f>
        <v>5750000</v>
      </c>
      <c r="N24" s="58">
        <f>5000000</f>
        <v>5000000</v>
      </c>
      <c r="O24" s="58">
        <f>4000000</f>
        <v>4000000</v>
      </c>
      <c r="P24" s="58">
        <f>3200000</f>
        <v>3200000</v>
      </c>
      <c r="Q24" s="58">
        <f>2350000</f>
        <v>2350000</v>
      </c>
      <c r="R24" s="58">
        <f>1300000</f>
        <v>1300000</v>
      </c>
      <c r="S24" s="58">
        <f>600000</f>
        <v>600000</v>
      </c>
      <c r="T24" s="58">
        <f>150000</f>
        <v>150000</v>
      </c>
      <c r="U24" s="58">
        <f>150000</f>
        <v>150000</v>
      </c>
      <c r="V24" s="58">
        <f>100000</f>
        <v>100000</v>
      </c>
      <c r="W24" s="58">
        <f>100000</f>
        <v>100000</v>
      </c>
      <c r="X24" s="58">
        <f>50000</f>
        <v>50000</v>
      </c>
    </row>
    <row r="25" spans="1:24" ht="15" customHeight="1" outlineLevel="2">
      <c r="A25" s="49" t="s">
        <v>162</v>
      </c>
      <c r="B25" s="39"/>
      <c r="C25" s="292" t="s">
        <v>20</v>
      </c>
      <c r="D25" s="292"/>
      <c r="E25" s="292"/>
      <c r="F25" s="92">
        <f>64825843.71</f>
        <v>64825843.71</v>
      </c>
      <c r="G25" s="55">
        <f>52814271.08</f>
        <v>52814271.08</v>
      </c>
      <c r="H25" s="55">
        <f>54315701.46</f>
        <v>54315701.46</v>
      </c>
      <c r="I25" s="56">
        <f>47301107.88</f>
        <v>47301107.88</v>
      </c>
      <c r="J25" s="57">
        <f>49624055.35</f>
        <v>49624055.35</v>
      </c>
      <c r="K25" s="58">
        <f>25240475.08</f>
        <v>25240475.08</v>
      </c>
      <c r="L25" s="58">
        <f>31355454.12</f>
        <v>31355454.12</v>
      </c>
      <c r="M25" s="58">
        <f>32568800</f>
        <v>32568800</v>
      </c>
      <c r="N25" s="58">
        <f>34368800</f>
        <v>34368800</v>
      </c>
      <c r="O25" s="58">
        <f>35597380</f>
        <v>35597380</v>
      </c>
      <c r="P25" s="58">
        <f>35497380</f>
        <v>35497380</v>
      </c>
      <c r="Q25" s="58">
        <f>33047380</f>
        <v>33047380</v>
      </c>
      <c r="R25" s="58">
        <f>37191380</f>
        <v>37191380</v>
      </c>
      <c r="S25" s="58">
        <f>43797380</f>
        <v>43797380</v>
      </c>
      <c r="T25" s="58">
        <f>50797380</f>
        <v>50797380</v>
      </c>
      <c r="U25" s="58">
        <f>51387380</f>
        <v>51387380</v>
      </c>
      <c r="V25" s="58">
        <f>51387380</f>
        <v>51387380</v>
      </c>
      <c r="W25" s="58">
        <f>51387380</f>
        <v>51387380</v>
      </c>
      <c r="X25" s="58">
        <f>51520980</f>
        <v>51520980</v>
      </c>
    </row>
    <row r="26" spans="1:24" ht="15" customHeight="1" outlineLevel="1">
      <c r="A26" s="48">
        <v>3</v>
      </c>
      <c r="B26" s="290" t="s">
        <v>21</v>
      </c>
      <c r="C26" s="291"/>
      <c r="D26" s="291"/>
      <c r="E26" s="291"/>
      <c r="F26" s="91">
        <f>-31244279.62</f>
        <v>-31244279.62</v>
      </c>
      <c r="G26" s="51">
        <f>-11642920.83</f>
        <v>-11642920.83</v>
      </c>
      <c r="H26" s="51">
        <f>-29551995.16</f>
        <v>-29551995.16</v>
      </c>
      <c r="I26" s="52">
        <f>-1907381.32</f>
        <v>-1907381.32</v>
      </c>
      <c r="J26" s="53">
        <f>-6586275.16</f>
        <v>-6586275.16</v>
      </c>
      <c r="K26" s="54">
        <f>3364524.92</f>
        <v>3364524.92</v>
      </c>
      <c r="L26" s="54">
        <f>7367725.72</f>
        <v>7367725.72</v>
      </c>
      <c r="M26" s="54">
        <f>14799780</f>
        <v>14799780</v>
      </c>
      <c r="N26" s="54">
        <f>18799780</f>
        <v>18799780</v>
      </c>
      <c r="O26" s="54">
        <f>16071200</f>
        <v>16071200</v>
      </c>
      <c r="P26" s="54">
        <f>15571200</f>
        <v>15571200</v>
      </c>
      <c r="Q26" s="54">
        <f>18001200</f>
        <v>18001200</v>
      </c>
      <c r="R26" s="54">
        <f>13977200</f>
        <v>13977200</v>
      </c>
      <c r="S26" s="54">
        <f>7397200</f>
        <v>7397200</v>
      </c>
      <c r="T26" s="54">
        <f>671200</f>
        <v>671200</v>
      </c>
      <c r="U26" s="54">
        <f>81200</f>
        <v>81200</v>
      </c>
      <c r="V26" s="54">
        <f>81200</f>
        <v>81200</v>
      </c>
      <c r="W26" s="54">
        <f>81200</f>
        <v>81200</v>
      </c>
      <c r="X26" s="54">
        <f>47600</f>
        <v>47600</v>
      </c>
    </row>
    <row r="27" spans="1:24" ht="15" customHeight="1" outlineLevel="1">
      <c r="A27" s="48">
        <v>4</v>
      </c>
      <c r="B27" s="290" t="s">
        <v>22</v>
      </c>
      <c r="C27" s="291"/>
      <c r="D27" s="291"/>
      <c r="E27" s="291"/>
      <c r="F27" s="91">
        <f>37726000</f>
        <v>37726000</v>
      </c>
      <c r="G27" s="51">
        <f>36770000</f>
        <v>36770000</v>
      </c>
      <c r="H27" s="51">
        <f>50621064</f>
        <v>50621064</v>
      </c>
      <c r="I27" s="52">
        <f>47799064</f>
        <v>47799064</v>
      </c>
      <c r="J27" s="53">
        <f>30172000</f>
        <v>30172000</v>
      </c>
      <c r="K27" s="54">
        <f>10000000</f>
        <v>10000000</v>
      </c>
      <c r="L27" s="54">
        <f>10000000</f>
        <v>10000000</v>
      </c>
      <c r="M27" s="54">
        <f>0</f>
        <v>0</v>
      </c>
      <c r="N27" s="54">
        <f>0</f>
        <v>0</v>
      </c>
      <c r="O27" s="54">
        <f>0</f>
        <v>0</v>
      </c>
      <c r="P27" s="54">
        <f>0</f>
        <v>0</v>
      </c>
      <c r="Q27" s="54">
        <f>0</f>
        <v>0</v>
      </c>
      <c r="R27" s="54">
        <f>0</f>
        <v>0</v>
      </c>
      <c r="S27" s="54">
        <f>0</f>
        <v>0</v>
      </c>
      <c r="T27" s="54">
        <f>0</f>
        <v>0</v>
      </c>
      <c r="U27" s="54">
        <f>0</f>
        <v>0</v>
      </c>
      <c r="V27" s="54">
        <f>0</f>
        <v>0</v>
      </c>
      <c r="W27" s="54">
        <f>0</f>
        <v>0</v>
      </c>
      <c r="X27" s="54">
        <f>0</f>
        <v>0</v>
      </c>
    </row>
    <row r="28" spans="1:24" ht="15" customHeight="1" outlineLevel="2">
      <c r="A28" s="49" t="s">
        <v>163</v>
      </c>
      <c r="B28" s="39"/>
      <c r="C28" s="292" t="s">
        <v>224</v>
      </c>
      <c r="D28" s="292"/>
      <c r="E28" s="292"/>
      <c r="F28" s="92">
        <f>0</f>
        <v>0</v>
      </c>
      <c r="G28" s="55">
        <f>0</f>
        <v>0</v>
      </c>
      <c r="H28" s="55">
        <f>0</f>
        <v>0</v>
      </c>
      <c r="I28" s="56">
        <f>0</f>
        <v>0</v>
      </c>
      <c r="J28" s="57">
        <f>0</f>
        <v>0</v>
      </c>
      <c r="K28" s="58">
        <f>0</f>
        <v>0</v>
      </c>
      <c r="L28" s="58">
        <f>0</f>
        <v>0</v>
      </c>
      <c r="M28" s="58">
        <f>0</f>
        <v>0</v>
      </c>
      <c r="N28" s="58">
        <f>0</f>
        <v>0</v>
      </c>
      <c r="O28" s="58">
        <f>0</f>
        <v>0</v>
      </c>
      <c r="P28" s="58">
        <f>0</f>
        <v>0</v>
      </c>
      <c r="Q28" s="58">
        <f>0</f>
        <v>0</v>
      </c>
      <c r="R28" s="58">
        <f>0</f>
        <v>0</v>
      </c>
      <c r="S28" s="58">
        <f>0</f>
        <v>0</v>
      </c>
      <c r="T28" s="58">
        <f>0</f>
        <v>0</v>
      </c>
      <c r="U28" s="58">
        <f>0</f>
        <v>0</v>
      </c>
      <c r="V28" s="58">
        <f>0</f>
        <v>0</v>
      </c>
      <c r="W28" s="58">
        <f>0</f>
        <v>0</v>
      </c>
      <c r="X28" s="58">
        <f>0</f>
        <v>0</v>
      </c>
    </row>
    <row r="29" spans="1:24" ht="15" customHeight="1" outlineLevel="2">
      <c r="A29" s="49" t="s">
        <v>69</v>
      </c>
      <c r="B29" s="39"/>
      <c r="C29" s="40"/>
      <c r="D29" s="292" t="s">
        <v>225</v>
      </c>
      <c r="E29" s="292"/>
      <c r="F29" s="92">
        <f>0</f>
        <v>0</v>
      </c>
      <c r="G29" s="55">
        <f>0</f>
        <v>0</v>
      </c>
      <c r="H29" s="55">
        <f>0</f>
        <v>0</v>
      </c>
      <c r="I29" s="56">
        <f>0</f>
        <v>0</v>
      </c>
      <c r="J29" s="57">
        <f>0</f>
        <v>0</v>
      </c>
      <c r="K29" s="58">
        <f>0</f>
        <v>0</v>
      </c>
      <c r="L29" s="58">
        <f>0</f>
        <v>0</v>
      </c>
      <c r="M29" s="58">
        <f>0</f>
        <v>0</v>
      </c>
      <c r="N29" s="58">
        <f>0</f>
        <v>0</v>
      </c>
      <c r="O29" s="58">
        <f>0</f>
        <v>0</v>
      </c>
      <c r="P29" s="58">
        <f>0</f>
        <v>0</v>
      </c>
      <c r="Q29" s="58">
        <f>0</f>
        <v>0</v>
      </c>
      <c r="R29" s="58">
        <f>0</f>
        <v>0</v>
      </c>
      <c r="S29" s="58">
        <f>0</f>
        <v>0</v>
      </c>
      <c r="T29" s="58">
        <f>0</f>
        <v>0</v>
      </c>
      <c r="U29" s="58">
        <f>0</f>
        <v>0</v>
      </c>
      <c r="V29" s="58">
        <f>0</f>
        <v>0</v>
      </c>
      <c r="W29" s="58">
        <f>0</f>
        <v>0</v>
      </c>
      <c r="X29" s="58">
        <f>0</f>
        <v>0</v>
      </c>
    </row>
    <row r="30" spans="1:24" ht="15" customHeight="1" outlineLevel="2">
      <c r="A30" s="49" t="s">
        <v>164</v>
      </c>
      <c r="B30" s="39"/>
      <c r="C30" s="292" t="s">
        <v>226</v>
      </c>
      <c r="D30" s="292"/>
      <c r="E30" s="292"/>
      <c r="F30" s="92">
        <f>0</f>
        <v>0</v>
      </c>
      <c r="G30" s="55">
        <f>2770000</f>
        <v>2770000</v>
      </c>
      <c r="H30" s="55">
        <f>5799064</f>
        <v>5799064</v>
      </c>
      <c r="I30" s="56">
        <f>5799064</f>
        <v>5799064</v>
      </c>
      <c r="J30" s="57">
        <f>10900000</f>
        <v>10900000</v>
      </c>
      <c r="K30" s="58">
        <f>0</f>
        <v>0</v>
      </c>
      <c r="L30" s="58">
        <f>0</f>
        <v>0</v>
      </c>
      <c r="M30" s="58">
        <f>0</f>
        <v>0</v>
      </c>
      <c r="N30" s="58">
        <f>0</f>
        <v>0</v>
      </c>
      <c r="O30" s="58">
        <f>0</f>
        <v>0</v>
      </c>
      <c r="P30" s="58">
        <f>0</f>
        <v>0</v>
      </c>
      <c r="Q30" s="58">
        <f>0</f>
        <v>0</v>
      </c>
      <c r="R30" s="58">
        <f>0</f>
        <v>0</v>
      </c>
      <c r="S30" s="58">
        <f>0</f>
        <v>0</v>
      </c>
      <c r="T30" s="58">
        <f>0</f>
        <v>0</v>
      </c>
      <c r="U30" s="58">
        <f>0</f>
        <v>0</v>
      </c>
      <c r="V30" s="58">
        <f>0</f>
        <v>0</v>
      </c>
      <c r="W30" s="58">
        <f>0</f>
        <v>0</v>
      </c>
      <c r="X30" s="58">
        <f>0</f>
        <v>0</v>
      </c>
    </row>
    <row r="31" spans="1:24" ht="15" customHeight="1" outlineLevel="2">
      <c r="A31" s="49" t="s">
        <v>72</v>
      </c>
      <c r="B31" s="39"/>
      <c r="C31" s="40"/>
      <c r="D31" s="292" t="s">
        <v>225</v>
      </c>
      <c r="E31" s="292"/>
      <c r="F31" s="92">
        <f>0</f>
        <v>0</v>
      </c>
      <c r="G31" s="55">
        <f>0</f>
        <v>0</v>
      </c>
      <c r="H31" s="55">
        <f>0</f>
        <v>0</v>
      </c>
      <c r="I31" s="56">
        <f>0</f>
        <v>0</v>
      </c>
      <c r="J31" s="57">
        <f>6586275.16</f>
        <v>6586275.16</v>
      </c>
      <c r="K31" s="58">
        <f>0</f>
        <v>0</v>
      </c>
      <c r="L31" s="58">
        <f>0</f>
        <v>0</v>
      </c>
      <c r="M31" s="58">
        <f>0</f>
        <v>0</v>
      </c>
      <c r="N31" s="58">
        <f>0</f>
        <v>0</v>
      </c>
      <c r="O31" s="58">
        <f>0</f>
        <v>0</v>
      </c>
      <c r="P31" s="58">
        <f>0</f>
        <v>0</v>
      </c>
      <c r="Q31" s="58">
        <f>0</f>
        <v>0</v>
      </c>
      <c r="R31" s="58">
        <f>0</f>
        <v>0</v>
      </c>
      <c r="S31" s="58">
        <f>0</f>
        <v>0</v>
      </c>
      <c r="T31" s="58">
        <f>0</f>
        <v>0</v>
      </c>
      <c r="U31" s="58">
        <f>0</f>
        <v>0</v>
      </c>
      <c r="V31" s="58">
        <f>0</f>
        <v>0</v>
      </c>
      <c r="W31" s="58">
        <f>0</f>
        <v>0</v>
      </c>
      <c r="X31" s="58">
        <f>0</f>
        <v>0</v>
      </c>
    </row>
    <row r="32" spans="1:24" ht="15" customHeight="1" outlineLevel="2">
      <c r="A32" s="49" t="s">
        <v>165</v>
      </c>
      <c r="B32" s="39"/>
      <c r="C32" s="292" t="s">
        <v>227</v>
      </c>
      <c r="D32" s="292"/>
      <c r="E32" s="292"/>
      <c r="F32" s="92">
        <f>37726000</f>
        <v>37726000</v>
      </c>
      <c r="G32" s="55">
        <f>34000000</f>
        <v>34000000</v>
      </c>
      <c r="H32" s="55">
        <f>44822000</f>
        <v>44822000</v>
      </c>
      <c r="I32" s="56">
        <f>42000000</f>
        <v>42000000</v>
      </c>
      <c r="J32" s="57">
        <f>19272000</f>
        <v>19272000</v>
      </c>
      <c r="K32" s="58">
        <f>10000000</f>
        <v>10000000</v>
      </c>
      <c r="L32" s="58">
        <f>10000000</f>
        <v>10000000</v>
      </c>
      <c r="M32" s="58">
        <f>0</f>
        <v>0</v>
      </c>
      <c r="N32" s="58">
        <f>0</f>
        <v>0</v>
      </c>
      <c r="O32" s="58">
        <f>0</f>
        <v>0</v>
      </c>
      <c r="P32" s="58">
        <f>0</f>
        <v>0</v>
      </c>
      <c r="Q32" s="58">
        <f>0</f>
        <v>0</v>
      </c>
      <c r="R32" s="58">
        <f>0</f>
        <v>0</v>
      </c>
      <c r="S32" s="58">
        <f>0</f>
        <v>0</v>
      </c>
      <c r="T32" s="58">
        <f>0</f>
        <v>0</v>
      </c>
      <c r="U32" s="58">
        <f>0</f>
        <v>0</v>
      </c>
      <c r="V32" s="58">
        <f>0</f>
        <v>0</v>
      </c>
      <c r="W32" s="58">
        <f>0</f>
        <v>0</v>
      </c>
      <c r="X32" s="58">
        <f>0</f>
        <v>0</v>
      </c>
    </row>
    <row r="33" spans="1:24" ht="15" customHeight="1" outlineLevel="2">
      <c r="A33" s="49" t="s">
        <v>75</v>
      </c>
      <c r="B33" s="39"/>
      <c r="C33" s="40"/>
      <c r="D33" s="292" t="s">
        <v>225</v>
      </c>
      <c r="E33" s="292"/>
      <c r="F33" s="92">
        <f>0</f>
        <v>0</v>
      </c>
      <c r="G33" s="55">
        <f>11642920.83</f>
        <v>11642920.83</v>
      </c>
      <c r="H33" s="55">
        <f>23752931.16</f>
        <v>23752931.16</v>
      </c>
      <c r="I33" s="56">
        <f>23619995.24</f>
        <v>23619995.24</v>
      </c>
      <c r="J33" s="57">
        <f>0</f>
        <v>0</v>
      </c>
      <c r="K33" s="58">
        <f>0</f>
        <v>0</v>
      </c>
      <c r="L33" s="58">
        <f>0</f>
        <v>0</v>
      </c>
      <c r="M33" s="58">
        <f>0</f>
        <v>0</v>
      </c>
      <c r="N33" s="58">
        <f>0</f>
        <v>0</v>
      </c>
      <c r="O33" s="58">
        <f>0</f>
        <v>0</v>
      </c>
      <c r="P33" s="58">
        <f>0</f>
        <v>0</v>
      </c>
      <c r="Q33" s="58">
        <f>0</f>
        <v>0</v>
      </c>
      <c r="R33" s="58">
        <f>0</f>
        <v>0</v>
      </c>
      <c r="S33" s="58">
        <f>0</f>
        <v>0</v>
      </c>
      <c r="T33" s="58">
        <f>0</f>
        <v>0</v>
      </c>
      <c r="U33" s="58">
        <f>0</f>
        <v>0</v>
      </c>
      <c r="V33" s="58">
        <f>0</f>
        <v>0</v>
      </c>
      <c r="W33" s="58">
        <f>0</f>
        <v>0</v>
      </c>
      <c r="X33" s="58">
        <f>0</f>
        <v>0</v>
      </c>
    </row>
    <row r="34" spans="1:24" ht="15" customHeight="1" outlineLevel="2">
      <c r="A34" s="49" t="s">
        <v>166</v>
      </c>
      <c r="B34" s="39"/>
      <c r="C34" s="292" t="s">
        <v>228</v>
      </c>
      <c r="D34" s="292"/>
      <c r="E34" s="292"/>
      <c r="F34" s="92">
        <f>0</f>
        <v>0</v>
      </c>
      <c r="G34" s="55">
        <f>0</f>
        <v>0</v>
      </c>
      <c r="H34" s="55">
        <f>0</f>
        <v>0</v>
      </c>
      <c r="I34" s="56">
        <f>0</f>
        <v>0</v>
      </c>
      <c r="J34" s="57">
        <f>0</f>
        <v>0</v>
      </c>
      <c r="K34" s="58">
        <f>0</f>
        <v>0</v>
      </c>
      <c r="L34" s="58">
        <f>0</f>
        <v>0</v>
      </c>
      <c r="M34" s="58">
        <f>0</f>
        <v>0</v>
      </c>
      <c r="N34" s="58">
        <f>0</f>
        <v>0</v>
      </c>
      <c r="O34" s="58">
        <f>0</f>
        <v>0</v>
      </c>
      <c r="P34" s="58">
        <f>0</f>
        <v>0</v>
      </c>
      <c r="Q34" s="58">
        <f>0</f>
        <v>0</v>
      </c>
      <c r="R34" s="58">
        <f>0</f>
        <v>0</v>
      </c>
      <c r="S34" s="58">
        <f>0</f>
        <v>0</v>
      </c>
      <c r="T34" s="58">
        <f>0</f>
        <v>0</v>
      </c>
      <c r="U34" s="58">
        <f>0</f>
        <v>0</v>
      </c>
      <c r="V34" s="58">
        <f>0</f>
        <v>0</v>
      </c>
      <c r="W34" s="58">
        <f>0</f>
        <v>0</v>
      </c>
      <c r="X34" s="58">
        <f>0</f>
        <v>0</v>
      </c>
    </row>
    <row r="35" spans="1:24" ht="15" customHeight="1" outlineLevel="2">
      <c r="A35" s="49" t="s">
        <v>77</v>
      </c>
      <c r="B35" s="39"/>
      <c r="C35" s="40"/>
      <c r="D35" s="292" t="s">
        <v>225</v>
      </c>
      <c r="E35" s="292"/>
      <c r="F35" s="92">
        <f>0</f>
        <v>0</v>
      </c>
      <c r="G35" s="55">
        <f>0</f>
        <v>0</v>
      </c>
      <c r="H35" s="55">
        <f>0</f>
        <v>0</v>
      </c>
      <c r="I35" s="56">
        <f>0</f>
        <v>0</v>
      </c>
      <c r="J35" s="57">
        <f>0</f>
        <v>0</v>
      </c>
      <c r="K35" s="58">
        <f>0</f>
        <v>0</v>
      </c>
      <c r="L35" s="58">
        <f>0</f>
        <v>0</v>
      </c>
      <c r="M35" s="58">
        <f>0</f>
        <v>0</v>
      </c>
      <c r="N35" s="58">
        <f>0</f>
        <v>0</v>
      </c>
      <c r="O35" s="58">
        <f>0</f>
        <v>0</v>
      </c>
      <c r="P35" s="58">
        <f>0</f>
        <v>0</v>
      </c>
      <c r="Q35" s="58">
        <f>0</f>
        <v>0</v>
      </c>
      <c r="R35" s="58">
        <f>0</f>
        <v>0</v>
      </c>
      <c r="S35" s="58">
        <f>0</f>
        <v>0</v>
      </c>
      <c r="T35" s="58">
        <f>0</f>
        <v>0</v>
      </c>
      <c r="U35" s="58">
        <f>0</f>
        <v>0</v>
      </c>
      <c r="V35" s="58">
        <f>0</f>
        <v>0</v>
      </c>
      <c r="W35" s="58">
        <f>0</f>
        <v>0</v>
      </c>
      <c r="X35" s="58">
        <f>0</f>
        <v>0</v>
      </c>
    </row>
    <row r="36" spans="1:24" ht="15" customHeight="1" outlineLevel="1">
      <c r="A36" s="48">
        <v>5</v>
      </c>
      <c r="B36" s="290" t="s">
        <v>78</v>
      </c>
      <c r="C36" s="291"/>
      <c r="D36" s="291"/>
      <c r="E36" s="291"/>
      <c r="F36" s="91">
        <f>14195099.24</f>
        <v>14195099.24</v>
      </c>
      <c r="G36" s="51">
        <f>19265684.84</f>
        <v>19265684.84</v>
      </c>
      <c r="H36" s="51">
        <f>21069068.84</f>
        <v>21069068.84</v>
      </c>
      <c r="I36" s="52">
        <f>24179068.76</f>
        <v>24179068.76</v>
      </c>
      <c r="J36" s="53">
        <f>23585724.84</f>
        <v>23585724.84</v>
      </c>
      <c r="K36" s="54">
        <f>13364524.92</f>
        <v>13364524.92</v>
      </c>
      <c r="L36" s="54">
        <f>17367725.72</f>
        <v>17367725.72</v>
      </c>
      <c r="M36" s="54">
        <f>14799780</f>
        <v>14799780</v>
      </c>
      <c r="N36" s="54">
        <f>18799780</f>
        <v>18799780</v>
      </c>
      <c r="O36" s="54">
        <f>16071200</f>
        <v>16071200</v>
      </c>
      <c r="P36" s="54">
        <f>15571200</f>
        <v>15571200</v>
      </c>
      <c r="Q36" s="54">
        <f>18001200</f>
        <v>18001200</v>
      </c>
      <c r="R36" s="54">
        <f>13977200</f>
        <v>13977200</v>
      </c>
      <c r="S36" s="54">
        <f>7397200</f>
        <v>7397200</v>
      </c>
      <c r="T36" s="54">
        <f>671200</f>
        <v>671200</v>
      </c>
      <c r="U36" s="54">
        <f aca="true" t="shared" si="2" ref="U36:W37">81200</f>
        <v>81200</v>
      </c>
      <c r="V36" s="54">
        <f t="shared" si="2"/>
        <v>81200</v>
      </c>
      <c r="W36" s="54">
        <f t="shared" si="2"/>
        <v>81200</v>
      </c>
      <c r="X36" s="54">
        <f>47600</f>
        <v>47600</v>
      </c>
    </row>
    <row r="37" spans="1:24" ht="15" customHeight="1" outlineLevel="2">
      <c r="A37" s="49" t="s">
        <v>167</v>
      </c>
      <c r="B37" s="39"/>
      <c r="C37" s="292" t="s">
        <v>229</v>
      </c>
      <c r="D37" s="292"/>
      <c r="E37" s="292"/>
      <c r="F37" s="92">
        <f>14195099.24</f>
        <v>14195099.24</v>
      </c>
      <c r="G37" s="55">
        <f>19265684.84</f>
        <v>19265684.84</v>
      </c>
      <c r="H37" s="55">
        <f>21069068.84</f>
        <v>21069068.84</v>
      </c>
      <c r="I37" s="56">
        <f>24179068.76</f>
        <v>24179068.76</v>
      </c>
      <c r="J37" s="57">
        <f>23585724.84</f>
        <v>23585724.84</v>
      </c>
      <c r="K37" s="58">
        <f>13364524.92</f>
        <v>13364524.92</v>
      </c>
      <c r="L37" s="58">
        <f>17367725.72</f>
        <v>17367725.72</v>
      </c>
      <c r="M37" s="58">
        <f>14799780</f>
        <v>14799780</v>
      </c>
      <c r="N37" s="58">
        <f>18799780</f>
        <v>18799780</v>
      </c>
      <c r="O37" s="58">
        <f>16071200</f>
        <v>16071200</v>
      </c>
      <c r="P37" s="58">
        <f>15571200</f>
        <v>15571200</v>
      </c>
      <c r="Q37" s="58">
        <f>18001200</f>
        <v>18001200</v>
      </c>
      <c r="R37" s="58">
        <f>13977200</f>
        <v>13977200</v>
      </c>
      <c r="S37" s="58">
        <f>7397200</f>
        <v>7397200</v>
      </c>
      <c r="T37" s="58">
        <f>671200</f>
        <v>671200</v>
      </c>
      <c r="U37" s="58">
        <f t="shared" si="2"/>
        <v>81200</v>
      </c>
      <c r="V37" s="58">
        <f t="shared" si="2"/>
        <v>81200</v>
      </c>
      <c r="W37" s="58">
        <f t="shared" si="2"/>
        <v>81200</v>
      </c>
      <c r="X37" s="58">
        <f>47600</f>
        <v>47600</v>
      </c>
    </row>
    <row r="38" spans="1:24" ht="62.25" customHeight="1" outlineLevel="2">
      <c r="A38" s="49" t="s">
        <v>80</v>
      </c>
      <c r="B38" s="39"/>
      <c r="C38" s="40"/>
      <c r="D38" s="292" t="s">
        <v>230</v>
      </c>
      <c r="E38" s="292"/>
      <c r="F38" s="92">
        <f>0</f>
        <v>0</v>
      </c>
      <c r="G38" s="55">
        <f>0</f>
        <v>0</v>
      </c>
      <c r="H38" s="55">
        <f>0</f>
        <v>0</v>
      </c>
      <c r="I38" s="56">
        <f>0</f>
        <v>0</v>
      </c>
      <c r="J38" s="57">
        <f>0</f>
        <v>0</v>
      </c>
      <c r="K38" s="58">
        <f>0</f>
        <v>0</v>
      </c>
      <c r="L38" s="58">
        <f>0</f>
        <v>0</v>
      </c>
      <c r="M38" s="58">
        <f>0</f>
        <v>0</v>
      </c>
      <c r="N38" s="58">
        <f>0</f>
        <v>0</v>
      </c>
      <c r="O38" s="58">
        <f>0</f>
        <v>0</v>
      </c>
      <c r="P38" s="58">
        <f>0</f>
        <v>0</v>
      </c>
      <c r="Q38" s="58">
        <f>0</f>
        <v>0</v>
      </c>
      <c r="R38" s="58">
        <f>0</f>
        <v>0</v>
      </c>
      <c r="S38" s="58">
        <f>0</f>
        <v>0</v>
      </c>
      <c r="T38" s="58">
        <f>0</f>
        <v>0</v>
      </c>
      <c r="U38" s="58">
        <f>0</f>
        <v>0</v>
      </c>
      <c r="V38" s="58">
        <f>0</f>
        <v>0</v>
      </c>
      <c r="W38" s="58">
        <f>0</f>
        <v>0</v>
      </c>
      <c r="X38" s="58">
        <f>0</f>
        <v>0</v>
      </c>
    </row>
    <row r="39" spans="1:24" ht="25.5" customHeight="1" outlineLevel="2">
      <c r="A39" s="49" t="s">
        <v>82</v>
      </c>
      <c r="B39" s="39"/>
      <c r="C39" s="40"/>
      <c r="D39" s="40"/>
      <c r="E39" s="89" t="s">
        <v>231</v>
      </c>
      <c r="F39" s="92">
        <f>0</f>
        <v>0</v>
      </c>
      <c r="G39" s="55">
        <f>0</f>
        <v>0</v>
      </c>
      <c r="H39" s="55">
        <f>0</f>
        <v>0</v>
      </c>
      <c r="I39" s="56">
        <f>0</f>
        <v>0</v>
      </c>
      <c r="J39" s="57">
        <f>0</f>
        <v>0</v>
      </c>
      <c r="K39" s="58">
        <f>0</f>
        <v>0</v>
      </c>
      <c r="L39" s="58">
        <f>0</f>
        <v>0</v>
      </c>
      <c r="M39" s="58">
        <f>0</f>
        <v>0</v>
      </c>
      <c r="N39" s="58">
        <f>0</f>
        <v>0</v>
      </c>
      <c r="O39" s="58">
        <f>0</f>
        <v>0</v>
      </c>
      <c r="P39" s="58">
        <f>0</f>
        <v>0</v>
      </c>
      <c r="Q39" s="58">
        <f>0</f>
        <v>0</v>
      </c>
      <c r="R39" s="58">
        <f>0</f>
        <v>0</v>
      </c>
      <c r="S39" s="58">
        <f>0</f>
        <v>0</v>
      </c>
      <c r="T39" s="58">
        <f>0</f>
        <v>0</v>
      </c>
      <c r="U39" s="58">
        <f>0</f>
        <v>0</v>
      </c>
      <c r="V39" s="58">
        <f>0</f>
        <v>0</v>
      </c>
      <c r="W39" s="58">
        <f>0</f>
        <v>0</v>
      </c>
      <c r="X39" s="58">
        <f>0</f>
        <v>0</v>
      </c>
    </row>
    <row r="40" spans="1:24" ht="15" customHeight="1" outlineLevel="2">
      <c r="A40" s="49" t="s">
        <v>168</v>
      </c>
      <c r="B40" s="39"/>
      <c r="C40" s="292" t="s">
        <v>232</v>
      </c>
      <c r="D40" s="292"/>
      <c r="E40" s="292"/>
      <c r="F40" s="92">
        <f>0</f>
        <v>0</v>
      </c>
      <c r="G40" s="55">
        <f>0</f>
        <v>0</v>
      </c>
      <c r="H40" s="55">
        <f>0</f>
        <v>0</v>
      </c>
      <c r="I40" s="56">
        <f>0</f>
        <v>0</v>
      </c>
      <c r="J40" s="57">
        <f>0</f>
        <v>0</v>
      </c>
      <c r="K40" s="58">
        <f>0</f>
        <v>0</v>
      </c>
      <c r="L40" s="58">
        <f>0</f>
        <v>0</v>
      </c>
      <c r="M40" s="58">
        <f>0</f>
        <v>0</v>
      </c>
      <c r="N40" s="58">
        <f>0</f>
        <v>0</v>
      </c>
      <c r="O40" s="58">
        <f>0</f>
        <v>0</v>
      </c>
      <c r="P40" s="58">
        <f>0</f>
        <v>0</v>
      </c>
      <c r="Q40" s="58">
        <f>0</f>
        <v>0</v>
      </c>
      <c r="R40" s="58">
        <f>0</f>
        <v>0</v>
      </c>
      <c r="S40" s="58">
        <f>0</f>
        <v>0</v>
      </c>
      <c r="T40" s="58">
        <f>0</f>
        <v>0</v>
      </c>
      <c r="U40" s="58">
        <f>0</f>
        <v>0</v>
      </c>
      <c r="V40" s="58">
        <f>0</f>
        <v>0</v>
      </c>
      <c r="W40" s="58">
        <f>0</f>
        <v>0</v>
      </c>
      <c r="X40" s="58">
        <f>0</f>
        <v>0</v>
      </c>
    </row>
    <row r="41" spans="1:24" ht="15" customHeight="1" outlineLevel="1">
      <c r="A41" s="48">
        <v>6</v>
      </c>
      <c r="B41" s="290" t="s">
        <v>25</v>
      </c>
      <c r="C41" s="291"/>
      <c r="D41" s="291"/>
      <c r="E41" s="291"/>
      <c r="F41" s="91">
        <f>89162025.08</f>
        <v>89162025.08</v>
      </c>
      <c r="G41" s="51">
        <f>102898340.24</f>
        <v>102898340.24</v>
      </c>
      <c r="H41" s="51">
        <f>126557935.4</f>
        <v>126557935.4</v>
      </c>
      <c r="I41" s="52">
        <f>120625935.48</f>
        <v>120625935.48</v>
      </c>
      <c r="J41" s="53">
        <f>116312210.64</f>
        <v>116312210.64</v>
      </c>
      <c r="K41" s="54">
        <f>112947685.72</f>
        <v>112947685.72</v>
      </c>
      <c r="L41" s="54">
        <f>105579960</f>
        <v>105579960</v>
      </c>
      <c r="M41" s="54">
        <f>90780180</f>
        <v>90780180</v>
      </c>
      <c r="N41" s="54">
        <f>71980400</f>
        <v>71980400</v>
      </c>
      <c r="O41" s="54">
        <f>55909200</f>
        <v>55909200</v>
      </c>
      <c r="P41" s="54">
        <f>40338000</f>
        <v>40338000</v>
      </c>
      <c r="Q41" s="54">
        <f>22336800</f>
        <v>22336800</v>
      </c>
      <c r="R41" s="54">
        <f>8359600</f>
        <v>8359600</v>
      </c>
      <c r="S41" s="54">
        <f>962400</f>
        <v>962400</v>
      </c>
      <c r="T41" s="54">
        <f>291200</f>
        <v>291200</v>
      </c>
      <c r="U41" s="54">
        <f>210000</f>
        <v>210000</v>
      </c>
      <c r="V41" s="54">
        <f>128800</f>
        <v>128800</v>
      </c>
      <c r="W41" s="54">
        <f>47600</f>
        <v>47600</v>
      </c>
      <c r="X41" s="54">
        <f>0</f>
        <v>0</v>
      </c>
    </row>
    <row r="42" spans="1:24" ht="25.5" customHeight="1" outlineLevel="2">
      <c r="A42" s="49" t="s">
        <v>169</v>
      </c>
      <c r="B42" s="39"/>
      <c r="C42" s="292" t="s">
        <v>233</v>
      </c>
      <c r="D42" s="292"/>
      <c r="E42" s="292"/>
      <c r="F42" s="92">
        <f>0</f>
        <v>0</v>
      </c>
      <c r="G42" s="55">
        <f>0</f>
        <v>0</v>
      </c>
      <c r="H42" s="55">
        <f>0</f>
        <v>0</v>
      </c>
      <c r="I42" s="56">
        <f>0</f>
        <v>0</v>
      </c>
      <c r="J42" s="57">
        <f>0</f>
        <v>0</v>
      </c>
      <c r="K42" s="58">
        <f>0</f>
        <v>0</v>
      </c>
      <c r="L42" s="58">
        <f>0</f>
        <v>0</v>
      </c>
      <c r="M42" s="58">
        <f>0</f>
        <v>0</v>
      </c>
      <c r="N42" s="58">
        <f>0</f>
        <v>0</v>
      </c>
      <c r="O42" s="58">
        <f>0</f>
        <v>0</v>
      </c>
      <c r="P42" s="58">
        <f>0</f>
        <v>0</v>
      </c>
      <c r="Q42" s="58">
        <f>0</f>
        <v>0</v>
      </c>
      <c r="R42" s="58">
        <f>0</f>
        <v>0</v>
      </c>
      <c r="S42" s="58">
        <f>0</f>
        <v>0</v>
      </c>
      <c r="T42" s="58">
        <f>0</f>
        <v>0</v>
      </c>
      <c r="U42" s="58">
        <f>0</f>
        <v>0</v>
      </c>
      <c r="V42" s="58">
        <f>0</f>
        <v>0</v>
      </c>
      <c r="W42" s="58">
        <f>0</f>
        <v>0</v>
      </c>
      <c r="X42" s="58">
        <f>0</f>
        <v>0</v>
      </c>
    </row>
    <row r="43" spans="1:24" ht="15" customHeight="1" outlineLevel="2">
      <c r="A43" s="49" t="s">
        <v>86</v>
      </c>
      <c r="B43" s="39"/>
      <c r="C43" s="40"/>
      <c r="D43" s="292" t="s">
        <v>420</v>
      </c>
      <c r="E43" s="292"/>
      <c r="F43" s="92">
        <f>0</f>
        <v>0</v>
      </c>
      <c r="G43" s="55">
        <f>0</f>
        <v>0</v>
      </c>
      <c r="H43" s="55">
        <f>0</f>
        <v>0</v>
      </c>
      <c r="I43" s="56">
        <f>0</f>
        <v>0</v>
      </c>
      <c r="J43" s="57">
        <f>0</f>
        <v>0</v>
      </c>
      <c r="K43" s="58">
        <f>0</f>
        <v>0</v>
      </c>
      <c r="L43" s="58">
        <f>0</f>
        <v>0</v>
      </c>
      <c r="M43" s="58">
        <f>0</f>
        <v>0</v>
      </c>
      <c r="N43" s="58">
        <f>0</f>
        <v>0</v>
      </c>
      <c r="O43" s="58">
        <f>0</f>
        <v>0</v>
      </c>
      <c r="P43" s="58">
        <f>0</f>
        <v>0</v>
      </c>
      <c r="Q43" s="58">
        <f>0</f>
        <v>0</v>
      </c>
      <c r="R43" s="58">
        <f>0</f>
        <v>0</v>
      </c>
      <c r="S43" s="58">
        <f>0</f>
        <v>0</v>
      </c>
      <c r="T43" s="58">
        <f>0</f>
        <v>0</v>
      </c>
      <c r="U43" s="58">
        <f>0</f>
        <v>0</v>
      </c>
      <c r="V43" s="58">
        <f>0</f>
        <v>0</v>
      </c>
      <c r="W43" s="58">
        <f>0</f>
        <v>0</v>
      </c>
      <c r="X43" s="58">
        <f>0</f>
        <v>0</v>
      </c>
    </row>
    <row r="44" spans="1:24" ht="25.5" customHeight="1" outlineLevel="2">
      <c r="A44" s="49" t="s">
        <v>170</v>
      </c>
      <c r="B44" s="39"/>
      <c r="C44" s="292" t="s">
        <v>426</v>
      </c>
      <c r="D44" s="292"/>
      <c r="E44" s="292"/>
      <c r="F44" s="94">
        <f>0.2628</f>
        <v>0.2628</v>
      </c>
      <c r="G44" s="61">
        <f>0.2805</f>
        <v>0.2805</v>
      </c>
      <c r="H44" s="61">
        <f>0.3367</f>
        <v>0.3367</v>
      </c>
      <c r="I44" s="62">
        <f>0.3058</f>
        <v>0.3058</v>
      </c>
      <c r="J44" s="63">
        <f>0.2835</f>
        <v>0.2835</v>
      </c>
      <c r="K44" s="64">
        <f>0.2951</f>
        <v>0.2951</v>
      </c>
      <c r="L44" s="64">
        <f>0.2686</f>
        <v>0.2686</v>
      </c>
      <c r="M44" s="64">
        <f>0.2259</f>
        <v>0.2259</v>
      </c>
      <c r="N44" s="64">
        <f>0.1766</f>
        <v>0.1766</v>
      </c>
      <c r="O44" s="64">
        <f>0.1375</f>
        <v>0.1375</v>
      </c>
      <c r="P44" s="64">
        <f>0.0992</f>
        <v>0.0992</v>
      </c>
      <c r="Q44" s="64">
        <f>0.0549</f>
        <v>0.0549</v>
      </c>
      <c r="R44" s="64">
        <f>0.0206</f>
        <v>0.0206</v>
      </c>
      <c r="S44" s="64">
        <f>0.0024</f>
        <v>0.0024</v>
      </c>
      <c r="T44" s="64">
        <f>0.0007</f>
        <v>0.0007</v>
      </c>
      <c r="U44" s="64">
        <f>0.0005</f>
        <v>0.0005</v>
      </c>
      <c r="V44" s="64">
        <f>0.0003</f>
        <v>0.0003</v>
      </c>
      <c r="W44" s="64">
        <f>0.0001</f>
        <v>0.0001</v>
      </c>
      <c r="X44" s="64">
        <f>0</f>
        <v>0</v>
      </c>
    </row>
    <row r="45" spans="1:24" ht="25.5" customHeight="1" outlineLevel="2">
      <c r="A45" s="49" t="s">
        <v>171</v>
      </c>
      <c r="B45" s="39"/>
      <c r="C45" s="292" t="s">
        <v>427</v>
      </c>
      <c r="D45" s="292"/>
      <c r="E45" s="292"/>
      <c r="F45" s="94">
        <f>0.2628</f>
        <v>0.2628</v>
      </c>
      <c r="G45" s="61">
        <f>0.2805</f>
        <v>0.2805</v>
      </c>
      <c r="H45" s="61">
        <f>0.3367</f>
        <v>0.3367</v>
      </c>
      <c r="I45" s="62">
        <f>0.3058</f>
        <v>0.3058</v>
      </c>
      <c r="J45" s="63">
        <f>0.2835</f>
        <v>0.2835</v>
      </c>
      <c r="K45" s="64">
        <f>0.2951</f>
        <v>0.2951</v>
      </c>
      <c r="L45" s="64">
        <f>0.2686</f>
        <v>0.2686</v>
      </c>
      <c r="M45" s="64">
        <f>0.2259</f>
        <v>0.2259</v>
      </c>
      <c r="N45" s="64">
        <f>0.1766</f>
        <v>0.1766</v>
      </c>
      <c r="O45" s="64">
        <f>0.1375</f>
        <v>0.1375</v>
      </c>
      <c r="P45" s="64">
        <f>0.0992</f>
        <v>0.0992</v>
      </c>
      <c r="Q45" s="64">
        <f>0.0549</f>
        <v>0.0549</v>
      </c>
      <c r="R45" s="64">
        <f>0.0206</f>
        <v>0.0206</v>
      </c>
      <c r="S45" s="64">
        <f>0.0024</f>
        <v>0.0024</v>
      </c>
      <c r="T45" s="64">
        <f>0.0007</f>
        <v>0.0007</v>
      </c>
      <c r="U45" s="64">
        <f>0.0005</f>
        <v>0.0005</v>
      </c>
      <c r="V45" s="64">
        <f>0.0003</f>
        <v>0.0003</v>
      </c>
      <c r="W45" s="64">
        <f>0.0001</f>
        <v>0.0001</v>
      </c>
      <c r="X45" s="64">
        <f>0</f>
        <v>0</v>
      </c>
    </row>
    <row r="46" spans="1:24" ht="39" customHeight="1" outlineLevel="1">
      <c r="A46" s="48">
        <v>7</v>
      </c>
      <c r="B46" s="290" t="s">
        <v>282</v>
      </c>
      <c r="C46" s="291"/>
      <c r="D46" s="291"/>
      <c r="E46" s="291"/>
      <c r="F46" s="91">
        <f>0</f>
        <v>0</v>
      </c>
      <c r="G46" s="51">
        <f>0</f>
        <v>0</v>
      </c>
      <c r="H46" s="51">
        <f>0</f>
        <v>0</v>
      </c>
      <c r="I46" s="52">
        <f>0</f>
        <v>0</v>
      </c>
      <c r="J46" s="53">
        <f>0</f>
        <v>0</v>
      </c>
      <c r="K46" s="54">
        <f>0</f>
        <v>0</v>
      </c>
      <c r="L46" s="54">
        <f>0</f>
        <v>0</v>
      </c>
      <c r="M46" s="54">
        <f>0</f>
        <v>0</v>
      </c>
      <c r="N46" s="54">
        <f>0</f>
        <v>0</v>
      </c>
      <c r="O46" s="54">
        <f>0</f>
        <v>0</v>
      </c>
      <c r="P46" s="54">
        <f>0</f>
        <v>0</v>
      </c>
      <c r="Q46" s="54">
        <f>0</f>
        <v>0</v>
      </c>
      <c r="R46" s="54">
        <f>0</f>
        <v>0</v>
      </c>
      <c r="S46" s="54">
        <f>0</f>
        <v>0</v>
      </c>
      <c r="T46" s="54">
        <f>0</f>
        <v>0</v>
      </c>
      <c r="U46" s="54">
        <f>0</f>
        <v>0</v>
      </c>
      <c r="V46" s="54">
        <f>0</f>
        <v>0</v>
      </c>
      <c r="W46" s="54">
        <f>0</f>
        <v>0</v>
      </c>
      <c r="X46" s="54">
        <f>0</f>
        <v>0</v>
      </c>
    </row>
    <row r="47" spans="1:24" ht="15" customHeight="1" outlineLevel="1">
      <c r="A47" s="48">
        <v>8</v>
      </c>
      <c r="B47" s="290" t="s">
        <v>172</v>
      </c>
      <c r="C47" s="291"/>
      <c r="D47" s="291"/>
      <c r="E47" s="291"/>
      <c r="F47" s="95" t="s">
        <v>29</v>
      </c>
      <c r="G47" s="65" t="s">
        <v>29</v>
      </c>
      <c r="H47" s="65" t="s">
        <v>29</v>
      </c>
      <c r="I47" s="66" t="s">
        <v>29</v>
      </c>
      <c r="J47" s="67" t="s">
        <v>29</v>
      </c>
      <c r="K47" s="68" t="s">
        <v>29</v>
      </c>
      <c r="L47" s="68" t="s">
        <v>29</v>
      </c>
      <c r="M47" s="68" t="s">
        <v>29</v>
      </c>
      <c r="N47" s="68" t="s">
        <v>29</v>
      </c>
      <c r="O47" s="68" t="s">
        <v>29</v>
      </c>
      <c r="P47" s="68" t="s">
        <v>29</v>
      </c>
      <c r="Q47" s="68" t="s">
        <v>29</v>
      </c>
      <c r="R47" s="68" t="s">
        <v>29</v>
      </c>
      <c r="S47" s="68" t="s">
        <v>29</v>
      </c>
      <c r="T47" s="68" t="s">
        <v>29</v>
      </c>
      <c r="U47" s="68" t="s">
        <v>29</v>
      </c>
      <c r="V47" s="68" t="s">
        <v>29</v>
      </c>
      <c r="W47" s="68" t="s">
        <v>29</v>
      </c>
      <c r="X47" s="68" t="s">
        <v>29</v>
      </c>
    </row>
    <row r="48" spans="1:24" ht="15" customHeight="1" outlineLevel="2">
      <c r="A48" s="49" t="s">
        <v>173</v>
      </c>
      <c r="B48" s="39"/>
      <c r="C48" s="292" t="s">
        <v>281</v>
      </c>
      <c r="D48" s="292"/>
      <c r="E48" s="292"/>
      <c r="F48" s="92">
        <f>13863114.66</f>
        <v>13863114.66</v>
      </c>
      <c r="G48" s="55">
        <f>17714622.63</f>
        <v>17714622.63</v>
      </c>
      <c r="H48" s="55">
        <f>11130131.84</f>
        <v>11130131.84</v>
      </c>
      <c r="I48" s="56">
        <f>20708206.72</f>
        <v>20708206.72</v>
      </c>
      <c r="J48" s="57">
        <f>13349592.67</f>
        <v>13349592.67</v>
      </c>
      <c r="K48" s="58">
        <f>26805000</f>
        <v>26805000</v>
      </c>
      <c r="L48" s="58">
        <f>37723179.84</f>
        <v>37723179.84</v>
      </c>
      <c r="M48" s="58">
        <f>46368580</f>
        <v>46368580</v>
      </c>
      <c r="N48" s="58">
        <f>52168580</f>
        <v>52168580</v>
      </c>
      <c r="O48" s="58">
        <f>51668580</f>
        <v>51668580</v>
      </c>
      <c r="P48" s="58">
        <f>51068580</f>
        <v>51068580</v>
      </c>
      <c r="Q48" s="58">
        <f>51048580</f>
        <v>51048580</v>
      </c>
      <c r="R48" s="58">
        <f>51168580</f>
        <v>51168580</v>
      </c>
      <c r="S48" s="58">
        <f>51194580</f>
        <v>51194580</v>
      </c>
      <c r="T48" s="58">
        <f aca="true" t="shared" si="3" ref="T48:W49">51468580</f>
        <v>51468580</v>
      </c>
      <c r="U48" s="58">
        <f t="shared" si="3"/>
        <v>51468580</v>
      </c>
      <c r="V48" s="58">
        <f t="shared" si="3"/>
        <v>51468580</v>
      </c>
      <c r="W48" s="58">
        <f t="shared" si="3"/>
        <v>51468580</v>
      </c>
      <c r="X48" s="58">
        <f>51568580</f>
        <v>51568580</v>
      </c>
    </row>
    <row r="49" spans="1:24" ht="39" customHeight="1" outlineLevel="2">
      <c r="A49" s="49" t="s">
        <v>174</v>
      </c>
      <c r="B49" s="39"/>
      <c r="C49" s="292" t="s">
        <v>235</v>
      </c>
      <c r="D49" s="292"/>
      <c r="E49" s="292"/>
      <c r="F49" s="92">
        <f>13863114.66</f>
        <v>13863114.66</v>
      </c>
      <c r="G49" s="55">
        <f>20484622.63</f>
        <v>20484622.63</v>
      </c>
      <c r="H49" s="55">
        <f>16929195.84</f>
        <v>16929195.84</v>
      </c>
      <c r="I49" s="56">
        <f>26507270.72</f>
        <v>26507270.72</v>
      </c>
      <c r="J49" s="57">
        <f>24249592.67</f>
        <v>24249592.67</v>
      </c>
      <c r="K49" s="58">
        <f>26805000</f>
        <v>26805000</v>
      </c>
      <c r="L49" s="58">
        <f>37723179.84</f>
        <v>37723179.84</v>
      </c>
      <c r="M49" s="58">
        <f>46368580</f>
        <v>46368580</v>
      </c>
      <c r="N49" s="58">
        <f>52168580</f>
        <v>52168580</v>
      </c>
      <c r="O49" s="58">
        <f>51668580</f>
        <v>51668580</v>
      </c>
      <c r="P49" s="58">
        <f>51068580</f>
        <v>51068580</v>
      </c>
      <c r="Q49" s="58">
        <f>51048580</f>
        <v>51048580</v>
      </c>
      <c r="R49" s="58">
        <f>51168580</f>
        <v>51168580</v>
      </c>
      <c r="S49" s="58">
        <f>51194580</f>
        <v>51194580</v>
      </c>
      <c r="T49" s="58">
        <f t="shared" si="3"/>
        <v>51468580</v>
      </c>
      <c r="U49" s="58">
        <f t="shared" si="3"/>
        <v>51468580</v>
      </c>
      <c r="V49" s="58">
        <f t="shared" si="3"/>
        <v>51468580</v>
      </c>
      <c r="W49" s="58">
        <f t="shared" si="3"/>
        <v>51468580</v>
      </c>
      <c r="X49" s="58">
        <f>51568580</f>
        <v>51568580</v>
      </c>
    </row>
    <row r="50" spans="1:24" ht="14.25" outlineLevel="1">
      <c r="A50" s="48">
        <v>9</v>
      </c>
      <c r="B50" s="290" t="s">
        <v>175</v>
      </c>
      <c r="C50" s="291"/>
      <c r="D50" s="291"/>
      <c r="E50" s="291"/>
      <c r="F50" s="95" t="s">
        <v>29</v>
      </c>
      <c r="G50" s="65" t="s">
        <v>29</v>
      </c>
      <c r="H50" s="65" t="s">
        <v>29</v>
      </c>
      <c r="I50" s="66" t="s">
        <v>29</v>
      </c>
      <c r="J50" s="67" t="s">
        <v>29</v>
      </c>
      <c r="K50" s="68" t="s">
        <v>29</v>
      </c>
      <c r="L50" s="68" t="s">
        <v>29</v>
      </c>
      <c r="M50" s="68" t="s">
        <v>29</v>
      </c>
      <c r="N50" s="68" t="s">
        <v>29</v>
      </c>
      <c r="O50" s="68" t="s">
        <v>29</v>
      </c>
      <c r="P50" s="68" t="s">
        <v>29</v>
      </c>
      <c r="Q50" s="68" t="s">
        <v>29</v>
      </c>
      <c r="R50" s="68" t="s">
        <v>29</v>
      </c>
      <c r="S50" s="68" t="s">
        <v>29</v>
      </c>
      <c r="T50" s="68" t="s">
        <v>29</v>
      </c>
      <c r="U50" s="68" t="s">
        <v>29</v>
      </c>
      <c r="V50" s="68" t="s">
        <v>29</v>
      </c>
      <c r="W50" s="68" t="s">
        <v>29</v>
      </c>
      <c r="X50" s="68" t="s">
        <v>29</v>
      </c>
    </row>
    <row r="51" spans="1:24" ht="25.5" customHeight="1" outlineLevel="2">
      <c r="A51" s="49" t="s">
        <v>176</v>
      </c>
      <c r="B51" s="39"/>
      <c r="C51" s="292" t="s">
        <v>234</v>
      </c>
      <c r="D51" s="292"/>
      <c r="E51" s="292"/>
      <c r="F51" s="94">
        <f>0.0497</f>
        <v>0.0497</v>
      </c>
      <c r="G51" s="61">
        <f>0.0638</f>
        <v>0.0638</v>
      </c>
      <c r="H51" s="61">
        <f>0.0749</f>
        <v>0.0749</v>
      </c>
      <c r="I51" s="62">
        <f>0.0742</f>
        <v>0.0742</v>
      </c>
      <c r="J51" s="63">
        <f>0.0749</f>
        <v>0.0749</v>
      </c>
      <c r="K51" s="64">
        <f>0.0516</f>
        <v>0.0516</v>
      </c>
      <c r="L51" s="64">
        <f>0.0599</f>
        <v>0.0599</v>
      </c>
      <c r="M51" s="64">
        <f>0.0511</f>
        <v>0.0511</v>
      </c>
      <c r="N51" s="64">
        <f>0.0849</f>
        <v>0.0849</v>
      </c>
      <c r="O51" s="64">
        <f>0.0754</f>
        <v>0.0754</v>
      </c>
      <c r="P51" s="64">
        <f>0.0717</f>
        <v>0.0717</v>
      </c>
      <c r="Q51" s="64">
        <f>0.075</f>
        <v>0.075</v>
      </c>
      <c r="R51" s="64">
        <f>0.062</f>
        <v>0.062</v>
      </c>
      <c r="S51" s="64">
        <f>0.0435</f>
        <v>0.0435</v>
      </c>
      <c r="T51" s="64">
        <f>0.0253</f>
        <v>0.0253</v>
      </c>
      <c r="U51" s="64">
        <f>0.0233</f>
        <v>0.0233</v>
      </c>
      <c r="V51" s="64">
        <f>0.0226</f>
        <v>0.0226</v>
      </c>
      <c r="W51" s="64">
        <f>0.0221</f>
        <v>0.0221</v>
      </c>
      <c r="X51" s="64">
        <f>0.0213</f>
        <v>0.0213</v>
      </c>
    </row>
    <row r="52" spans="1:24" ht="25.5" customHeight="1" outlineLevel="2">
      <c r="A52" s="49" t="s">
        <v>177</v>
      </c>
      <c r="B52" s="39"/>
      <c r="C52" s="292" t="s">
        <v>236</v>
      </c>
      <c r="D52" s="292"/>
      <c r="E52" s="292"/>
      <c r="F52" s="94">
        <f>0.0497</f>
        <v>0.0497</v>
      </c>
      <c r="G52" s="61">
        <f>0.0638</f>
        <v>0.0638</v>
      </c>
      <c r="H52" s="61">
        <f>0.0749</f>
        <v>0.0749</v>
      </c>
      <c r="I52" s="62">
        <f>0.0742</f>
        <v>0.0742</v>
      </c>
      <c r="J52" s="63">
        <f>0.0749</f>
        <v>0.0749</v>
      </c>
      <c r="K52" s="64">
        <f>0.0516</f>
        <v>0.0516</v>
      </c>
      <c r="L52" s="64">
        <f>0.0599</f>
        <v>0.0599</v>
      </c>
      <c r="M52" s="64">
        <f>0.0511</f>
        <v>0.0511</v>
      </c>
      <c r="N52" s="64">
        <f>0.0849</f>
        <v>0.0849</v>
      </c>
      <c r="O52" s="64">
        <f>0.0754</f>
        <v>0.0754</v>
      </c>
      <c r="P52" s="64">
        <f>0.0717</f>
        <v>0.0717</v>
      </c>
      <c r="Q52" s="64">
        <f>0.075</f>
        <v>0.075</v>
      </c>
      <c r="R52" s="64">
        <f>0.062</f>
        <v>0.062</v>
      </c>
      <c r="S52" s="64">
        <f>0.0435</f>
        <v>0.0435</v>
      </c>
      <c r="T52" s="64">
        <f>0.0253</f>
        <v>0.0253</v>
      </c>
      <c r="U52" s="64">
        <f>0.0233</f>
        <v>0.0233</v>
      </c>
      <c r="V52" s="64">
        <f>0.0226</f>
        <v>0.0226</v>
      </c>
      <c r="W52" s="64">
        <f>0.0221</f>
        <v>0.0221</v>
      </c>
      <c r="X52" s="64">
        <f>0.0213</f>
        <v>0.0213</v>
      </c>
    </row>
    <row r="53" spans="1:24" ht="38.25" customHeight="1" outlineLevel="2">
      <c r="A53" s="49" t="s">
        <v>178</v>
      </c>
      <c r="B53" s="39"/>
      <c r="C53" s="292" t="s">
        <v>238</v>
      </c>
      <c r="D53" s="292"/>
      <c r="E53" s="292"/>
      <c r="F53" s="94">
        <f>0.0497</f>
        <v>0.0497</v>
      </c>
      <c r="G53" s="61">
        <f>0.0638</f>
        <v>0.0638</v>
      </c>
      <c r="H53" s="61">
        <f>0.0749</f>
        <v>0.0749</v>
      </c>
      <c r="I53" s="62">
        <f>0.0742</f>
        <v>0.0742</v>
      </c>
      <c r="J53" s="63">
        <f>0.0749</f>
        <v>0.0749</v>
      </c>
      <c r="K53" s="64">
        <f>0.0516</f>
        <v>0.0516</v>
      </c>
      <c r="L53" s="64">
        <f>0.0599</f>
        <v>0.0599</v>
      </c>
      <c r="M53" s="64">
        <f>0.0511</f>
        <v>0.0511</v>
      </c>
      <c r="N53" s="64">
        <f>0.0849</f>
        <v>0.0849</v>
      </c>
      <c r="O53" s="64">
        <f>0.0754</f>
        <v>0.0754</v>
      </c>
      <c r="P53" s="64">
        <f>0.0717</f>
        <v>0.0717</v>
      </c>
      <c r="Q53" s="64">
        <f>0.075</f>
        <v>0.075</v>
      </c>
      <c r="R53" s="64">
        <f>0.062</f>
        <v>0.062</v>
      </c>
      <c r="S53" s="64">
        <f>0.0435</f>
        <v>0.0435</v>
      </c>
      <c r="T53" s="64">
        <f>0.0253</f>
        <v>0.0253</v>
      </c>
      <c r="U53" s="64">
        <f>0.0233</f>
        <v>0.0233</v>
      </c>
      <c r="V53" s="64">
        <f>0.0226</f>
        <v>0.0226</v>
      </c>
      <c r="W53" s="64">
        <f>0.0221</f>
        <v>0.0221</v>
      </c>
      <c r="X53" s="64">
        <f>0.0213</f>
        <v>0.0213</v>
      </c>
    </row>
    <row r="54" spans="1:24" ht="38.25" customHeight="1" outlineLevel="2">
      <c r="A54" s="49" t="s">
        <v>179</v>
      </c>
      <c r="B54" s="39"/>
      <c r="C54" s="292" t="s">
        <v>237</v>
      </c>
      <c r="D54" s="292"/>
      <c r="E54" s="292"/>
      <c r="F54" s="94">
        <f>0.0497</f>
        <v>0.0497</v>
      </c>
      <c r="G54" s="61">
        <f>0.0638</f>
        <v>0.0638</v>
      </c>
      <c r="H54" s="61">
        <f>0.0749</f>
        <v>0.0749</v>
      </c>
      <c r="I54" s="62">
        <f>0.0742</f>
        <v>0.0742</v>
      </c>
      <c r="J54" s="63">
        <f>0.0749</f>
        <v>0.0749</v>
      </c>
      <c r="K54" s="64">
        <f>0.0516</f>
        <v>0.0516</v>
      </c>
      <c r="L54" s="64">
        <f>0.0599</f>
        <v>0.0599</v>
      </c>
      <c r="M54" s="64">
        <f>0.0511</f>
        <v>0.0511</v>
      </c>
      <c r="N54" s="64">
        <f>0.0849</f>
        <v>0.0849</v>
      </c>
      <c r="O54" s="64">
        <f>0.0754</f>
        <v>0.0754</v>
      </c>
      <c r="P54" s="64">
        <f>0.0717</f>
        <v>0.0717</v>
      </c>
      <c r="Q54" s="64">
        <f>0.075</f>
        <v>0.075</v>
      </c>
      <c r="R54" s="64">
        <f>0.062</f>
        <v>0.062</v>
      </c>
      <c r="S54" s="64">
        <f>0.0435</f>
        <v>0.0435</v>
      </c>
      <c r="T54" s="64">
        <f>0.0253</f>
        <v>0.0253</v>
      </c>
      <c r="U54" s="64">
        <f>0.0233</f>
        <v>0.0233</v>
      </c>
      <c r="V54" s="64">
        <f>0.0226</f>
        <v>0.0226</v>
      </c>
      <c r="W54" s="64">
        <f>0.0221</f>
        <v>0.0221</v>
      </c>
      <c r="X54" s="64">
        <f>0.0213</f>
        <v>0.0213</v>
      </c>
    </row>
    <row r="55" spans="1:24" ht="25.5" customHeight="1" outlineLevel="2">
      <c r="A55" s="49" t="s">
        <v>180</v>
      </c>
      <c r="B55" s="39"/>
      <c r="C55" s="292" t="s">
        <v>239</v>
      </c>
      <c r="D55" s="292"/>
      <c r="E55" s="292"/>
      <c r="F55" s="92">
        <f>0</f>
        <v>0</v>
      </c>
      <c r="G55" s="55">
        <f>0</f>
        <v>0</v>
      </c>
      <c r="H55" s="55">
        <f>0</f>
        <v>0</v>
      </c>
      <c r="I55" s="56">
        <f>0</f>
        <v>0</v>
      </c>
      <c r="J55" s="57">
        <f>0</f>
        <v>0</v>
      </c>
      <c r="K55" s="58">
        <f>0</f>
        <v>0</v>
      </c>
      <c r="L55" s="58">
        <f>0</f>
        <v>0</v>
      </c>
      <c r="M55" s="58">
        <f>0</f>
        <v>0</v>
      </c>
      <c r="N55" s="58">
        <f>0</f>
        <v>0</v>
      </c>
      <c r="O55" s="58">
        <f>0</f>
        <v>0</v>
      </c>
      <c r="P55" s="58">
        <f>0</f>
        <v>0</v>
      </c>
      <c r="Q55" s="58">
        <f>0</f>
        <v>0</v>
      </c>
      <c r="R55" s="58">
        <f>0</f>
        <v>0</v>
      </c>
      <c r="S55" s="58">
        <f>0</f>
        <v>0</v>
      </c>
      <c r="T55" s="58">
        <f>0</f>
        <v>0</v>
      </c>
      <c r="U55" s="58">
        <f>0</f>
        <v>0</v>
      </c>
      <c r="V55" s="58">
        <f>0</f>
        <v>0</v>
      </c>
      <c r="W55" s="58">
        <f>0</f>
        <v>0</v>
      </c>
      <c r="X55" s="58">
        <f>0</f>
        <v>0</v>
      </c>
    </row>
    <row r="56" spans="1:24" ht="38.25" customHeight="1" outlineLevel="2">
      <c r="A56" s="49" t="s">
        <v>181</v>
      </c>
      <c r="B56" s="39"/>
      <c r="C56" s="292" t="s">
        <v>240</v>
      </c>
      <c r="D56" s="292"/>
      <c r="E56" s="292"/>
      <c r="F56" s="94">
        <f>0.0497</f>
        <v>0.0497</v>
      </c>
      <c r="G56" s="61">
        <f>0.0638</f>
        <v>0.0638</v>
      </c>
      <c r="H56" s="61">
        <f>0.0749</f>
        <v>0.0749</v>
      </c>
      <c r="I56" s="62">
        <f>0.0742</f>
        <v>0.0742</v>
      </c>
      <c r="J56" s="63">
        <f>0.0749</f>
        <v>0.0749</v>
      </c>
      <c r="K56" s="64">
        <f>0.0516</f>
        <v>0.0516</v>
      </c>
      <c r="L56" s="64">
        <f>0.0599</f>
        <v>0.0599</v>
      </c>
      <c r="M56" s="64">
        <f>0.0511</f>
        <v>0.0511</v>
      </c>
      <c r="N56" s="64">
        <f>0.0849</f>
        <v>0.0849</v>
      </c>
      <c r="O56" s="64">
        <f>0.0754</f>
        <v>0.0754</v>
      </c>
      <c r="P56" s="64">
        <f>0.0717</f>
        <v>0.0717</v>
      </c>
      <c r="Q56" s="64">
        <f>0.075</f>
        <v>0.075</v>
      </c>
      <c r="R56" s="64">
        <f>0.062</f>
        <v>0.062</v>
      </c>
      <c r="S56" s="64">
        <f>0.0435</f>
        <v>0.0435</v>
      </c>
      <c r="T56" s="64">
        <f>0.0253</f>
        <v>0.0253</v>
      </c>
      <c r="U56" s="64">
        <f>0.0233</f>
        <v>0.0233</v>
      </c>
      <c r="V56" s="64">
        <f>0.0226</f>
        <v>0.0226</v>
      </c>
      <c r="W56" s="64">
        <f>0.0221</f>
        <v>0.0221</v>
      </c>
      <c r="X56" s="64">
        <f>0.0213</f>
        <v>0.0213</v>
      </c>
    </row>
    <row r="57" spans="1:24" ht="15" customHeight="1" outlineLevel="3">
      <c r="A57" s="138" t="s">
        <v>98</v>
      </c>
      <c r="B57" s="264"/>
      <c r="C57" s="140"/>
      <c r="D57" s="271" t="s">
        <v>434</v>
      </c>
      <c r="E57" s="139"/>
      <c r="F57" s="94">
        <f>+IF(F7&lt;&gt;0,(F8+F16-F19)/F7,0)</f>
        <v>0.048202714609794216</v>
      </c>
      <c r="G57" s="61">
        <f>+IF(G7&lt;&gt;0,(G8+G16-G19)/G7,0)</f>
        <v>0.052893076884298354</v>
      </c>
      <c r="H57" s="61">
        <f>+IF(H7&lt;&gt;0,(H8+H16-H19)/H7,0)</f>
        <v>0.03930826058769576</v>
      </c>
      <c r="I57" s="62">
        <f>+IF(I7&lt;&gt;0,(I8+I16-I19)/I7,0)</f>
        <v>0.062447393517851404</v>
      </c>
      <c r="J57" s="63">
        <f>+IF(J7&lt;&gt;0,(J8+J16-J19)/J7,0)</f>
        <v>0.05736047228946249</v>
      </c>
      <c r="K57" s="64">
        <f aca="true" t="shared" si="4" ref="K57:X57">+IF(K7&lt;&gt;0,(K8+K16-K19)/K7,0)</f>
        <v>0.072634892438709</v>
      </c>
      <c r="L57" s="64">
        <f t="shared" si="4"/>
        <v>0.09852963175284114</v>
      </c>
      <c r="M57" s="64">
        <f t="shared" si="4"/>
        <v>0.11786862493271309</v>
      </c>
      <c r="N57" s="64">
        <f t="shared" si="4"/>
        <v>0.13041869182844756</v>
      </c>
      <c r="O57" s="64">
        <f t="shared" si="4"/>
        <v>0.12705094682826581</v>
      </c>
      <c r="P57" s="64">
        <f t="shared" si="4"/>
        <v>0.12557557111449627</v>
      </c>
      <c r="Q57" s="64">
        <f t="shared" si="4"/>
        <v>0.12552639192403728</v>
      </c>
      <c r="R57" s="64">
        <f t="shared" si="4"/>
        <v>0.12582146706679118</v>
      </c>
      <c r="S57" s="64">
        <f t="shared" si="4"/>
        <v>0.12588540001438786</v>
      </c>
      <c r="T57" s="64">
        <f t="shared" si="4"/>
        <v>0.12655915492367595</v>
      </c>
      <c r="U57" s="64">
        <f t="shared" si="4"/>
        <v>0.12655915492367595</v>
      </c>
      <c r="V57" s="64">
        <f t="shared" si="4"/>
        <v>0.12655915492367595</v>
      </c>
      <c r="W57" s="64">
        <f t="shared" si="4"/>
        <v>0.12655915492367595</v>
      </c>
      <c r="X57" s="64">
        <f t="shared" si="4"/>
        <v>0.12680505087597088</v>
      </c>
    </row>
    <row r="58" spans="1:24" ht="38.25" customHeight="1" outlineLevel="2">
      <c r="A58" s="49" t="s">
        <v>182</v>
      </c>
      <c r="B58" s="39"/>
      <c r="C58" s="292" t="s">
        <v>241</v>
      </c>
      <c r="D58" s="292"/>
      <c r="E58" s="292"/>
      <c r="F58" s="94">
        <f>0</f>
        <v>0</v>
      </c>
      <c r="G58" s="61">
        <f>0</f>
        <v>0</v>
      </c>
      <c r="H58" s="61">
        <f>0</f>
        <v>0</v>
      </c>
      <c r="I58" s="62">
        <f>0</f>
        <v>0</v>
      </c>
      <c r="J58" s="63">
        <f>0.0468</f>
        <v>0.0468</v>
      </c>
      <c r="K58" s="64">
        <f>0.0499</f>
        <v>0.0499</v>
      </c>
      <c r="L58" s="64">
        <f>0.0564</f>
        <v>0.0564</v>
      </c>
      <c r="M58" s="64">
        <f>0.0762</f>
        <v>0.0762</v>
      </c>
      <c r="N58" s="64">
        <f>0.0963</f>
        <v>0.0963</v>
      </c>
      <c r="O58" s="64">
        <f>0.1156</f>
        <v>0.1156</v>
      </c>
      <c r="P58" s="64">
        <f>0.1251</f>
        <v>0.1251</v>
      </c>
      <c r="Q58" s="64">
        <f>0.1277</f>
        <v>0.1277</v>
      </c>
      <c r="R58" s="64">
        <f>0.1261</f>
        <v>0.1261</v>
      </c>
      <c r="S58" s="64">
        <f>0.1256</f>
        <v>0.1256</v>
      </c>
      <c r="T58" s="64">
        <f>0.1257</f>
        <v>0.1257</v>
      </c>
      <c r="U58" s="64">
        <f>0.1261</f>
        <v>0.1261</v>
      </c>
      <c r="V58" s="64">
        <f>0.1264</f>
        <v>0.1264</v>
      </c>
      <c r="W58" s="64">
        <f>0.1266</f>
        <v>0.1266</v>
      </c>
      <c r="X58" s="64">
        <f>0.1266</f>
        <v>0.1266</v>
      </c>
    </row>
    <row r="59" spans="1:24" ht="38.25" customHeight="1" outlineLevel="2">
      <c r="A59" s="49" t="s">
        <v>101</v>
      </c>
      <c r="B59" s="39"/>
      <c r="C59" s="40"/>
      <c r="D59" s="292" t="s">
        <v>242</v>
      </c>
      <c r="E59" s="292"/>
      <c r="F59" s="94">
        <f>0</f>
        <v>0</v>
      </c>
      <c r="G59" s="61">
        <f>0</f>
        <v>0</v>
      </c>
      <c r="H59" s="61">
        <f>0</f>
        <v>0</v>
      </c>
      <c r="I59" s="62">
        <f>0</f>
        <v>0</v>
      </c>
      <c r="J59" s="63">
        <f>0.0545</f>
        <v>0.0545</v>
      </c>
      <c r="K59" s="64">
        <f>0.0576</f>
        <v>0.0576</v>
      </c>
      <c r="L59" s="64">
        <f>0.0641</f>
        <v>0.0641</v>
      </c>
      <c r="M59" s="64">
        <f>0.0762</f>
        <v>0.0762</v>
      </c>
      <c r="N59" s="64">
        <f>0.0963</f>
        <v>0.0963</v>
      </c>
      <c r="O59" s="64">
        <f>0.1156</f>
        <v>0.1156</v>
      </c>
      <c r="P59" s="64">
        <f>0.1251</f>
        <v>0.1251</v>
      </c>
      <c r="Q59" s="64">
        <f>0.1277</f>
        <v>0.1277</v>
      </c>
      <c r="R59" s="64">
        <f>0.1261</f>
        <v>0.1261</v>
      </c>
      <c r="S59" s="64">
        <f>0.1256</f>
        <v>0.1256</v>
      </c>
      <c r="T59" s="64">
        <f>0.1257</f>
        <v>0.1257</v>
      </c>
      <c r="U59" s="64">
        <f>0.1261</f>
        <v>0.1261</v>
      </c>
      <c r="V59" s="64">
        <f>0.1264</f>
        <v>0.1264</v>
      </c>
      <c r="W59" s="64">
        <f>0.1266</f>
        <v>0.1266</v>
      </c>
      <c r="X59" s="64">
        <f>0.1266</f>
        <v>0.1266</v>
      </c>
    </row>
    <row r="60" spans="1:24" ht="49.5" customHeight="1" outlineLevel="2">
      <c r="A60" s="49" t="s">
        <v>183</v>
      </c>
      <c r="B60" s="39"/>
      <c r="C60" s="292" t="s">
        <v>244</v>
      </c>
      <c r="D60" s="292"/>
      <c r="E60" s="292"/>
      <c r="F60" s="95" t="s">
        <v>29</v>
      </c>
      <c r="G60" s="65" t="s">
        <v>29</v>
      </c>
      <c r="H60" s="65" t="s">
        <v>29</v>
      </c>
      <c r="I60" s="66" t="s">
        <v>29</v>
      </c>
      <c r="J60" s="265" t="str">
        <f>IF(J56&lt;=J58,"Spełniona","Nie spełniona")</f>
        <v>Nie spełniona</v>
      </c>
      <c r="K60" s="266" t="str">
        <f aca="true" t="shared" si="5" ref="K60:X60">IF(K56&lt;=K58,"Spełniona","Nie spełniona")</f>
        <v>Nie spełniona</v>
      </c>
      <c r="L60" s="266" t="str">
        <f t="shared" si="5"/>
        <v>Nie spełniona</v>
      </c>
      <c r="M60" s="266" t="str">
        <f t="shared" si="5"/>
        <v>Spełniona</v>
      </c>
      <c r="N60" s="266" t="str">
        <f t="shared" si="5"/>
        <v>Spełniona</v>
      </c>
      <c r="O60" s="266" t="str">
        <f t="shared" si="5"/>
        <v>Spełniona</v>
      </c>
      <c r="P60" s="266" t="str">
        <f t="shared" si="5"/>
        <v>Spełniona</v>
      </c>
      <c r="Q60" s="266" t="str">
        <f t="shared" si="5"/>
        <v>Spełniona</v>
      </c>
      <c r="R60" s="266" t="str">
        <f t="shared" si="5"/>
        <v>Spełniona</v>
      </c>
      <c r="S60" s="266" t="str">
        <f t="shared" si="5"/>
        <v>Spełniona</v>
      </c>
      <c r="T60" s="266" t="str">
        <f t="shared" si="5"/>
        <v>Spełniona</v>
      </c>
      <c r="U60" s="266" t="str">
        <f t="shared" si="5"/>
        <v>Spełniona</v>
      </c>
      <c r="V60" s="266" t="str">
        <f t="shared" si="5"/>
        <v>Spełniona</v>
      </c>
      <c r="W60" s="266" t="str">
        <f t="shared" si="5"/>
        <v>Spełniona</v>
      </c>
      <c r="X60" s="266" t="str">
        <f t="shared" si="5"/>
        <v>Spełniona</v>
      </c>
    </row>
    <row r="61" spans="1:24" ht="49.5" customHeight="1" outlineLevel="2">
      <c r="A61" s="49" t="s">
        <v>104</v>
      </c>
      <c r="B61" s="39"/>
      <c r="C61" s="40"/>
      <c r="D61" s="292" t="s">
        <v>243</v>
      </c>
      <c r="E61" s="292"/>
      <c r="F61" s="95" t="s">
        <v>29</v>
      </c>
      <c r="G61" s="65" t="s">
        <v>29</v>
      </c>
      <c r="H61" s="65" t="s">
        <v>29</v>
      </c>
      <c r="I61" s="66" t="s">
        <v>29</v>
      </c>
      <c r="J61" s="265" t="str">
        <f>IF(J56&lt;=J59,"Spełniona","Nie spełniona")</f>
        <v>Nie spełniona</v>
      </c>
      <c r="K61" s="266" t="str">
        <f aca="true" t="shared" si="6" ref="K61:X61">IF(K56&lt;=K59,"Spełniona","Nie spełniona")</f>
        <v>Spełniona</v>
      </c>
      <c r="L61" s="266" t="str">
        <f t="shared" si="6"/>
        <v>Spełniona</v>
      </c>
      <c r="M61" s="266" t="str">
        <f t="shared" si="6"/>
        <v>Spełniona</v>
      </c>
      <c r="N61" s="266" t="str">
        <f t="shared" si="6"/>
        <v>Spełniona</v>
      </c>
      <c r="O61" s="266" t="str">
        <f t="shared" si="6"/>
        <v>Spełniona</v>
      </c>
      <c r="P61" s="266" t="str">
        <f t="shared" si="6"/>
        <v>Spełniona</v>
      </c>
      <c r="Q61" s="266" t="str">
        <f t="shared" si="6"/>
        <v>Spełniona</v>
      </c>
      <c r="R61" s="266" t="str">
        <f t="shared" si="6"/>
        <v>Spełniona</v>
      </c>
      <c r="S61" s="266" t="str">
        <f t="shared" si="6"/>
        <v>Spełniona</v>
      </c>
      <c r="T61" s="266" t="str">
        <f t="shared" si="6"/>
        <v>Spełniona</v>
      </c>
      <c r="U61" s="266" t="str">
        <f t="shared" si="6"/>
        <v>Spełniona</v>
      </c>
      <c r="V61" s="266" t="str">
        <f t="shared" si="6"/>
        <v>Spełniona</v>
      </c>
      <c r="W61" s="266" t="str">
        <f t="shared" si="6"/>
        <v>Spełniona</v>
      </c>
      <c r="X61" s="266" t="str">
        <f t="shared" si="6"/>
        <v>Spełniona</v>
      </c>
    </row>
    <row r="62" spans="1:24" ht="15" customHeight="1" outlineLevel="1">
      <c r="A62" s="48">
        <v>10</v>
      </c>
      <c r="B62" s="290" t="s">
        <v>245</v>
      </c>
      <c r="C62" s="291"/>
      <c r="D62" s="291"/>
      <c r="E62" s="291"/>
      <c r="F62" s="91">
        <f>0</f>
        <v>0</v>
      </c>
      <c r="G62" s="51">
        <f>0</f>
        <v>0</v>
      </c>
      <c r="H62" s="51">
        <f>0</f>
        <v>0</v>
      </c>
      <c r="I62" s="52">
        <f>0</f>
        <v>0</v>
      </c>
      <c r="J62" s="53">
        <f>0</f>
        <v>0</v>
      </c>
      <c r="K62" s="54">
        <f>3364524.92</f>
        <v>3364524.92</v>
      </c>
      <c r="L62" s="54">
        <f>7367725.72</f>
        <v>7367725.72</v>
      </c>
      <c r="M62" s="54">
        <f>14799780</f>
        <v>14799780</v>
      </c>
      <c r="N62" s="54">
        <f>18799780</f>
        <v>18799780</v>
      </c>
      <c r="O62" s="54">
        <f>16071200</f>
        <v>16071200</v>
      </c>
      <c r="P62" s="54">
        <f>15571200</f>
        <v>15571200</v>
      </c>
      <c r="Q62" s="54">
        <f>18001200</f>
        <v>18001200</v>
      </c>
      <c r="R62" s="54">
        <f>13977200</f>
        <v>13977200</v>
      </c>
      <c r="S62" s="54">
        <f>7397200</f>
        <v>7397200</v>
      </c>
      <c r="T62" s="54">
        <f>671200</f>
        <v>671200</v>
      </c>
      <c r="U62" s="54">
        <f aca="true" t="shared" si="7" ref="U62:W63">81200</f>
        <v>81200</v>
      </c>
      <c r="V62" s="54">
        <f t="shared" si="7"/>
        <v>81200</v>
      </c>
      <c r="W62" s="54">
        <f t="shared" si="7"/>
        <v>81200</v>
      </c>
      <c r="X62" s="54">
        <f>47600</f>
        <v>47600</v>
      </c>
    </row>
    <row r="63" spans="1:24" ht="15" customHeight="1" outlineLevel="2">
      <c r="A63" s="49" t="s">
        <v>184</v>
      </c>
      <c r="B63" s="39"/>
      <c r="C63" s="292" t="s">
        <v>246</v>
      </c>
      <c r="D63" s="292"/>
      <c r="E63" s="292"/>
      <c r="F63" s="92">
        <f>0</f>
        <v>0</v>
      </c>
      <c r="G63" s="55">
        <f>0</f>
        <v>0</v>
      </c>
      <c r="H63" s="55">
        <f>0</f>
        <v>0</v>
      </c>
      <c r="I63" s="56">
        <f>0</f>
        <v>0</v>
      </c>
      <c r="J63" s="57">
        <f>0</f>
        <v>0</v>
      </c>
      <c r="K63" s="58">
        <f>3364524.92</f>
        <v>3364524.92</v>
      </c>
      <c r="L63" s="58">
        <f>7367725.72</f>
        <v>7367725.72</v>
      </c>
      <c r="M63" s="58">
        <f>14799780</f>
        <v>14799780</v>
      </c>
      <c r="N63" s="58">
        <f>18799780</f>
        <v>18799780</v>
      </c>
      <c r="O63" s="58">
        <f>16071200</f>
        <v>16071200</v>
      </c>
      <c r="P63" s="58">
        <f>15571200</f>
        <v>15571200</v>
      </c>
      <c r="Q63" s="58">
        <f>18001200</f>
        <v>18001200</v>
      </c>
      <c r="R63" s="58">
        <f>13977200</f>
        <v>13977200</v>
      </c>
      <c r="S63" s="58">
        <f>7397200</f>
        <v>7397200</v>
      </c>
      <c r="T63" s="58">
        <f>671200</f>
        <v>671200</v>
      </c>
      <c r="U63" s="58">
        <f t="shared" si="7"/>
        <v>81200</v>
      </c>
      <c r="V63" s="58">
        <f t="shared" si="7"/>
        <v>81200</v>
      </c>
      <c r="W63" s="58">
        <f t="shared" si="7"/>
        <v>81200</v>
      </c>
      <c r="X63" s="58">
        <f>47600</f>
        <v>47600</v>
      </c>
    </row>
    <row r="64" spans="1:24" ht="15" customHeight="1" outlineLevel="1">
      <c r="A64" s="48">
        <v>11</v>
      </c>
      <c r="B64" s="290" t="s">
        <v>108</v>
      </c>
      <c r="C64" s="291"/>
      <c r="D64" s="291"/>
      <c r="E64" s="291"/>
      <c r="F64" s="95" t="s">
        <v>29</v>
      </c>
      <c r="G64" s="65" t="s">
        <v>29</v>
      </c>
      <c r="H64" s="65" t="s">
        <v>29</v>
      </c>
      <c r="I64" s="66" t="s">
        <v>29</v>
      </c>
      <c r="J64" s="67" t="s">
        <v>29</v>
      </c>
      <c r="K64" s="68" t="s">
        <v>29</v>
      </c>
      <c r="L64" s="68" t="s">
        <v>29</v>
      </c>
      <c r="M64" s="68" t="s">
        <v>29</v>
      </c>
      <c r="N64" s="68" t="s">
        <v>29</v>
      </c>
      <c r="O64" s="68" t="s">
        <v>29</v>
      </c>
      <c r="P64" s="68" t="s">
        <v>29</v>
      </c>
      <c r="Q64" s="68" t="s">
        <v>29</v>
      </c>
      <c r="R64" s="68" t="s">
        <v>29</v>
      </c>
      <c r="S64" s="68" t="s">
        <v>29</v>
      </c>
      <c r="T64" s="68" t="s">
        <v>29</v>
      </c>
      <c r="U64" s="68" t="s">
        <v>29</v>
      </c>
      <c r="V64" s="68" t="s">
        <v>29</v>
      </c>
      <c r="W64" s="68" t="s">
        <v>29</v>
      </c>
      <c r="X64" s="68" t="s">
        <v>29</v>
      </c>
    </row>
    <row r="65" spans="1:24" ht="15" customHeight="1" outlineLevel="2">
      <c r="A65" s="49" t="s">
        <v>185</v>
      </c>
      <c r="B65" s="39"/>
      <c r="C65" s="292" t="s">
        <v>247</v>
      </c>
      <c r="D65" s="292"/>
      <c r="E65" s="292"/>
      <c r="F65" s="92">
        <f>147511239.58</f>
        <v>147511239.58</v>
      </c>
      <c r="G65" s="55">
        <f>172499788.22</f>
        <v>172499788.22</v>
      </c>
      <c r="H65" s="55">
        <f>179180554.16</f>
        <v>179180554.16</v>
      </c>
      <c r="I65" s="56">
        <f>179189854.16</f>
        <v>179189854.16</v>
      </c>
      <c r="J65" s="57">
        <f>184298660.06</f>
        <v>184298660.06</v>
      </c>
      <c r="K65" s="58">
        <f>182750000</f>
        <v>182750000</v>
      </c>
      <c r="L65" s="58">
        <f>182960000</f>
        <v>182960000</v>
      </c>
      <c r="M65" s="58">
        <f>183150000</f>
        <v>183150000</v>
      </c>
      <c r="N65" s="58">
        <f>183701000</f>
        <v>183701000</v>
      </c>
      <c r="O65" s="58">
        <f>0</f>
        <v>0</v>
      </c>
      <c r="P65" s="58">
        <f>0</f>
        <v>0</v>
      </c>
      <c r="Q65" s="58">
        <f>0</f>
        <v>0</v>
      </c>
      <c r="R65" s="58">
        <f>0</f>
        <v>0</v>
      </c>
      <c r="S65" s="58">
        <f>0</f>
        <v>0</v>
      </c>
      <c r="T65" s="58">
        <f>0</f>
        <v>0</v>
      </c>
      <c r="U65" s="58">
        <f>0</f>
        <v>0</v>
      </c>
      <c r="V65" s="58">
        <f>0</f>
        <v>0</v>
      </c>
      <c r="W65" s="58">
        <f>0</f>
        <v>0</v>
      </c>
      <c r="X65" s="58">
        <f>0</f>
        <v>0</v>
      </c>
    </row>
    <row r="66" spans="1:24" ht="15" customHeight="1" outlineLevel="2">
      <c r="A66" s="49" t="s">
        <v>186</v>
      </c>
      <c r="B66" s="39"/>
      <c r="C66" s="292" t="s">
        <v>248</v>
      </c>
      <c r="D66" s="292"/>
      <c r="E66" s="292"/>
      <c r="F66" s="92">
        <f>0</f>
        <v>0</v>
      </c>
      <c r="G66" s="55">
        <f>0</f>
        <v>0</v>
      </c>
      <c r="H66" s="55">
        <f>0</f>
        <v>0</v>
      </c>
      <c r="I66" s="56">
        <f>0</f>
        <v>0</v>
      </c>
      <c r="J66" s="57">
        <f>29750100</f>
        <v>29750100</v>
      </c>
      <c r="K66" s="58">
        <f>29528300</f>
        <v>29528300</v>
      </c>
      <c r="L66" s="58">
        <f>29706095</f>
        <v>29706095</v>
      </c>
      <c r="M66" s="58">
        <f>29820010</f>
        <v>29820010</v>
      </c>
      <c r="N66" s="58">
        <f>29928120</f>
        <v>29928120</v>
      </c>
      <c r="O66" s="58">
        <f>0</f>
        <v>0</v>
      </c>
      <c r="P66" s="58">
        <f>0</f>
        <v>0</v>
      </c>
      <c r="Q66" s="58">
        <f>0</f>
        <v>0</v>
      </c>
      <c r="R66" s="58">
        <f>0</f>
        <v>0</v>
      </c>
      <c r="S66" s="58">
        <f>0</f>
        <v>0</v>
      </c>
      <c r="T66" s="58">
        <f>0</f>
        <v>0</v>
      </c>
      <c r="U66" s="58">
        <f>0</f>
        <v>0</v>
      </c>
      <c r="V66" s="58">
        <f>0</f>
        <v>0</v>
      </c>
      <c r="W66" s="58">
        <f>0</f>
        <v>0</v>
      </c>
      <c r="X66" s="58">
        <f>0</f>
        <v>0</v>
      </c>
    </row>
    <row r="67" spans="1:24" ht="15" customHeight="1" outlineLevel="2">
      <c r="A67" s="49" t="s">
        <v>187</v>
      </c>
      <c r="B67" s="39"/>
      <c r="C67" s="292" t="s">
        <v>251</v>
      </c>
      <c r="D67" s="292"/>
      <c r="E67" s="292"/>
      <c r="F67" s="92">
        <f>0</f>
        <v>0</v>
      </c>
      <c r="G67" s="55">
        <f>19683480.59</f>
        <v>19683480.59</v>
      </c>
      <c r="H67" s="55">
        <f>43910083.25</f>
        <v>43910083.25</v>
      </c>
      <c r="I67" s="56">
        <f>43910083.25</f>
        <v>43910083.25</v>
      </c>
      <c r="J67" s="57">
        <f>28507159.83</f>
        <v>28507159.83</v>
      </c>
      <c r="K67" s="58">
        <f>58911003.08</f>
        <v>58911003.08</v>
      </c>
      <c r="L67" s="58">
        <f>25688758.58</f>
        <v>25688758.58</v>
      </c>
      <c r="M67" s="58">
        <f>2820863</f>
        <v>2820863</v>
      </c>
      <c r="N67" s="58">
        <f>1409061</f>
        <v>1409061</v>
      </c>
      <c r="O67" s="58">
        <f>0</f>
        <v>0</v>
      </c>
      <c r="P67" s="58">
        <f>0</f>
        <v>0</v>
      </c>
      <c r="Q67" s="58">
        <f>0</f>
        <v>0</v>
      </c>
      <c r="R67" s="58">
        <f>0</f>
        <v>0</v>
      </c>
      <c r="S67" s="58">
        <f>0</f>
        <v>0</v>
      </c>
      <c r="T67" s="58">
        <f>0</f>
        <v>0</v>
      </c>
      <c r="U67" s="58">
        <f>0</f>
        <v>0</v>
      </c>
      <c r="V67" s="58">
        <f>0</f>
        <v>0</v>
      </c>
      <c r="W67" s="58">
        <f>0</f>
        <v>0</v>
      </c>
      <c r="X67" s="58">
        <f>0</f>
        <v>0</v>
      </c>
    </row>
    <row r="68" spans="1:24" ht="15" customHeight="1" outlineLevel="2">
      <c r="A68" s="49" t="s">
        <v>112</v>
      </c>
      <c r="B68" s="39"/>
      <c r="C68" s="40"/>
      <c r="D68" s="292" t="s">
        <v>249</v>
      </c>
      <c r="E68" s="292"/>
      <c r="F68" s="92">
        <f>0</f>
        <v>0</v>
      </c>
      <c r="G68" s="55">
        <f>9948267.62</f>
        <v>9948267.62</v>
      </c>
      <c r="H68" s="55">
        <f>13591790.28</f>
        <v>13591790.28</v>
      </c>
      <c r="I68" s="56">
        <f>13591790.28</f>
        <v>13591790.28</v>
      </c>
      <c r="J68" s="57">
        <f>16866033.18</f>
        <v>16866033.18</v>
      </c>
      <c r="K68" s="58">
        <f>35850011.25</f>
        <v>35850011.25</v>
      </c>
      <c r="L68" s="58">
        <f>14578758.58</f>
        <v>14578758.58</v>
      </c>
      <c r="M68" s="58">
        <f>2685863</f>
        <v>2685863</v>
      </c>
      <c r="N68" s="58">
        <f>1409061</f>
        <v>1409061</v>
      </c>
      <c r="O68" s="58">
        <f>0</f>
        <v>0</v>
      </c>
      <c r="P68" s="58">
        <f>0</f>
        <v>0</v>
      </c>
      <c r="Q68" s="58">
        <f>0</f>
        <v>0</v>
      </c>
      <c r="R68" s="58">
        <f>0</f>
        <v>0</v>
      </c>
      <c r="S68" s="58">
        <f>0</f>
        <v>0</v>
      </c>
      <c r="T68" s="58">
        <f>0</f>
        <v>0</v>
      </c>
      <c r="U68" s="58">
        <f>0</f>
        <v>0</v>
      </c>
      <c r="V68" s="58">
        <f>0</f>
        <v>0</v>
      </c>
      <c r="W68" s="58">
        <f>0</f>
        <v>0</v>
      </c>
      <c r="X68" s="58">
        <f>0</f>
        <v>0</v>
      </c>
    </row>
    <row r="69" spans="1:24" ht="15" customHeight="1" outlineLevel="2">
      <c r="A69" s="49" t="s">
        <v>114</v>
      </c>
      <c r="B69" s="39"/>
      <c r="C69" s="40"/>
      <c r="D69" s="292" t="s">
        <v>250</v>
      </c>
      <c r="E69" s="292"/>
      <c r="F69" s="92">
        <f>0</f>
        <v>0</v>
      </c>
      <c r="G69" s="55">
        <f>9735212.97</f>
        <v>9735212.97</v>
      </c>
      <c r="H69" s="55">
        <f>30318292.97</f>
        <v>30318292.97</v>
      </c>
      <c r="I69" s="56">
        <f>30318292.97</f>
        <v>30318292.97</v>
      </c>
      <c r="J69" s="57">
        <f>11641126.65</f>
        <v>11641126.65</v>
      </c>
      <c r="K69" s="58">
        <f>23060991.83</f>
        <v>23060991.83</v>
      </c>
      <c r="L69" s="58">
        <f>11110000</f>
        <v>11110000</v>
      </c>
      <c r="M69" s="58">
        <f>135000</f>
        <v>135000</v>
      </c>
      <c r="N69" s="58">
        <f>0</f>
        <v>0</v>
      </c>
      <c r="O69" s="58">
        <f>0</f>
        <v>0</v>
      </c>
      <c r="P69" s="58">
        <f>0</f>
        <v>0</v>
      </c>
      <c r="Q69" s="58">
        <f>0</f>
        <v>0</v>
      </c>
      <c r="R69" s="58">
        <f>0</f>
        <v>0</v>
      </c>
      <c r="S69" s="58">
        <f>0</f>
        <v>0</v>
      </c>
      <c r="T69" s="58">
        <f>0</f>
        <v>0</v>
      </c>
      <c r="U69" s="58">
        <f>0</f>
        <v>0</v>
      </c>
      <c r="V69" s="58">
        <f>0</f>
        <v>0</v>
      </c>
      <c r="W69" s="58">
        <f>0</f>
        <v>0</v>
      </c>
      <c r="X69" s="58">
        <f>0</f>
        <v>0</v>
      </c>
    </row>
    <row r="70" spans="1:24" ht="15" customHeight="1" outlineLevel="2">
      <c r="A70" s="49" t="s">
        <v>188</v>
      </c>
      <c r="B70" s="39"/>
      <c r="C70" s="292" t="s">
        <v>252</v>
      </c>
      <c r="D70" s="292"/>
      <c r="E70" s="292"/>
      <c r="F70" s="92">
        <f>0</f>
        <v>0</v>
      </c>
      <c r="G70" s="55">
        <f>0</f>
        <v>0</v>
      </c>
      <c r="H70" s="55">
        <f>0</f>
        <v>0</v>
      </c>
      <c r="I70" s="56">
        <f>0</f>
        <v>0</v>
      </c>
      <c r="J70" s="57">
        <f>22904234.09</f>
        <v>22904234.09</v>
      </c>
      <c r="K70" s="58">
        <f>5560000</f>
        <v>5560000</v>
      </c>
      <c r="L70" s="58">
        <f>110000</f>
        <v>110000</v>
      </c>
      <c r="M70" s="58">
        <f>110000</f>
        <v>110000</v>
      </c>
      <c r="N70" s="58">
        <f>0</f>
        <v>0</v>
      </c>
      <c r="O70" s="58">
        <f>0</f>
        <v>0</v>
      </c>
      <c r="P70" s="58">
        <f>0</f>
        <v>0</v>
      </c>
      <c r="Q70" s="58">
        <f>0</f>
        <v>0</v>
      </c>
      <c r="R70" s="58">
        <f>0</f>
        <v>0</v>
      </c>
      <c r="S70" s="58">
        <f>0</f>
        <v>0</v>
      </c>
      <c r="T70" s="58">
        <f>0</f>
        <v>0</v>
      </c>
      <c r="U70" s="58">
        <f>0</f>
        <v>0</v>
      </c>
      <c r="V70" s="58">
        <f>0</f>
        <v>0</v>
      </c>
      <c r="W70" s="58">
        <f>0</f>
        <v>0</v>
      </c>
      <c r="X70" s="58">
        <f>0</f>
        <v>0</v>
      </c>
    </row>
    <row r="71" spans="1:24" ht="15" customHeight="1" outlineLevel="2">
      <c r="A71" s="49" t="s">
        <v>189</v>
      </c>
      <c r="B71" s="39"/>
      <c r="C71" s="292" t="s">
        <v>253</v>
      </c>
      <c r="D71" s="292"/>
      <c r="E71" s="292"/>
      <c r="F71" s="92">
        <f>0</f>
        <v>0</v>
      </c>
      <c r="G71" s="55">
        <f>0</f>
        <v>0</v>
      </c>
      <c r="H71" s="55">
        <f>0</f>
        <v>0</v>
      </c>
      <c r="I71" s="56">
        <f>0</f>
        <v>0</v>
      </c>
      <c r="J71" s="57">
        <f>21304959.21</f>
        <v>21304959.21</v>
      </c>
      <c r="K71" s="58">
        <f>16000000</f>
        <v>16000000</v>
      </c>
      <c r="L71" s="58">
        <f>30000000</f>
        <v>30000000</v>
      </c>
      <c r="M71" s="58">
        <f>30000000</f>
        <v>30000000</v>
      </c>
      <c r="N71" s="58">
        <f>30000000</f>
        <v>30000000</v>
      </c>
      <c r="O71" s="58">
        <f>0</f>
        <v>0</v>
      </c>
      <c r="P71" s="58">
        <f>0</f>
        <v>0</v>
      </c>
      <c r="Q71" s="58">
        <f>0</f>
        <v>0</v>
      </c>
      <c r="R71" s="58">
        <f>0</f>
        <v>0</v>
      </c>
      <c r="S71" s="58">
        <f>0</f>
        <v>0</v>
      </c>
      <c r="T71" s="58">
        <f>0</f>
        <v>0</v>
      </c>
      <c r="U71" s="58">
        <f>0</f>
        <v>0</v>
      </c>
      <c r="V71" s="58">
        <f>0</f>
        <v>0</v>
      </c>
      <c r="W71" s="58">
        <f>0</f>
        <v>0</v>
      </c>
      <c r="X71" s="58">
        <f>0</f>
        <v>0</v>
      </c>
    </row>
    <row r="72" spans="1:24" ht="15" customHeight="1" outlineLevel="2">
      <c r="A72" s="49" t="s">
        <v>190</v>
      </c>
      <c r="B72" s="39"/>
      <c r="C72" s="292" t="s">
        <v>254</v>
      </c>
      <c r="D72" s="292"/>
      <c r="E72" s="292"/>
      <c r="F72" s="92">
        <f>0</f>
        <v>0</v>
      </c>
      <c r="G72" s="55">
        <f>0</f>
        <v>0</v>
      </c>
      <c r="H72" s="55">
        <f>0</f>
        <v>0</v>
      </c>
      <c r="I72" s="56">
        <f>0</f>
        <v>0</v>
      </c>
      <c r="J72" s="57">
        <f>2438000</f>
        <v>2438000</v>
      </c>
      <c r="K72" s="58">
        <f>800000</f>
        <v>800000</v>
      </c>
      <c r="L72" s="58">
        <f>0</f>
        <v>0</v>
      </c>
      <c r="M72" s="58">
        <f>0</f>
        <v>0</v>
      </c>
      <c r="N72" s="58">
        <f>0</f>
        <v>0</v>
      </c>
      <c r="O72" s="58">
        <f>0</f>
        <v>0</v>
      </c>
      <c r="P72" s="58">
        <f>0</f>
        <v>0</v>
      </c>
      <c r="Q72" s="58">
        <f>0</f>
        <v>0</v>
      </c>
      <c r="R72" s="58">
        <f>0</f>
        <v>0</v>
      </c>
      <c r="S72" s="58">
        <f>0</f>
        <v>0</v>
      </c>
      <c r="T72" s="58">
        <f>0</f>
        <v>0</v>
      </c>
      <c r="U72" s="58">
        <f>0</f>
        <v>0</v>
      </c>
      <c r="V72" s="58">
        <f>0</f>
        <v>0</v>
      </c>
      <c r="W72" s="58">
        <f>0</f>
        <v>0</v>
      </c>
      <c r="X72" s="58">
        <f>0</f>
        <v>0</v>
      </c>
    </row>
    <row r="73" spans="1:24" ht="26.25" customHeight="1" outlineLevel="1">
      <c r="A73" s="48">
        <v>12</v>
      </c>
      <c r="B73" s="290" t="s">
        <v>119</v>
      </c>
      <c r="C73" s="291"/>
      <c r="D73" s="291"/>
      <c r="E73" s="291"/>
      <c r="F73" s="95" t="s">
        <v>29</v>
      </c>
      <c r="G73" s="65" t="s">
        <v>29</v>
      </c>
      <c r="H73" s="65" t="s">
        <v>29</v>
      </c>
      <c r="I73" s="66" t="s">
        <v>29</v>
      </c>
      <c r="J73" s="67" t="s">
        <v>29</v>
      </c>
      <c r="K73" s="68" t="s">
        <v>29</v>
      </c>
      <c r="L73" s="68" t="s">
        <v>29</v>
      </c>
      <c r="M73" s="68" t="s">
        <v>29</v>
      </c>
      <c r="N73" s="68" t="s">
        <v>29</v>
      </c>
      <c r="O73" s="68" t="s">
        <v>29</v>
      </c>
      <c r="P73" s="68" t="s">
        <v>29</v>
      </c>
      <c r="Q73" s="68" t="s">
        <v>29</v>
      </c>
      <c r="R73" s="68" t="s">
        <v>29</v>
      </c>
      <c r="S73" s="68" t="s">
        <v>29</v>
      </c>
      <c r="T73" s="68" t="s">
        <v>29</v>
      </c>
      <c r="U73" s="68" t="s">
        <v>29</v>
      </c>
      <c r="V73" s="68" t="s">
        <v>29</v>
      </c>
      <c r="W73" s="68" t="s">
        <v>29</v>
      </c>
      <c r="X73" s="68" t="s">
        <v>29</v>
      </c>
    </row>
    <row r="74" spans="1:24" ht="25.5" customHeight="1" outlineLevel="2">
      <c r="A74" s="49" t="s">
        <v>191</v>
      </c>
      <c r="B74" s="39"/>
      <c r="C74" s="292" t="s">
        <v>255</v>
      </c>
      <c r="D74" s="292"/>
      <c r="E74" s="292"/>
      <c r="F74" s="92">
        <f>0</f>
        <v>0</v>
      </c>
      <c r="G74" s="55">
        <f>0</f>
        <v>0</v>
      </c>
      <c r="H74" s="55">
        <f>0</f>
        <v>0</v>
      </c>
      <c r="I74" s="56">
        <f>0</f>
        <v>0</v>
      </c>
      <c r="J74" s="57">
        <f>7825848.44</f>
        <v>7825848.44</v>
      </c>
      <c r="K74" s="58">
        <f>2250271.67</f>
        <v>2250271.67</v>
      </c>
      <c r="L74" s="58">
        <f>0</f>
        <v>0</v>
      </c>
      <c r="M74" s="58">
        <f>0</f>
        <v>0</v>
      </c>
      <c r="N74" s="58">
        <f>0</f>
        <v>0</v>
      </c>
      <c r="O74" s="58">
        <f>0</f>
        <v>0</v>
      </c>
      <c r="P74" s="58">
        <f>0</f>
        <v>0</v>
      </c>
      <c r="Q74" s="58">
        <f>0</f>
        <v>0</v>
      </c>
      <c r="R74" s="58">
        <f>0</f>
        <v>0</v>
      </c>
      <c r="S74" s="58">
        <f>0</f>
        <v>0</v>
      </c>
      <c r="T74" s="58">
        <f>0</f>
        <v>0</v>
      </c>
      <c r="U74" s="58">
        <f>0</f>
        <v>0</v>
      </c>
      <c r="V74" s="58">
        <f>0</f>
        <v>0</v>
      </c>
      <c r="W74" s="58">
        <f>0</f>
        <v>0</v>
      </c>
      <c r="X74" s="58">
        <f>0</f>
        <v>0</v>
      </c>
    </row>
    <row r="75" spans="1:24" ht="15" customHeight="1" outlineLevel="2">
      <c r="A75" s="49" t="s">
        <v>121</v>
      </c>
      <c r="B75" s="39"/>
      <c r="C75" s="40"/>
      <c r="D75" s="292" t="s">
        <v>256</v>
      </c>
      <c r="E75" s="292"/>
      <c r="F75" s="92">
        <f>2894569.49</f>
        <v>2894569.49</v>
      </c>
      <c r="G75" s="55">
        <f>4603323.29</f>
        <v>4603323.29</v>
      </c>
      <c r="H75" s="55">
        <f>7127485.12</f>
        <v>7127485.12</v>
      </c>
      <c r="I75" s="56">
        <f>7127485.12</f>
        <v>7127485.12</v>
      </c>
      <c r="J75" s="57">
        <f>7078260.95</f>
        <v>7078260.95</v>
      </c>
      <c r="K75" s="58">
        <f>2250271.67</f>
        <v>2250271.67</v>
      </c>
      <c r="L75" s="58">
        <f>0</f>
        <v>0</v>
      </c>
      <c r="M75" s="58">
        <f>0</f>
        <v>0</v>
      </c>
      <c r="N75" s="58">
        <f>0</f>
        <v>0</v>
      </c>
      <c r="O75" s="58">
        <f>0</f>
        <v>0</v>
      </c>
      <c r="P75" s="58">
        <f>0</f>
        <v>0</v>
      </c>
      <c r="Q75" s="58">
        <f>0</f>
        <v>0</v>
      </c>
      <c r="R75" s="58">
        <f>0</f>
        <v>0</v>
      </c>
      <c r="S75" s="58">
        <f>0</f>
        <v>0</v>
      </c>
      <c r="T75" s="58">
        <f>0</f>
        <v>0</v>
      </c>
      <c r="U75" s="58">
        <f>0</f>
        <v>0</v>
      </c>
      <c r="V75" s="58">
        <f>0</f>
        <v>0</v>
      </c>
      <c r="W75" s="58">
        <f>0</f>
        <v>0</v>
      </c>
      <c r="X75" s="58">
        <f>0</f>
        <v>0</v>
      </c>
    </row>
    <row r="76" spans="1:24" ht="25.5" customHeight="1" outlineLevel="2">
      <c r="A76" s="49" t="s">
        <v>123</v>
      </c>
      <c r="B76" s="39"/>
      <c r="C76" s="40"/>
      <c r="D76" s="40"/>
      <c r="E76" s="78" t="s">
        <v>257</v>
      </c>
      <c r="F76" s="92">
        <f>0</f>
        <v>0</v>
      </c>
      <c r="G76" s="55">
        <f>0</f>
        <v>0</v>
      </c>
      <c r="H76" s="55">
        <f>0</f>
        <v>0</v>
      </c>
      <c r="I76" s="56">
        <f>0</f>
        <v>0</v>
      </c>
      <c r="J76" s="57">
        <f>7078260.95</f>
        <v>7078260.95</v>
      </c>
      <c r="K76" s="58">
        <f>2250271.67</f>
        <v>2250271.67</v>
      </c>
      <c r="L76" s="58">
        <f>0</f>
        <v>0</v>
      </c>
      <c r="M76" s="58">
        <f>0</f>
        <v>0</v>
      </c>
      <c r="N76" s="58">
        <f>0</f>
        <v>0</v>
      </c>
      <c r="O76" s="58">
        <f>0</f>
        <v>0</v>
      </c>
      <c r="P76" s="58">
        <f>0</f>
        <v>0</v>
      </c>
      <c r="Q76" s="58">
        <f>0</f>
        <v>0</v>
      </c>
      <c r="R76" s="58">
        <f>0</f>
        <v>0</v>
      </c>
      <c r="S76" s="58">
        <f>0</f>
        <v>0</v>
      </c>
      <c r="T76" s="58">
        <f>0</f>
        <v>0</v>
      </c>
      <c r="U76" s="58">
        <f>0</f>
        <v>0</v>
      </c>
      <c r="V76" s="58">
        <f>0</f>
        <v>0</v>
      </c>
      <c r="W76" s="58">
        <f>0</f>
        <v>0</v>
      </c>
      <c r="X76" s="58">
        <f>0</f>
        <v>0</v>
      </c>
    </row>
    <row r="77" spans="1:24" ht="25.5" customHeight="1" outlineLevel="2">
      <c r="A77" s="49" t="s">
        <v>192</v>
      </c>
      <c r="B77" s="39"/>
      <c r="C77" s="292" t="s">
        <v>258</v>
      </c>
      <c r="D77" s="292"/>
      <c r="E77" s="292"/>
      <c r="F77" s="92">
        <f>0</f>
        <v>0</v>
      </c>
      <c r="G77" s="55">
        <f>0</f>
        <v>0</v>
      </c>
      <c r="H77" s="55">
        <f>0</f>
        <v>0</v>
      </c>
      <c r="I77" s="56">
        <f>0</f>
        <v>0</v>
      </c>
      <c r="J77" s="57">
        <f>2497896.86</f>
        <v>2497896.86</v>
      </c>
      <c r="K77" s="58">
        <f>800000</f>
        <v>800000</v>
      </c>
      <c r="L77" s="58">
        <f>0</f>
        <v>0</v>
      </c>
      <c r="M77" s="58">
        <f>0</f>
        <v>0</v>
      </c>
      <c r="N77" s="58">
        <f>0</f>
        <v>0</v>
      </c>
      <c r="O77" s="58">
        <f>0</f>
        <v>0</v>
      </c>
      <c r="P77" s="58">
        <f>0</f>
        <v>0</v>
      </c>
      <c r="Q77" s="58">
        <f>0</f>
        <v>0</v>
      </c>
      <c r="R77" s="58">
        <f>0</f>
        <v>0</v>
      </c>
      <c r="S77" s="58">
        <f>0</f>
        <v>0</v>
      </c>
      <c r="T77" s="58">
        <f>0</f>
        <v>0</v>
      </c>
      <c r="U77" s="58">
        <f>0</f>
        <v>0</v>
      </c>
      <c r="V77" s="58">
        <f>0</f>
        <v>0</v>
      </c>
      <c r="W77" s="58">
        <f>0</f>
        <v>0</v>
      </c>
      <c r="X77" s="58">
        <f>0</f>
        <v>0</v>
      </c>
    </row>
    <row r="78" spans="1:24" ht="15" customHeight="1" outlineLevel="2">
      <c r="A78" s="49" t="s">
        <v>126</v>
      </c>
      <c r="B78" s="39"/>
      <c r="C78" s="40"/>
      <c r="D78" s="292" t="s">
        <v>256</v>
      </c>
      <c r="E78" s="292"/>
      <c r="F78" s="92">
        <f>1225741.76</f>
        <v>1225741.76</v>
      </c>
      <c r="G78" s="55">
        <f>11769688.29</f>
        <v>11769688.29</v>
      </c>
      <c r="H78" s="55">
        <f>2053733.92</f>
        <v>2053733.92</v>
      </c>
      <c r="I78" s="56">
        <f>2053733.92</f>
        <v>2053733.92</v>
      </c>
      <c r="J78" s="57">
        <f>2224061</f>
        <v>2224061</v>
      </c>
      <c r="K78" s="58">
        <f>680000</f>
        <v>680000</v>
      </c>
      <c r="L78" s="58">
        <f>0</f>
        <v>0</v>
      </c>
      <c r="M78" s="58">
        <f>0</f>
        <v>0</v>
      </c>
      <c r="N78" s="58">
        <f>0</f>
        <v>0</v>
      </c>
      <c r="O78" s="58">
        <f>0</f>
        <v>0</v>
      </c>
      <c r="P78" s="58">
        <f>0</f>
        <v>0</v>
      </c>
      <c r="Q78" s="58">
        <f>0</f>
        <v>0</v>
      </c>
      <c r="R78" s="58">
        <f>0</f>
        <v>0</v>
      </c>
      <c r="S78" s="58">
        <f>0</f>
        <v>0</v>
      </c>
      <c r="T78" s="58">
        <f>0</f>
        <v>0</v>
      </c>
      <c r="U78" s="58">
        <f>0</f>
        <v>0</v>
      </c>
      <c r="V78" s="58">
        <f>0</f>
        <v>0</v>
      </c>
      <c r="W78" s="58">
        <f>0</f>
        <v>0</v>
      </c>
      <c r="X78" s="58">
        <f>0</f>
        <v>0</v>
      </c>
    </row>
    <row r="79" spans="1:24" ht="25.5" customHeight="1" outlineLevel="2">
      <c r="A79" s="49" t="s">
        <v>128</v>
      </c>
      <c r="B79" s="39"/>
      <c r="C79" s="40"/>
      <c r="D79" s="40"/>
      <c r="E79" s="89" t="s">
        <v>259</v>
      </c>
      <c r="F79" s="92">
        <f>0</f>
        <v>0</v>
      </c>
      <c r="G79" s="55">
        <f>0</f>
        <v>0</v>
      </c>
      <c r="H79" s="55">
        <f>0</f>
        <v>0</v>
      </c>
      <c r="I79" s="56">
        <f>0</f>
        <v>0</v>
      </c>
      <c r="J79" s="57">
        <f>2224061</f>
        <v>2224061</v>
      </c>
      <c r="K79" s="58">
        <f>680000</f>
        <v>680000</v>
      </c>
      <c r="L79" s="58">
        <f>0</f>
        <v>0</v>
      </c>
      <c r="M79" s="58">
        <f>0</f>
        <v>0</v>
      </c>
      <c r="N79" s="58">
        <f>0</f>
        <v>0</v>
      </c>
      <c r="O79" s="58">
        <f>0</f>
        <v>0</v>
      </c>
      <c r="P79" s="58">
        <f>0</f>
        <v>0</v>
      </c>
      <c r="Q79" s="58">
        <f>0</f>
        <v>0</v>
      </c>
      <c r="R79" s="58">
        <f>0</f>
        <v>0</v>
      </c>
      <c r="S79" s="58">
        <f>0</f>
        <v>0</v>
      </c>
      <c r="T79" s="58">
        <f>0</f>
        <v>0</v>
      </c>
      <c r="U79" s="58">
        <f>0</f>
        <v>0</v>
      </c>
      <c r="V79" s="58">
        <f>0</f>
        <v>0</v>
      </c>
      <c r="W79" s="58">
        <f>0</f>
        <v>0</v>
      </c>
      <c r="X79" s="58">
        <f>0</f>
        <v>0</v>
      </c>
    </row>
    <row r="80" spans="1:24" ht="25.5" customHeight="1" outlineLevel="2">
      <c r="A80" s="49" t="s">
        <v>193</v>
      </c>
      <c r="B80" s="39"/>
      <c r="C80" s="292" t="s">
        <v>260</v>
      </c>
      <c r="D80" s="292"/>
      <c r="E80" s="292"/>
      <c r="F80" s="92">
        <f>0</f>
        <v>0</v>
      </c>
      <c r="G80" s="55">
        <f>0</f>
        <v>0</v>
      </c>
      <c r="H80" s="55">
        <f>0</f>
        <v>0</v>
      </c>
      <c r="I80" s="56">
        <f>0</f>
        <v>0</v>
      </c>
      <c r="J80" s="57">
        <f>8575142.79</f>
        <v>8575142.79</v>
      </c>
      <c r="K80" s="58">
        <f>2250271.67</f>
        <v>2250271.67</v>
      </c>
      <c r="L80" s="58">
        <f>0</f>
        <v>0</v>
      </c>
      <c r="M80" s="58">
        <f>0</f>
        <v>0</v>
      </c>
      <c r="N80" s="58">
        <f>0</f>
        <v>0</v>
      </c>
      <c r="O80" s="58">
        <f>0</f>
        <v>0</v>
      </c>
      <c r="P80" s="58">
        <f>0</f>
        <v>0</v>
      </c>
      <c r="Q80" s="58">
        <f>0</f>
        <v>0</v>
      </c>
      <c r="R80" s="58">
        <f>0</f>
        <v>0</v>
      </c>
      <c r="S80" s="58">
        <f>0</f>
        <v>0</v>
      </c>
      <c r="T80" s="58">
        <f>0</f>
        <v>0</v>
      </c>
      <c r="U80" s="58">
        <f>0</f>
        <v>0</v>
      </c>
      <c r="V80" s="58">
        <f>0</f>
        <v>0</v>
      </c>
      <c r="W80" s="58">
        <f>0</f>
        <v>0</v>
      </c>
      <c r="X80" s="58">
        <f>0</f>
        <v>0</v>
      </c>
    </row>
    <row r="81" spans="1:24" ht="15" customHeight="1" outlineLevel="2">
      <c r="A81" s="49" t="s">
        <v>131</v>
      </c>
      <c r="B81" s="39"/>
      <c r="C81" s="40"/>
      <c r="D81" s="292" t="s">
        <v>262</v>
      </c>
      <c r="E81" s="292"/>
      <c r="F81" s="92">
        <f>0</f>
        <v>0</v>
      </c>
      <c r="G81" s="55">
        <f>0</f>
        <v>0</v>
      </c>
      <c r="H81" s="55">
        <f>0</f>
        <v>0</v>
      </c>
      <c r="I81" s="56">
        <f>0</f>
        <v>0</v>
      </c>
      <c r="J81" s="57">
        <f>7641300.25</f>
        <v>7641300.25</v>
      </c>
      <c r="K81" s="58">
        <f>2250271.67</f>
        <v>2250271.67</v>
      </c>
      <c r="L81" s="58">
        <f>0</f>
        <v>0</v>
      </c>
      <c r="M81" s="58">
        <f>0</f>
        <v>0</v>
      </c>
      <c r="N81" s="58">
        <f>0</f>
        <v>0</v>
      </c>
      <c r="O81" s="58">
        <f>0</f>
        <v>0</v>
      </c>
      <c r="P81" s="58">
        <f>0</f>
        <v>0</v>
      </c>
      <c r="Q81" s="58">
        <f>0</f>
        <v>0</v>
      </c>
      <c r="R81" s="58">
        <f>0</f>
        <v>0</v>
      </c>
      <c r="S81" s="58">
        <f>0</f>
        <v>0</v>
      </c>
      <c r="T81" s="58">
        <f>0</f>
        <v>0</v>
      </c>
      <c r="U81" s="58">
        <f>0</f>
        <v>0</v>
      </c>
      <c r="V81" s="58">
        <f>0</f>
        <v>0</v>
      </c>
      <c r="W81" s="58">
        <f>0</f>
        <v>0</v>
      </c>
      <c r="X81" s="58">
        <f>0</f>
        <v>0</v>
      </c>
    </row>
    <row r="82" spans="1:24" ht="25.5" customHeight="1" outlineLevel="2">
      <c r="A82" s="49" t="s">
        <v>133</v>
      </c>
      <c r="B82" s="39"/>
      <c r="C82" s="40"/>
      <c r="D82" s="292" t="s">
        <v>261</v>
      </c>
      <c r="E82" s="292"/>
      <c r="F82" s="92">
        <f>0</f>
        <v>0</v>
      </c>
      <c r="G82" s="55">
        <f>0</f>
        <v>0</v>
      </c>
      <c r="H82" s="55">
        <f>0</f>
        <v>0</v>
      </c>
      <c r="I82" s="56">
        <f>0</f>
        <v>0</v>
      </c>
      <c r="J82" s="57">
        <f>8575142.79</f>
        <v>8575142.79</v>
      </c>
      <c r="K82" s="58">
        <f>2250271.67</f>
        <v>2250271.67</v>
      </c>
      <c r="L82" s="58">
        <f>0</f>
        <v>0</v>
      </c>
      <c r="M82" s="58">
        <f>0</f>
        <v>0</v>
      </c>
      <c r="N82" s="58">
        <f>0</f>
        <v>0</v>
      </c>
      <c r="O82" s="58">
        <f>0</f>
        <v>0</v>
      </c>
      <c r="P82" s="58">
        <f>0</f>
        <v>0</v>
      </c>
      <c r="Q82" s="58">
        <f>0</f>
        <v>0</v>
      </c>
      <c r="R82" s="58">
        <f>0</f>
        <v>0</v>
      </c>
      <c r="S82" s="58">
        <f>0</f>
        <v>0</v>
      </c>
      <c r="T82" s="58">
        <f>0</f>
        <v>0</v>
      </c>
      <c r="U82" s="58">
        <f>0</f>
        <v>0</v>
      </c>
      <c r="V82" s="58">
        <f>0</f>
        <v>0</v>
      </c>
      <c r="W82" s="58">
        <f>0</f>
        <v>0</v>
      </c>
      <c r="X82" s="58">
        <f>0</f>
        <v>0</v>
      </c>
    </row>
    <row r="83" spans="1:24" ht="25.5" customHeight="1" outlineLevel="2">
      <c r="A83" s="49" t="s">
        <v>194</v>
      </c>
      <c r="B83" s="39"/>
      <c r="C83" s="292" t="s">
        <v>263</v>
      </c>
      <c r="D83" s="292"/>
      <c r="E83" s="292"/>
      <c r="F83" s="92">
        <f>0</f>
        <v>0</v>
      </c>
      <c r="G83" s="55">
        <f>0</f>
        <v>0</v>
      </c>
      <c r="H83" s="55">
        <f>0</f>
        <v>0</v>
      </c>
      <c r="I83" s="56">
        <f>0</f>
        <v>0</v>
      </c>
      <c r="J83" s="57">
        <f>2821960</f>
        <v>2821960</v>
      </c>
      <c r="K83" s="58">
        <f>800000</f>
        <v>800000</v>
      </c>
      <c r="L83" s="58">
        <f>0</f>
        <v>0</v>
      </c>
      <c r="M83" s="58">
        <f>0</f>
        <v>0</v>
      </c>
      <c r="N83" s="58">
        <f>0</f>
        <v>0</v>
      </c>
      <c r="O83" s="58">
        <f>0</f>
        <v>0</v>
      </c>
      <c r="P83" s="58">
        <f>0</f>
        <v>0</v>
      </c>
      <c r="Q83" s="58">
        <f>0</f>
        <v>0</v>
      </c>
      <c r="R83" s="58">
        <f>0</f>
        <v>0</v>
      </c>
      <c r="S83" s="58">
        <f>0</f>
        <v>0</v>
      </c>
      <c r="T83" s="58">
        <f>0</f>
        <v>0</v>
      </c>
      <c r="U83" s="58">
        <f>0</f>
        <v>0</v>
      </c>
      <c r="V83" s="58">
        <f>0</f>
        <v>0</v>
      </c>
      <c r="W83" s="58">
        <f>0</f>
        <v>0</v>
      </c>
      <c r="X83" s="58">
        <f>0</f>
        <v>0</v>
      </c>
    </row>
    <row r="84" spans="1:24" ht="15" customHeight="1" outlineLevel="2">
      <c r="A84" s="49" t="s">
        <v>136</v>
      </c>
      <c r="B84" s="39"/>
      <c r="C84" s="40"/>
      <c r="D84" s="292" t="s">
        <v>264</v>
      </c>
      <c r="E84" s="292"/>
      <c r="F84" s="92">
        <f>0</f>
        <v>0</v>
      </c>
      <c r="G84" s="55">
        <f>0</f>
        <v>0</v>
      </c>
      <c r="H84" s="55">
        <f>0</f>
        <v>0</v>
      </c>
      <c r="I84" s="56">
        <f>0</f>
        <v>0</v>
      </c>
      <c r="J84" s="57">
        <f>2411911</f>
        <v>2411911</v>
      </c>
      <c r="K84" s="58">
        <f>680000</f>
        <v>680000</v>
      </c>
      <c r="L84" s="58">
        <f>0</f>
        <v>0</v>
      </c>
      <c r="M84" s="58">
        <f>0</f>
        <v>0</v>
      </c>
      <c r="N84" s="58">
        <f>0</f>
        <v>0</v>
      </c>
      <c r="O84" s="58">
        <f>0</f>
        <v>0</v>
      </c>
      <c r="P84" s="58">
        <f>0</f>
        <v>0</v>
      </c>
      <c r="Q84" s="58">
        <f>0</f>
        <v>0</v>
      </c>
      <c r="R84" s="58">
        <f>0</f>
        <v>0</v>
      </c>
      <c r="S84" s="58">
        <f>0</f>
        <v>0</v>
      </c>
      <c r="T84" s="58">
        <f>0</f>
        <v>0</v>
      </c>
      <c r="U84" s="58">
        <f>0</f>
        <v>0</v>
      </c>
      <c r="V84" s="58">
        <f>0</f>
        <v>0</v>
      </c>
      <c r="W84" s="58">
        <f>0</f>
        <v>0</v>
      </c>
      <c r="X84" s="58">
        <f>0</f>
        <v>0</v>
      </c>
    </row>
    <row r="85" spans="1:24" ht="25.5" customHeight="1" outlineLevel="2">
      <c r="A85" s="49" t="s">
        <v>138</v>
      </c>
      <c r="B85" s="39"/>
      <c r="C85" s="40"/>
      <c r="D85" s="292" t="s">
        <v>265</v>
      </c>
      <c r="E85" s="292"/>
      <c r="F85" s="92">
        <f>0</f>
        <v>0</v>
      </c>
      <c r="G85" s="55">
        <f>0</f>
        <v>0</v>
      </c>
      <c r="H85" s="55">
        <f>0</f>
        <v>0</v>
      </c>
      <c r="I85" s="56">
        <f>0</f>
        <v>0</v>
      </c>
      <c r="J85" s="57">
        <f>2821960</f>
        <v>2821960</v>
      </c>
      <c r="K85" s="58">
        <f>800000</f>
        <v>800000</v>
      </c>
      <c r="L85" s="58">
        <f>0</f>
        <v>0</v>
      </c>
      <c r="M85" s="58">
        <f>0</f>
        <v>0</v>
      </c>
      <c r="N85" s="58">
        <f>0</f>
        <v>0</v>
      </c>
      <c r="O85" s="58">
        <f>0</f>
        <v>0</v>
      </c>
      <c r="P85" s="58">
        <f>0</f>
        <v>0</v>
      </c>
      <c r="Q85" s="58">
        <f>0</f>
        <v>0</v>
      </c>
      <c r="R85" s="58">
        <f>0</f>
        <v>0</v>
      </c>
      <c r="S85" s="58">
        <f>0</f>
        <v>0</v>
      </c>
      <c r="T85" s="58">
        <f>0</f>
        <v>0</v>
      </c>
      <c r="U85" s="58">
        <f>0</f>
        <v>0</v>
      </c>
      <c r="V85" s="58">
        <f>0</f>
        <v>0</v>
      </c>
      <c r="W85" s="58">
        <f>0</f>
        <v>0</v>
      </c>
      <c r="X85" s="58">
        <f>0</f>
        <v>0</v>
      </c>
    </row>
    <row r="86" spans="1:24" ht="25.5" customHeight="1" outlineLevel="1">
      <c r="A86" s="48">
        <v>13</v>
      </c>
      <c r="B86" s="290" t="s">
        <v>140</v>
      </c>
      <c r="C86" s="291"/>
      <c r="D86" s="291"/>
      <c r="E86" s="291"/>
      <c r="F86" s="95" t="s">
        <v>29</v>
      </c>
      <c r="G86" s="65" t="s">
        <v>29</v>
      </c>
      <c r="H86" s="65" t="s">
        <v>29</v>
      </c>
      <c r="I86" s="66" t="s">
        <v>29</v>
      </c>
      <c r="J86" s="67" t="s">
        <v>29</v>
      </c>
      <c r="K86" s="68" t="s">
        <v>29</v>
      </c>
      <c r="L86" s="68" t="s">
        <v>29</v>
      </c>
      <c r="M86" s="68" t="s">
        <v>29</v>
      </c>
      <c r="N86" s="68" t="s">
        <v>29</v>
      </c>
      <c r="O86" s="68" t="s">
        <v>29</v>
      </c>
      <c r="P86" s="68" t="s">
        <v>29</v>
      </c>
      <c r="Q86" s="68" t="s">
        <v>29</v>
      </c>
      <c r="R86" s="68" t="s">
        <v>29</v>
      </c>
      <c r="S86" s="68" t="s">
        <v>29</v>
      </c>
      <c r="T86" s="68" t="s">
        <v>29</v>
      </c>
      <c r="U86" s="68" t="s">
        <v>29</v>
      </c>
      <c r="V86" s="68" t="s">
        <v>29</v>
      </c>
      <c r="W86" s="68" t="s">
        <v>29</v>
      </c>
      <c r="X86" s="68" t="s">
        <v>29</v>
      </c>
    </row>
    <row r="87" spans="1:24" ht="25.5" customHeight="1" outlineLevel="2">
      <c r="A87" s="49" t="s">
        <v>195</v>
      </c>
      <c r="B87" s="39"/>
      <c r="C87" s="292" t="s">
        <v>266</v>
      </c>
      <c r="D87" s="292"/>
      <c r="E87" s="292"/>
      <c r="F87" s="92">
        <f>0</f>
        <v>0</v>
      </c>
      <c r="G87" s="55">
        <f>0</f>
        <v>0</v>
      </c>
      <c r="H87" s="55">
        <f>0</f>
        <v>0</v>
      </c>
      <c r="I87" s="56">
        <f>0</f>
        <v>0</v>
      </c>
      <c r="J87" s="57">
        <f>0</f>
        <v>0</v>
      </c>
      <c r="K87" s="58">
        <f>0</f>
        <v>0</v>
      </c>
      <c r="L87" s="58">
        <f>0</f>
        <v>0</v>
      </c>
      <c r="M87" s="58">
        <f>0</f>
        <v>0</v>
      </c>
      <c r="N87" s="58">
        <f>0</f>
        <v>0</v>
      </c>
      <c r="O87" s="58">
        <f>0</f>
        <v>0</v>
      </c>
      <c r="P87" s="58">
        <f>0</f>
        <v>0</v>
      </c>
      <c r="Q87" s="58">
        <f>0</f>
        <v>0</v>
      </c>
      <c r="R87" s="58">
        <f>0</f>
        <v>0</v>
      </c>
      <c r="S87" s="58">
        <f>0</f>
        <v>0</v>
      </c>
      <c r="T87" s="58">
        <f>0</f>
        <v>0</v>
      </c>
      <c r="U87" s="58">
        <f>0</f>
        <v>0</v>
      </c>
      <c r="V87" s="58">
        <f>0</f>
        <v>0</v>
      </c>
      <c r="W87" s="58">
        <f>0</f>
        <v>0</v>
      </c>
      <c r="X87" s="58">
        <f>0</f>
        <v>0</v>
      </c>
    </row>
    <row r="88" spans="1:24" ht="25.5" customHeight="1" outlineLevel="2">
      <c r="A88" s="49" t="s">
        <v>196</v>
      </c>
      <c r="B88" s="39"/>
      <c r="C88" s="292" t="s">
        <v>267</v>
      </c>
      <c r="D88" s="292"/>
      <c r="E88" s="292"/>
      <c r="F88" s="92">
        <f>0</f>
        <v>0</v>
      </c>
      <c r="G88" s="55">
        <f>0</f>
        <v>0</v>
      </c>
      <c r="H88" s="55">
        <f>0</f>
        <v>0</v>
      </c>
      <c r="I88" s="56">
        <f>0</f>
        <v>0</v>
      </c>
      <c r="J88" s="57">
        <f>0</f>
        <v>0</v>
      </c>
      <c r="K88" s="58">
        <f>0</f>
        <v>0</v>
      </c>
      <c r="L88" s="58">
        <f>0</f>
        <v>0</v>
      </c>
      <c r="M88" s="58">
        <f>0</f>
        <v>0</v>
      </c>
      <c r="N88" s="58">
        <f>0</f>
        <v>0</v>
      </c>
      <c r="O88" s="58">
        <f>0</f>
        <v>0</v>
      </c>
      <c r="P88" s="58">
        <f>0</f>
        <v>0</v>
      </c>
      <c r="Q88" s="58">
        <f>0</f>
        <v>0</v>
      </c>
      <c r="R88" s="58">
        <f>0</f>
        <v>0</v>
      </c>
      <c r="S88" s="58">
        <f>0</f>
        <v>0</v>
      </c>
      <c r="T88" s="58">
        <f>0</f>
        <v>0</v>
      </c>
      <c r="U88" s="58">
        <f>0</f>
        <v>0</v>
      </c>
      <c r="V88" s="58">
        <f>0</f>
        <v>0</v>
      </c>
      <c r="W88" s="58">
        <f>0</f>
        <v>0</v>
      </c>
      <c r="X88" s="58">
        <f>0</f>
        <v>0</v>
      </c>
    </row>
    <row r="89" spans="1:24" ht="25.5" customHeight="1" outlineLevel="2">
      <c r="A89" s="49" t="s">
        <v>197</v>
      </c>
      <c r="B89" s="39"/>
      <c r="C89" s="292" t="s">
        <v>268</v>
      </c>
      <c r="D89" s="292"/>
      <c r="E89" s="292"/>
      <c r="F89" s="92">
        <f>0</f>
        <v>0</v>
      </c>
      <c r="G89" s="55">
        <f>0</f>
        <v>0</v>
      </c>
      <c r="H89" s="55">
        <f>0</f>
        <v>0</v>
      </c>
      <c r="I89" s="56">
        <f>0</f>
        <v>0</v>
      </c>
      <c r="J89" s="57">
        <f>0</f>
        <v>0</v>
      </c>
      <c r="K89" s="58">
        <f>0</f>
        <v>0</v>
      </c>
      <c r="L89" s="58">
        <f>0</f>
        <v>0</v>
      </c>
      <c r="M89" s="58">
        <f>0</f>
        <v>0</v>
      </c>
      <c r="N89" s="58">
        <f>0</f>
        <v>0</v>
      </c>
      <c r="O89" s="58">
        <f>0</f>
        <v>0</v>
      </c>
      <c r="P89" s="58">
        <f>0</f>
        <v>0</v>
      </c>
      <c r="Q89" s="58">
        <f>0</f>
        <v>0</v>
      </c>
      <c r="R89" s="58">
        <f>0</f>
        <v>0</v>
      </c>
      <c r="S89" s="58">
        <f>0</f>
        <v>0</v>
      </c>
      <c r="T89" s="58">
        <f>0</f>
        <v>0</v>
      </c>
      <c r="U89" s="58">
        <f>0</f>
        <v>0</v>
      </c>
      <c r="V89" s="58">
        <f>0</f>
        <v>0</v>
      </c>
      <c r="W89" s="58">
        <f>0</f>
        <v>0</v>
      </c>
      <c r="X89" s="58">
        <f>0</f>
        <v>0</v>
      </c>
    </row>
    <row r="90" spans="1:24" ht="25.5" customHeight="1" outlineLevel="2">
      <c r="A90" s="49" t="s">
        <v>198</v>
      </c>
      <c r="B90" s="39"/>
      <c r="C90" s="292" t="s">
        <v>269</v>
      </c>
      <c r="D90" s="292"/>
      <c r="E90" s="292"/>
      <c r="F90" s="92">
        <f>0</f>
        <v>0</v>
      </c>
      <c r="G90" s="55">
        <f>0</f>
        <v>0</v>
      </c>
      <c r="H90" s="55">
        <f>0</f>
        <v>0</v>
      </c>
      <c r="I90" s="56">
        <f>0</f>
        <v>0</v>
      </c>
      <c r="J90" s="57">
        <f>0</f>
        <v>0</v>
      </c>
      <c r="K90" s="58">
        <f>0</f>
        <v>0</v>
      </c>
      <c r="L90" s="58">
        <f>0</f>
        <v>0</v>
      </c>
      <c r="M90" s="58">
        <f>0</f>
        <v>0</v>
      </c>
      <c r="N90" s="58">
        <f>0</f>
        <v>0</v>
      </c>
      <c r="O90" s="58">
        <f>0</f>
        <v>0</v>
      </c>
      <c r="P90" s="58">
        <f>0</f>
        <v>0</v>
      </c>
      <c r="Q90" s="58">
        <f>0</f>
        <v>0</v>
      </c>
      <c r="R90" s="58">
        <f>0</f>
        <v>0</v>
      </c>
      <c r="S90" s="58">
        <f>0</f>
        <v>0</v>
      </c>
      <c r="T90" s="58">
        <f>0</f>
        <v>0</v>
      </c>
      <c r="U90" s="58">
        <f>0</f>
        <v>0</v>
      </c>
      <c r="V90" s="58">
        <f>0</f>
        <v>0</v>
      </c>
      <c r="W90" s="58">
        <f>0</f>
        <v>0</v>
      </c>
      <c r="X90" s="58">
        <f>0</f>
        <v>0</v>
      </c>
    </row>
    <row r="91" spans="1:24" ht="25.5" customHeight="1" outlineLevel="2">
      <c r="A91" s="49" t="s">
        <v>199</v>
      </c>
      <c r="B91" s="39"/>
      <c r="C91" s="292" t="s">
        <v>270</v>
      </c>
      <c r="D91" s="292"/>
      <c r="E91" s="292"/>
      <c r="F91" s="92">
        <f>0</f>
        <v>0</v>
      </c>
      <c r="G91" s="55">
        <f>0</f>
        <v>0</v>
      </c>
      <c r="H91" s="55">
        <f>0</f>
        <v>0</v>
      </c>
      <c r="I91" s="56">
        <f>0</f>
        <v>0</v>
      </c>
      <c r="J91" s="57">
        <f>0</f>
        <v>0</v>
      </c>
      <c r="K91" s="58">
        <f>0</f>
        <v>0</v>
      </c>
      <c r="L91" s="58">
        <f>0</f>
        <v>0</v>
      </c>
      <c r="M91" s="58">
        <f>0</f>
        <v>0</v>
      </c>
      <c r="N91" s="58">
        <f>0</f>
        <v>0</v>
      </c>
      <c r="O91" s="58">
        <f>0</f>
        <v>0</v>
      </c>
      <c r="P91" s="58">
        <f>0</f>
        <v>0</v>
      </c>
      <c r="Q91" s="58">
        <f>0</f>
        <v>0</v>
      </c>
      <c r="R91" s="58">
        <f>0</f>
        <v>0</v>
      </c>
      <c r="S91" s="58">
        <f>0</f>
        <v>0</v>
      </c>
      <c r="T91" s="58">
        <f>0</f>
        <v>0</v>
      </c>
      <c r="U91" s="58">
        <f>0</f>
        <v>0</v>
      </c>
      <c r="V91" s="58">
        <f>0</f>
        <v>0</v>
      </c>
      <c r="W91" s="58">
        <f>0</f>
        <v>0</v>
      </c>
      <c r="X91" s="58">
        <f>0</f>
        <v>0</v>
      </c>
    </row>
    <row r="92" spans="1:24" ht="25.5" customHeight="1" outlineLevel="2">
      <c r="A92" s="49" t="s">
        <v>200</v>
      </c>
      <c r="B92" s="39"/>
      <c r="C92" s="292" t="s">
        <v>271</v>
      </c>
      <c r="D92" s="292"/>
      <c r="E92" s="292"/>
      <c r="F92" s="92">
        <f>0</f>
        <v>0</v>
      </c>
      <c r="G92" s="55">
        <f>0</f>
        <v>0</v>
      </c>
      <c r="H92" s="55">
        <f>0</f>
        <v>0</v>
      </c>
      <c r="I92" s="56">
        <f>0</f>
        <v>0</v>
      </c>
      <c r="J92" s="57">
        <f>0</f>
        <v>0</v>
      </c>
      <c r="K92" s="58">
        <f>0</f>
        <v>0</v>
      </c>
      <c r="L92" s="58">
        <f>0</f>
        <v>0</v>
      </c>
      <c r="M92" s="58">
        <f>0</f>
        <v>0</v>
      </c>
      <c r="N92" s="58">
        <f>0</f>
        <v>0</v>
      </c>
      <c r="O92" s="58">
        <f>0</f>
        <v>0</v>
      </c>
      <c r="P92" s="58">
        <f>0</f>
        <v>0</v>
      </c>
      <c r="Q92" s="58">
        <f>0</f>
        <v>0</v>
      </c>
      <c r="R92" s="58">
        <f>0</f>
        <v>0</v>
      </c>
      <c r="S92" s="58">
        <f>0</f>
        <v>0</v>
      </c>
      <c r="T92" s="58">
        <f>0</f>
        <v>0</v>
      </c>
      <c r="U92" s="58">
        <f>0</f>
        <v>0</v>
      </c>
      <c r="V92" s="58">
        <f>0</f>
        <v>0</v>
      </c>
      <c r="W92" s="58">
        <f>0</f>
        <v>0</v>
      </c>
      <c r="X92" s="58">
        <f>0</f>
        <v>0</v>
      </c>
    </row>
    <row r="93" spans="1:24" ht="25.5" customHeight="1" outlineLevel="2">
      <c r="A93" s="49" t="s">
        <v>201</v>
      </c>
      <c r="B93" s="39"/>
      <c r="C93" s="292" t="s">
        <v>272</v>
      </c>
      <c r="D93" s="292"/>
      <c r="E93" s="292"/>
      <c r="F93" s="92">
        <f>0</f>
        <v>0</v>
      </c>
      <c r="G93" s="55">
        <f>0</f>
        <v>0</v>
      </c>
      <c r="H93" s="55">
        <f>0</f>
        <v>0</v>
      </c>
      <c r="I93" s="56">
        <f>0</f>
        <v>0</v>
      </c>
      <c r="J93" s="57">
        <f>0</f>
        <v>0</v>
      </c>
      <c r="K93" s="58">
        <f>0</f>
        <v>0</v>
      </c>
      <c r="L93" s="58">
        <f>0</f>
        <v>0</v>
      </c>
      <c r="M93" s="58">
        <f>0</f>
        <v>0</v>
      </c>
      <c r="N93" s="58">
        <f>0</f>
        <v>0</v>
      </c>
      <c r="O93" s="58">
        <f>0</f>
        <v>0</v>
      </c>
      <c r="P93" s="58">
        <f>0</f>
        <v>0</v>
      </c>
      <c r="Q93" s="58">
        <f>0</f>
        <v>0</v>
      </c>
      <c r="R93" s="58">
        <f>0</f>
        <v>0</v>
      </c>
      <c r="S93" s="58">
        <f>0</f>
        <v>0</v>
      </c>
      <c r="T93" s="58">
        <f>0</f>
        <v>0</v>
      </c>
      <c r="U93" s="58">
        <f>0</f>
        <v>0</v>
      </c>
      <c r="V93" s="58">
        <f>0</f>
        <v>0</v>
      </c>
      <c r="W93" s="58">
        <f>0</f>
        <v>0</v>
      </c>
      <c r="X93" s="58">
        <f>0</f>
        <v>0</v>
      </c>
    </row>
    <row r="94" spans="1:24" ht="15" customHeight="1" outlineLevel="1">
      <c r="A94" s="48">
        <v>14</v>
      </c>
      <c r="B94" s="290" t="s">
        <v>148</v>
      </c>
      <c r="C94" s="291"/>
      <c r="D94" s="291"/>
      <c r="E94" s="291"/>
      <c r="F94" s="95" t="s">
        <v>29</v>
      </c>
      <c r="G94" s="65" t="s">
        <v>29</v>
      </c>
      <c r="H94" s="65" t="s">
        <v>29</v>
      </c>
      <c r="I94" s="66" t="s">
        <v>29</v>
      </c>
      <c r="J94" s="67" t="s">
        <v>29</v>
      </c>
      <c r="K94" s="68" t="s">
        <v>29</v>
      </c>
      <c r="L94" s="68" t="s">
        <v>29</v>
      </c>
      <c r="M94" s="68" t="s">
        <v>29</v>
      </c>
      <c r="N94" s="68" t="s">
        <v>29</v>
      </c>
      <c r="O94" s="68" t="s">
        <v>29</v>
      </c>
      <c r="P94" s="68" t="s">
        <v>29</v>
      </c>
      <c r="Q94" s="68" t="s">
        <v>29</v>
      </c>
      <c r="R94" s="68" t="s">
        <v>29</v>
      </c>
      <c r="S94" s="68" t="s">
        <v>29</v>
      </c>
      <c r="T94" s="68" t="s">
        <v>29</v>
      </c>
      <c r="U94" s="68" t="s">
        <v>29</v>
      </c>
      <c r="V94" s="68" t="s">
        <v>29</v>
      </c>
      <c r="W94" s="68" t="s">
        <v>29</v>
      </c>
      <c r="X94" s="68" t="s">
        <v>29</v>
      </c>
    </row>
    <row r="95" spans="1:24" ht="25.5" customHeight="1" outlineLevel="2">
      <c r="A95" s="49" t="s">
        <v>202</v>
      </c>
      <c r="B95" s="39"/>
      <c r="C95" s="292" t="s">
        <v>273</v>
      </c>
      <c r="D95" s="292"/>
      <c r="E95" s="292"/>
      <c r="F95" s="92">
        <f>0</f>
        <v>0</v>
      </c>
      <c r="G95" s="55">
        <f>0</f>
        <v>0</v>
      </c>
      <c r="H95" s="55">
        <f>0</f>
        <v>0</v>
      </c>
      <c r="I95" s="56">
        <f>24179068.76</f>
        <v>24179068.76</v>
      </c>
      <c r="J95" s="57">
        <f>23585724.84</f>
        <v>23585724.84</v>
      </c>
      <c r="K95" s="58">
        <f>13274524.92</f>
        <v>13274524.92</v>
      </c>
      <c r="L95" s="58">
        <f>16646525.72</f>
        <v>16646525.72</v>
      </c>
      <c r="M95" s="58">
        <f>11078580</f>
        <v>11078580</v>
      </c>
      <c r="N95" s="58">
        <f>11078580</f>
        <v>11078580</v>
      </c>
      <c r="O95" s="58">
        <f>8850000</f>
        <v>8850000</v>
      </c>
      <c r="P95" s="58">
        <f>8850000</f>
        <v>8850000</v>
      </c>
      <c r="Q95" s="58">
        <f>11280000</f>
        <v>11280000</v>
      </c>
      <c r="R95" s="58">
        <f>8806000</f>
        <v>8806000</v>
      </c>
      <c r="S95" s="58">
        <f>7176000</f>
        <v>7176000</v>
      </c>
      <c r="T95" s="58">
        <f>0</f>
        <v>0</v>
      </c>
      <c r="U95" s="58">
        <f>0</f>
        <v>0</v>
      </c>
      <c r="V95" s="58">
        <f>0</f>
        <v>0</v>
      </c>
      <c r="W95" s="58">
        <f>0</f>
        <v>0</v>
      </c>
      <c r="X95" s="58">
        <f>0</f>
        <v>0</v>
      </c>
    </row>
    <row r="96" spans="1:24" ht="15" customHeight="1" outlineLevel="2">
      <c r="A96" s="49" t="s">
        <v>203</v>
      </c>
      <c r="B96" s="39"/>
      <c r="C96" s="292" t="s">
        <v>274</v>
      </c>
      <c r="D96" s="292"/>
      <c r="E96" s="292"/>
      <c r="F96" s="92">
        <f>0</f>
        <v>0</v>
      </c>
      <c r="G96" s="55">
        <f>0</f>
        <v>0</v>
      </c>
      <c r="H96" s="55">
        <f>0</f>
        <v>0</v>
      </c>
      <c r="I96" s="56">
        <f>0</f>
        <v>0</v>
      </c>
      <c r="J96" s="57">
        <f>0</f>
        <v>0</v>
      </c>
      <c r="K96" s="58">
        <f>0</f>
        <v>0</v>
      </c>
      <c r="L96" s="58">
        <f>0</f>
        <v>0</v>
      </c>
      <c r="M96" s="58">
        <f>0</f>
        <v>0</v>
      </c>
      <c r="N96" s="58">
        <f>0</f>
        <v>0</v>
      </c>
      <c r="O96" s="58">
        <f>0</f>
        <v>0</v>
      </c>
      <c r="P96" s="58">
        <f>0</f>
        <v>0</v>
      </c>
      <c r="Q96" s="58">
        <f>0</f>
        <v>0</v>
      </c>
      <c r="R96" s="58">
        <f>0</f>
        <v>0</v>
      </c>
      <c r="S96" s="58">
        <f>0</f>
        <v>0</v>
      </c>
      <c r="T96" s="58">
        <f>0</f>
        <v>0</v>
      </c>
      <c r="U96" s="58">
        <f>0</f>
        <v>0</v>
      </c>
      <c r="V96" s="58">
        <f>0</f>
        <v>0</v>
      </c>
      <c r="W96" s="58">
        <f>0</f>
        <v>0</v>
      </c>
      <c r="X96" s="58">
        <f>0</f>
        <v>0</v>
      </c>
    </row>
    <row r="97" spans="1:24" ht="15" customHeight="1" outlineLevel="2">
      <c r="A97" s="49" t="s">
        <v>204</v>
      </c>
      <c r="B97" s="39"/>
      <c r="C97" s="292" t="s">
        <v>276</v>
      </c>
      <c r="D97" s="292"/>
      <c r="E97" s="292"/>
      <c r="F97" s="92">
        <f>0</f>
        <v>0</v>
      </c>
      <c r="G97" s="55">
        <f>0</f>
        <v>0</v>
      </c>
      <c r="H97" s="55">
        <f>0</f>
        <v>0</v>
      </c>
      <c r="I97" s="56">
        <f>0</f>
        <v>0</v>
      </c>
      <c r="J97" s="57">
        <f>0</f>
        <v>0</v>
      </c>
      <c r="K97" s="58">
        <f>0</f>
        <v>0</v>
      </c>
      <c r="L97" s="58">
        <f>0</f>
        <v>0</v>
      </c>
      <c r="M97" s="58">
        <f>0</f>
        <v>0</v>
      </c>
      <c r="N97" s="58">
        <f>0</f>
        <v>0</v>
      </c>
      <c r="O97" s="58">
        <f>0</f>
        <v>0</v>
      </c>
      <c r="P97" s="58">
        <f>0</f>
        <v>0</v>
      </c>
      <c r="Q97" s="58">
        <f>0</f>
        <v>0</v>
      </c>
      <c r="R97" s="58">
        <f>0</f>
        <v>0</v>
      </c>
      <c r="S97" s="58">
        <f>0</f>
        <v>0</v>
      </c>
      <c r="T97" s="58">
        <f>0</f>
        <v>0</v>
      </c>
      <c r="U97" s="58">
        <f>0</f>
        <v>0</v>
      </c>
      <c r="V97" s="58">
        <f>0</f>
        <v>0</v>
      </c>
      <c r="W97" s="58">
        <f>0</f>
        <v>0</v>
      </c>
      <c r="X97" s="58">
        <f>0</f>
        <v>0</v>
      </c>
    </row>
    <row r="98" spans="1:24" ht="15" customHeight="1" outlineLevel="2">
      <c r="A98" s="49" t="s">
        <v>152</v>
      </c>
      <c r="B98" s="39"/>
      <c r="C98" s="40"/>
      <c r="D98" s="292" t="s">
        <v>275</v>
      </c>
      <c r="E98" s="292"/>
      <c r="F98" s="92">
        <f>0</f>
        <v>0</v>
      </c>
      <c r="G98" s="55">
        <f>0</f>
        <v>0</v>
      </c>
      <c r="H98" s="55">
        <f>0</f>
        <v>0</v>
      </c>
      <c r="I98" s="56">
        <f>0</f>
        <v>0</v>
      </c>
      <c r="J98" s="57">
        <f>0</f>
        <v>0</v>
      </c>
      <c r="K98" s="58">
        <f>0</f>
        <v>0</v>
      </c>
      <c r="L98" s="58">
        <f>0</f>
        <v>0</v>
      </c>
      <c r="M98" s="58">
        <f>0</f>
        <v>0</v>
      </c>
      <c r="N98" s="58">
        <f>0</f>
        <v>0</v>
      </c>
      <c r="O98" s="58">
        <f>0</f>
        <v>0</v>
      </c>
      <c r="P98" s="58">
        <f>0</f>
        <v>0</v>
      </c>
      <c r="Q98" s="58">
        <f>0</f>
        <v>0</v>
      </c>
      <c r="R98" s="58">
        <f>0</f>
        <v>0</v>
      </c>
      <c r="S98" s="58">
        <f>0</f>
        <v>0</v>
      </c>
      <c r="T98" s="58">
        <f>0</f>
        <v>0</v>
      </c>
      <c r="U98" s="58">
        <f>0</f>
        <v>0</v>
      </c>
      <c r="V98" s="58">
        <f>0</f>
        <v>0</v>
      </c>
      <c r="W98" s="58">
        <f>0</f>
        <v>0</v>
      </c>
      <c r="X98" s="58">
        <f>0</f>
        <v>0</v>
      </c>
    </row>
    <row r="99" spans="1:24" ht="15" customHeight="1" outlineLevel="2">
      <c r="A99" s="49" t="s">
        <v>154</v>
      </c>
      <c r="B99" s="39"/>
      <c r="C99" s="40"/>
      <c r="D99" s="292" t="s">
        <v>277</v>
      </c>
      <c r="E99" s="292"/>
      <c r="F99" s="92">
        <f>0</f>
        <v>0</v>
      </c>
      <c r="G99" s="55">
        <f>0</f>
        <v>0</v>
      </c>
      <c r="H99" s="55">
        <f>0</f>
        <v>0</v>
      </c>
      <c r="I99" s="56">
        <f>0</f>
        <v>0</v>
      </c>
      <c r="J99" s="57">
        <f>0</f>
        <v>0</v>
      </c>
      <c r="K99" s="58">
        <f>0</f>
        <v>0</v>
      </c>
      <c r="L99" s="58">
        <f>0</f>
        <v>0</v>
      </c>
      <c r="M99" s="58">
        <f>0</f>
        <v>0</v>
      </c>
      <c r="N99" s="58">
        <f>0</f>
        <v>0</v>
      </c>
      <c r="O99" s="58">
        <f>0</f>
        <v>0</v>
      </c>
      <c r="P99" s="58">
        <f>0</f>
        <v>0</v>
      </c>
      <c r="Q99" s="58">
        <f>0</f>
        <v>0</v>
      </c>
      <c r="R99" s="58">
        <f>0</f>
        <v>0</v>
      </c>
      <c r="S99" s="58">
        <f>0</f>
        <v>0</v>
      </c>
      <c r="T99" s="58">
        <f>0</f>
        <v>0</v>
      </c>
      <c r="U99" s="58">
        <f>0</f>
        <v>0</v>
      </c>
      <c r="V99" s="58">
        <f>0</f>
        <v>0</v>
      </c>
      <c r="W99" s="58">
        <f>0</f>
        <v>0</v>
      </c>
      <c r="X99" s="58">
        <f>0</f>
        <v>0</v>
      </c>
    </row>
    <row r="100" spans="1:24" ht="15" customHeight="1" outlineLevel="2">
      <c r="A100" s="49" t="s">
        <v>156</v>
      </c>
      <c r="B100" s="39"/>
      <c r="C100" s="40"/>
      <c r="D100" s="292" t="s">
        <v>278</v>
      </c>
      <c r="E100" s="292"/>
      <c r="F100" s="92">
        <f>0</f>
        <v>0</v>
      </c>
      <c r="G100" s="55">
        <f>0</f>
        <v>0</v>
      </c>
      <c r="H100" s="55">
        <f>0</f>
        <v>0</v>
      </c>
      <c r="I100" s="56">
        <f>0</f>
        <v>0</v>
      </c>
      <c r="J100" s="57">
        <f>0</f>
        <v>0</v>
      </c>
      <c r="K100" s="58">
        <f>0</f>
        <v>0</v>
      </c>
      <c r="L100" s="58">
        <f>0</f>
        <v>0</v>
      </c>
      <c r="M100" s="58">
        <f>0</f>
        <v>0</v>
      </c>
      <c r="N100" s="58">
        <f>0</f>
        <v>0</v>
      </c>
      <c r="O100" s="58">
        <f>0</f>
        <v>0</v>
      </c>
      <c r="P100" s="58">
        <f>0</f>
        <v>0</v>
      </c>
      <c r="Q100" s="58">
        <f>0</f>
        <v>0</v>
      </c>
      <c r="R100" s="58">
        <f>0</f>
        <v>0</v>
      </c>
      <c r="S100" s="58">
        <f>0</f>
        <v>0</v>
      </c>
      <c r="T100" s="58">
        <f>0</f>
        <v>0</v>
      </c>
      <c r="U100" s="58">
        <f>0</f>
        <v>0</v>
      </c>
      <c r="V100" s="58">
        <f>0</f>
        <v>0</v>
      </c>
      <c r="W100" s="58">
        <f>0</f>
        <v>0</v>
      </c>
      <c r="X100" s="58">
        <f>0</f>
        <v>0</v>
      </c>
    </row>
    <row r="101" spans="1:24" ht="15" customHeight="1" outlineLevel="2">
      <c r="A101" s="50" t="s">
        <v>205</v>
      </c>
      <c r="B101" s="41"/>
      <c r="C101" s="294" t="s">
        <v>279</v>
      </c>
      <c r="D101" s="294"/>
      <c r="E101" s="294"/>
      <c r="F101" s="96">
        <f>0</f>
        <v>0</v>
      </c>
      <c r="G101" s="69">
        <f>0</f>
        <v>0</v>
      </c>
      <c r="H101" s="69">
        <f>0</f>
        <v>0</v>
      </c>
      <c r="I101" s="70">
        <f>0</f>
        <v>0</v>
      </c>
      <c r="J101" s="71">
        <f>0</f>
        <v>0</v>
      </c>
      <c r="K101" s="72">
        <f>0</f>
        <v>0</v>
      </c>
      <c r="L101" s="72">
        <f>0</f>
        <v>0</v>
      </c>
      <c r="M101" s="72">
        <f>0</f>
        <v>0</v>
      </c>
      <c r="N101" s="72">
        <f>0</f>
        <v>0</v>
      </c>
      <c r="O101" s="72">
        <f>0</f>
        <v>0</v>
      </c>
      <c r="P101" s="72">
        <f>0</f>
        <v>0</v>
      </c>
      <c r="Q101" s="72">
        <f>0</f>
        <v>0</v>
      </c>
      <c r="R101" s="72">
        <f>0</f>
        <v>0</v>
      </c>
      <c r="S101" s="72">
        <f>0</f>
        <v>0</v>
      </c>
      <c r="T101" s="72">
        <f>0</f>
        <v>0</v>
      </c>
      <c r="U101" s="72">
        <f>0</f>
        <v>0</v>
      </c>
      <c r="V101" s="72">
        <f>0</f>
        <v>0</v>
      </c>
      <c r="W101" s="72">
        <f>0</f>
        <v>0</v>
      </c>
      <c r="X101" s="72">
        <f>0</f>
        <v>0</v>
      </c>
    </row>
    <row r="102" spans="1:24" ht="14.2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</row>
    <row r="103" spans="1:24" ht="15">
      <c r="A103" s="141" t="s">
        <v>283</v>
      </c>
      <c r="B103" s="136"/>
      <c r="C103" s="136"/>
      <c r="D103" s="136"/>
      <c r="E103" s="135"/>
      <c r="F103" s="142"/>
      <c r="G103" s="142"/>
      <c r="H103" s="142"/>
      <c r="I103" s="142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</row>
    <row r="104" spans="1:24" ht="15">
      <c r="A104" s="143" t="s">
        <v>413</v>
      </c>
      <c r="B104" s="136"/>
      <c r="C104" s="136"/>
      <c r="D104" s="136"/>
      <c r="E104" s="135"/>
      <c r="F104" s="144"/>
      <c r="G104" s="144"/>
      <c r="H104" s="144"/>
      <c r="I104" s="144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 ht="14.25">
      <c r="A105" s="145"/>
      <c r="B105" s="136"/>
      <c r="C105" s="136"/>
      <c r="D105" s="136"/>
      <c r="E105" s="135"/>
      <c r="F105" s="144"/>
      <c r="G105" s="144"/>
      <c r="H105" s="144"/>
      <c r="I105" s="144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ht="14.25">
      <c r="A106" s="145"/>
      <c r="B106" s="136"/>
      <c r="C106" s="136"/>
      <c r="D106" s="136"/>
      <c r="E106" s="135"/>
      <c r="F106" s="144"/>
      <c r="G106" s="144"/>
      <c r="H106" s="144"/>
      <c r="I106" s="144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ht="15">
      <c r="A107" s="146" t="s">
        <v>391</v>
      </c>
      <c r="B107" s="146"/>
      <c r="C107" s="146"/>
      <c r="D107" s="146"/>
      <c r="E107" s="146"/>
      <c r="F107" s="147"/>
      <c r="G107" s="147"/>
      <c r="H107" s="147"/>
      <c r="I107" s="144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ht="14.25" outlineLevel="1">
      <c r="A108" s="148"/>
      <c r="B108" s="148"/>
      <c r="C108" s="148"/>
      <c r="D108" s="148"/>
      <c r="E108" s="149" t="s">
        <v>392</v>
      </c>
      <c r="F108" s="144"/>
      <c r="G108" s="144"/>
      <c r="H108" s="144"/>
      <c r="I108" s="144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ht="14.25" outlineLevel="1">
      <c r="A109" s="148"/>
      <c r="B109" s="148"/>
      <c r="C109" s="148"/>
      <c r="D109" s="148"/>
      <c r="E109" s="150" t="s">
        <v>393</v>
      </c>
      <c r="F109" s="144"/>
      <c r="G109" s="144"/>
      <c r="H109" s="144"/>
      <c r="I109" s="144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</row>
    <row r="110" spans="1:24" ht="14.25" outlineLevel="1">
      <c r="A110" s="148"/>
      <c r="B110" s="148"/>
      <c r="C110" s="148"/>
      <c r="D110" s="148"/>
      <c r="E110" s="151" t="s">
        <v>345</v>
      </c>
      <c r="F110" s="144"/>
      <c r="G110" s="144"/>
      <c r="H110" s="144"/>
      <c r="I110" s="144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 ht="14.25" outlineLevel="1">
      <c r="A111" s="269"/>
      <c r="B111" s="269"/>
      <c r="C111" s="269"/>
      <c r="D111" s="269"/>
      <c r="E111" s="270" t="s">
        <v>433</v>
      </c>
      <c r="F111" s="144"/>
      <c r="G111" s="144"/>
      <c r="H111" s="144"/>
      <c r="I111" s="144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</row>
    <row r="112" spans="1:24" ht="14.25" outlineLevel="2">
      <c r="A112" s="285" t="s">
        <v>291</v>
      </c>
      <c r="B112" s="286"/>
      <c r="C112" s="286"/>
      <c r="D112" s="287"/>
      <c r="E112" s="84" t="s">
        <v>339</v>
      </c>
      <c r="F112" s="97"/>
      <c r="G112" s="98"/>
      <c r="H112" s="98"/>
      <c r="I112" s="106"/>
      <c r="J112" s="103" t="str">
        <f aca="true" t="shared" si="8" ref="J112:X112">IF(J8+J28+J30&gt;=J19-J22,"TAK","NIE")</f>
        <v>TAK</v>
      </c>
      <c r="K112" s="82" t="str">
        <f t="shared" si="8"/>
        <v>TAK</v>
      </c>
      <c r="L112" s="82" t="str">
        <f t="shared" si="8"/>
        <v>TAK</v>
      </c>
      <c r="M112" s="82" t="str">
        <f t="shared" si="8"/>
        <v>TAK</v>
      </c>
      <c r="N112" s="82" t="str">
        <f t="shared" si="8"/>
        <v>TAK</v>
      </c>
      <c r="O112" s="82" t="str">
        <f t="shared" si="8"/>
        <v>TAK</v>
      </c>
      <c r="P112" s="82" t="str">
        <f t="shared" si="8"/>
        <v>TAK</v>
      </c>
      <c r="Q112" s="82" t="str">
        <f t="shared" si="8"/>
        <v>TAK</v>
      </c>
      <c r="R112" s="82" t="str">
        <f t="shared" si="8"/>
        <v>TAK</v>
      </c>
      <c r="S112" s="82" t="str">
        <f t="shared" si="8"/>
        <v>TAK</v>
      </c>
      <c r="T112" s="82" t="str">
        <f t="shared" si="8"/>
        <v>TAK</v>
      </c>
      <c r="U112" s="82" t="str">
        <f t="shared" si="8"/>
        <v>TAK</v>
      </c>
      <c r="V112" s="82" t="str">
        <f t="shared" si="8"/>
        <v>TAK</v>
      </c>
      <c r="W112" s="82" t="str">
        <f t="shared" si="8"/>
        <v>TAK</v>
      </c>
      <c r="X112" s="82" t="str">
        <f t="shared" si="8"/>
        <v>TAK</v>
      </c>
    </row>
    <row r="113" spans="1:24" ht="14.25" outlineLevel="2">
      <c r="A113" s="279"/>
      <c r="B113" s="280"/>
      <c r="C113" s="280"/>
      <c r="D113" s="281"/>
      <c r="E113" s="85" t="s">
        <v>284</v>
      </c>
      <c r="F113" s="99"/>
      <c r="G113" s="100"/>
      <c r="H113" s="100"/>
      <c r="I113" s="107"/>
      <c r="J113" s="104" t="str">
        <f>IF(J51&lt;=15%,"TAK","NIE")</f>
        <v>TAK</v>
      </c>
      <c r="K113" s="81" t="s">
        <v>29</v>
      </c>
      <c r="L113" s="81" t="s">
        <v>29</v>
      </c>
      <c r="M113" s="81" t="s">
        <v>29</v>
      </c>
      <c r="N113" s="81" t="s">
        <v>29</v>
      </c>
      <c r="O113" s="81" t="s">
        <v>29</v>
      </c>
      <c r="P113" s="81" t="s">
        <v>29</v>
      </c>
      <c r="Q113" s="81" t="s">
        <v>29</v>
      </c>
      <c r="R113" s="81" t="s">
        <v>29</v>
      </c>
      <c r="S113" s="81" t="s">
        <v>29</v>
      </c>
      <c r="T113" s="81" t="s">
        <v>29</v>
      </c>
      <c r="U113" s="81" t="s">
        <v>29</v>
      </c>
      <c r="V113" s="81" t="s">
        <v>29</v>
      </c>
      <c r="W113" s="81" t="s">
        <v>29</v>
      </c>
      <c r="X113" s="81" t="s">
        <v>29</v>
      </c>
    </row>
    <row r="114" spans="1:24" ht="14.25" outlineLevel="2">
      <c r="A114" s="279"/>
      <c r="B114" s="280"/>
      <c r="C114" s="280"/>
      <c r="D114" s="281"/>
      <c r="E114" s="85" t="s">
        <v>285</v>
      </c>
      <c r="F114" s="99"/>
      <c r="G114" s="100"/>
      <c r="H114" s="100"/>
      <c r="I114" s="107"/>
      <c r="J114" s="104" t="str">
        <f>IF(J52&lt;=15%,"TAK","NIE")</f>
        <v>TAK</v>
      </c>
      <c r="K114" s="81" t="s">
        <v>29</v>
      </c>
      <c r="L114" s="81" t="s">
        <v>29</v>
      </c>
      <c r="M114" s="81" t="s">
        <v>29</v>
      </c>
      <c r="N114" s="81" t="s">
        <v>29</v>
      </c>
      <c r="O114" s="81" t="s">
        <v>29</v>
      </c>
      <c r="P114" s="81" t="s">
        <v>29</v>
      </c>
      <c r="Q114" s="81" t="s">
        <v>29</v>
      </c>
      <c r="R114" s="81" t="s">
        <v>29</v>
      </c>
      <c r="S114" s="81" t="s">
        <v>29</v>
      </c>
      <c r="T114" s="81" t="s">
        <v>29</v>
      </c>
      <c r="U114" s="81" t="s">
        <v>29</v>
      </c>
      <c r="V114" s="81" t="s">
        <v>29</v>
      </c>
      <c r="W114" s="81" t="s">
        <v>29</v>
      </c>
      <c r="X114" s="81" t="s">
        <v>29</v>
      </c>
    </row>
    <row r="115" spans="1:24" ht="14.25" outlineLevel="2">
      <c r="A115" s="279"/>
      <c r="B115" s="280"/>
      <c r="C115" s="280"/>
      <c r="D115" s="281"/>
      <c r="E115" s="85" t="s">
        <v>394</v>
      </c>
      <c r="F115" s="99"/>
      <c r="G115" s="100"/>
      <c r="H115" s="100"/>
      <c r="I115" s="107"/>
      <c r="J115" s="104" t="str">
        <f>IF(J44&lt;=60%,"TAK","NIE")</f>
        <v>TAK</v>
      </c>
      <c r="K115" s="81" t="s">
        <v>29</v>
      </c>
      <c r="L115" s="81" t="s">
        <v>29</v>
      </c>
      <c r="M115" s="81" t="s">
        <v>29</v>
      </c>
      <c r="N115" s="81" t="s">
        <v>29</v>
      </c>
      <c r="O115" s="81" t="s">
        <v>29</v>
      </c>
      <c r="P115" s="81" t="s">
        <v>29</v>
      </c>
      <c r="Q115" s="81" t="s">
        <v>29</v>
      </c>
      <c r="R115" s="81" t="s">
        <v>29</v>
      </c>
      <c r="S115" s="81" t="s">
        <v>29</v>
      </c>
      <c r="T115" s="81" t="s">
        <v>29</v>
      </c>
      <c r="U115" s="81" t="s">
        <v>29</v>
      </c>
      <c r="V115" s="81" t="s">
        <v>29</v>
      </c>
      <c r="W115" s="81" t="s">
        <v>29</v>
      </c>
      <c r="X115" s="81" t="s">
        <v>29</v>
      </c>
    </row>
    <row r="116" spans="1:24" ht="14.25" outlineLevel="2">
      <c r="A116" s="279"/>
      <c r="B116" s="280"/>
      <c r="C116" s="280"/>
      <c r="D116" s="281"/>
      <c r="E116" s="85" t="s">
        <v>286</v>
      </c>
      <c r="F116" s="99"/>
      <c r="G116" s="100"/>
      <c r="H116" s="100"/>
      <c r="I116" s="107"/>
      <c r="J116" s="104" t="str">
        <f>IF(J45&lt;=60%,"TAK","NIE")</f>
        <v>TAK</v>
      </c>
      <c r="K116" s="81" t="s">
        <v>29</v>
      </c>
      <c r="L116" s="81" t="s">
        <v>29</v>
      </c>
      <c r="M116" s="81" t="s">
        <v>29</v>
      </c>
      <c r="N116" s="81" t="s">
        <v>29</v>
      </c>
      <c r="O116" s="81" t="s">
        <v>29</v>
      </c>
      <c r="P116" s="81" t="s">
        <v>29</v>
      </c>
      <c r="Q116" s="81" t="s">
        <v>29</v>
      </c>
      <c r="R116" s="81" t="s">
        <v>29</v>
      </c>
      <c r="S116" s="81" t="s">
        <v>29</v>
      </c>
      <c r="T116" s="81" t="s">
        <v>29</v>
      </c>
      <c r="U116" s="81" t="s">
        <v>29</v>
      </c>
      <c r="V116" s="81" t="s">
        <v>29</v>
      </c>
      <c r="W116" s="81" t="s">
        <v>29</v>
      </c>
      <c r="X116" s="81" t="s">
        <v>29</v>
      </c>
    </row>
    <row r="117" spans="1:24" ht="24" outlineLevel="2">
      <c r="A117" s="279" t="s">
        <v>287</v>
      </c>
      <c r="B117" s="280"/>
      <c r="C117" s="280"/>
      <c r="D117" s="281"/>
      <c r="E117" s="85" t="s">
        <v>412</v>
      </c>
      <c r="F117" s="99"/>
      <c r="G117" s="100"/>
      <c r="H117" s="100"/>
      <c r="I117" s="107"/>
      <c r="J117" s="104" t="s">
        <v>29</v>
      </c>
      <c r="K117" s="81" t="s">
        <v>29</v>
      </c>
      <c r="L117" s="81" t="str">
        <f aca="true" t="shared" si="9" ref="L117:X117">IF(L89=0,"TAK","BŁĄD")</f>
        <v>TAK</v>
      </c>
      <c r="M117" s="81" t="str">
        <f t="shared" si="9"/>
        <v>TAK</v>
      </c>
      <c r="N117" s="81" t="str">
        <f t="shared" si="9"/>
        <v>TAK</v>
      </c>
      <c r="O117" s="81" t="str">
        <f t="shared" si="9"/>
        <v>TAK</v>
      </c>
      <c r="P117" s="81" t="str">
        <f t="shared" si="9"/>
        <v>TAK</v>
      </c>
      <c r="Q117" s="81" t="str">
        <f t="shared" si="9"/>
        <v>TAK</v>
      </c>
      <c r="R117" s="81" t="str">
        <f t="shared" si="9"/>
        <v>TAK</v>
      </c>
      <c r="S117" s="81" t="str">
        <f t="shared" si="9"/>
        <v>TAK</v>
      </c>
      <c r="T117" s="81" t="str">
        <f t="shared" si="9"/>
        <v>TAK</v>
      </c>
      <c r="U117" s="81" t="str">
        <f t="shared" si="9"/>
        <v>TAK</v>
      </c>
      <c r="V117" s="81" t="str">
        <f t="shared" si="9"/>
        <v>TAK</v>
      </c>
      <c r="W117" s="81" t="str">
        <f t="shared" si="9"/>
        <v>TAK</v>
      </c>
      <c r="X117" s="81" t="str">
        <f t="shared" si="9"/>
        <v>TAK</v>
      </c>
    </row>
    <row r="118" spans="1:24" ht="14.25" outlineLevel="1">
      <c r="A118" s="279" t="s">
        <v>288</v>
      </c>
      <c r="B118" s="280"/>
      <c r="C118" s="280"/>
      <c r="D118" s="281"/>
      <c r="E118" s="86" t="s">
        <v>340</v>
      </c>
      <c r="F118" s="99"/>
      <c r="G118" s="100"/>
      <c r="H118" s="100"/>
      <c r="I118" s="107"/>
      <c r="J118" s="273">
        <f aca="true" t="shared" si="10" ref="J118:X118">IF(J7+J27-J18-J36=0,"OK",J7+J27-J18-J36)</f>
        <v>-2.60770320892334E-08</v>
      </c>
      <c r="K118" s="274">
        <f t="shared" si="10"/>
        <v>1.6763806343078613E-08</v>
      </c>
      <c r="L118" s="274">
        <f t="shared" si="10"/>
        <v>2.9802322387695312E-08</v>
      </c>
      <c r="M118" s="274" t="str">
        <f t="shared" si="10"/>
        <v>OK</v>
      </c>
      <c r="N118" s="274" t="str">
        <f t="shared" si="10"/>
        <v>OK</v>
      </c>
      <c r="O118" s="274" t="str">
        <f t="shared" si="10"/>
        <v>OK</v>
      </c>
      <c r="P118" s="274" t="str">
        <f t="shared" si="10"/>
        <v>OK</v>
      </c>
      <c r="Q118" s="274" t="str">
        <f t="shared" si="10"/>
        <v>OK</v>
      </c>
      <c r="R118" s="274" t="str">
        <f t="shared" si="10"/>
        <v>OK</v>
      </c>
      <c r="S118" s="274" t="str">
        <f t="shared" si="10"/>
        <v>OK</v>
      </c>
      <c r="T118" s="274" t="str">
        <f t="shared" si="10"/>
        <v>OK</v>
      </c>
      <c r="U118" s="274" t="str">
        <f t="shared" si="10"/>
        <v>OK</v>
      </c>
      <c r="V118" s="274" t="str">
        <f t="shared" si="10"/>
        <v>OK</v>
      </c>
      <c r="W118" s="274" t="str">
        <f t="shared" si="10"/>
        <v>OK</v>
      </c>
      <c r="X118" s="274" t="str">
        <f t="shared" si="10"/>
        <v>OK</v>
      </c>
    </row>
    <row r="119" spans="1:24" ht="14.25" outlineLevel="2">
      <c r="A119" s="279" t="s">
        <v>290</v>
      </c>
      <c r="B119" s="280"/>
      <c r="C119" s="280"/>
      <c r="D119" s="281"/>
      <c r="E119" s="86" t="s">
        <v>342</v>
      </c>
      <c r="F119" s="99"/>
      <c r="G119" s="100"/>
      <c r="H119" s="100"/>
      <c r="I119" s="107"/>
      <c r="J119" s="273">
        <f aca="true" t="shared" si="11" ref="J119:X119">+IF(I41+J32-J37+(J46-I46)+(J96-I96)+J101-J41=0,"OK",I41+J32-J37+(J46-I46)+(J96-I96)+J101-J41)</f>
        <v>1.4901161193847656E-08</v>
      </c>
      <c r="K119" s="274" t="str">
        <f t="shared" si="11"/>
        <v>OK</v>
      </c>
      <c r="L119" s="274" t="str">
        <f t="shared" si="11"/>
        <v>OK</v>
      </c>
      <c r="M119" s="274" t="str">
        <f t="shared" si="11"/>
        <v>OK</v>
      </c>
      <c r="N119" s="274" t="str">
        <f t="shared" si="11"/>
        <v>OK</v>
      </c>
      <c r="O119" s="274" t="str">
        <f t="shared" si="11"/>
        <v>OK</v>
      </c>
      <c r="P119" s="274" t="str">
        <f t="shared" si="11"/>
        <v>OK</v>
      </c>
      <c r="Q119" s="274" t="str">
        <f t="shared" si="11"/>
        <v>OK</v>
      </c>
      <c r="R119" s="274" t="str">
        <f t="shared" si="11"/>
        <v>OK</v>
      </c>
      <c r="S119" s="274" t="str">
        <f t="shared" si="11"/>
        <v>OK</v>
      </c>
      <c r="T119" s="274" t="str">
        <f t="shared" si="11"/>
        <v>OK</v>
      </c>
      <c r="U119" s="274" t="str">
        <f t="shared" si="11"/>
        <v>OK</v>
      </c>
      <c r="V119" s="274" t="str">
        <f t="shared" si="11"/>
        <v>OK</v>
      </c>
      <c r="W119" s="274" t="str">
        <f t="shared" si="11"/>
        <v>OK</v>
      </c>
      <c r="X119" s="274" t="str">
        <f t="shared" si="11"/>
        <v>OK</v>
      </c>
    </row>
    <row r="120" spans="1:24" ht="24" outlineLevel="2">
      <c r="A120" s="279" t="s">
        <v>435</v>
      </c>
      <c r="B120" s="280"/>
      <c r="C120" s="280"/>
      <c r="D120" s="281"/>
      <c r="E120" s="86" t="s">
        <v>414</v>
      </c>
      <c r="F120" s="134"/>
      <c r="G120" s="100"/>
      <c r="H120" s="100"/>
      <c r="I120" s="107"/>
      <c r="J120" s="273" t="str">
        <f>+IF(I96-J97-J96=0,"OK",I96-J97-J96)</f>
        <v>OK</v>
      </c>
      <c r="K120" s="274" t="str">
        <f aca="true" t="shared" si="12" ref="K120:X120">+IF(J96-K97-K96=0,"OK",J96-K97-K96)</f>
        <v>OK</v>
      </c>
      <c r="L120" s="274" t="str">
        <f t="shared" si="12"/>
        <v>OK</v>
      </c>
      <c r="M120" s="274" t="str">
        <f t="shared" si="12"/>
        <v>OK</v>
      </c>
      <c r="N120" s="274" t="str">
        <f t="shared" si="12"/>
        <v>OK</v>
      </c>
      <c r="O120" s="274" t="str">
        <f t="shared" si="12"/>
        <v>OK</v>
      </c>
      <c r="P120" s="274" t="str">
        <f t="shared" si="12"/>
        <v>OK</v>
      </c>
      <c r="Q120" s="274" t="str">
        <f t="shared" si="12"/>
        <v>OK</v>
      </c>
      <c r="R120" s="274" t="str">
        <f t="shared" si="12"/>
        <v>OK</v>
      </c>
      <c r="S120" s="274" t="str">
        <f t="shared" si="12"/>
        <v>OK</v>
      </c>
      <c r="T120" s="274" t="str">
        <f t="shared" si="12"/>
        <v>OK</v>
      </c>
      <c r="U120" s="274" t="str">
        <f t="shared" si="12"/>
        <v>OK</v>
      </c>
      <c r="V120" s="274" t="str">
        <f t="shared" si="12"/>
        <v>OK</v>
      </c>
      <c r="W120" s="274" t="str">
        <f t="shared" si="12"/>
        <v>OK</v>
      </c>
      <c r="X120" s="274" t="str">
        <f t="shared" si="12"/>
        <v>OK</v>
      </c>
    </row>
    <row r="121" spans="1:24" ht="24" outlineLevel="2">
      <c r="A121" s="279" t="s">
        <v>289</v>
      </c>
      <c r="B121" s="280"/>
      <c r="C121" s="280"/>
      <c r="D121" s="281"/>
      <c r="E121" s="86" t="s">
        <v>341</v>
      </c>
      <c r="F121" s="99"/>
      <c r="G121" s="100"/>
      <c r="H121" s="100"/>
      <c r="I121" s="107"/>
      <c r="J121" s="273" t="str">
        <f aca="true" t="shared" si="13" ref="J121:X121">IF(I87-(I89+I90+I91+I92)-J87=0,"OK",I87-(I89+I90+I91+I92)-J87)</f>
        <v>OK</v>
      </c>
      <c r="K121" s="274" t="str">
        <f t="shared" si="13"/>
        <v>OK</v>
      </c>
      <c r="L121" s="274" t="str">
        <f t="shared" si="13"/>
        <v>OK</v>
      </c>
      <c r="M121" s="274" t="str">
        <f t="shared" si="13"/>
        <v>OK</v>
      </c>
      <c r="N121" s="274" t="str">
        <f t="shared" si="13"/>
        <v>OK</v>
      </c>
      <c r="O121" s="274" t="str">
        <f t="shared" si="13"/>
        <v>OK</v>
      </c>
      <c r="P121" s="274" t="str">
        <f t="shared" si="13"/>
        <v>OK</v>
      </c>
      <c r="Q121" s="274" t="str">
        <f t="shared" si="13"/>
        <v>OK</v>
      </c>
      <c r="R121" s="274" t="str">
        <f t="shared" si="13"/>
        <v>OK</v>
      </c>
      <c r="S121" s="274" t="str">
        <f t="shared" si="13"/>
        <v>OK</v>
      </c>
      <c r="T121" s="274" t="str">
        <f t="shared" si="13"/>
        <v>OK</v>
      </c>
      <c r="U121" s="274" t="str">
        <f t="shared" si="13"/>
        <v>OK</v>
      </c>
      <c r="V121" s="274" t="str">
        <f t="shared" si="13"/>
        <v>OK</v>
      </c>
      <c r="W121" s="274" t="str">
        <f t="shared" si="13"/>
        <v>OK</v>
      </c>
      <c r="X121" s="274" t="str">
        <f t="shared" si="13"/>
        <v>OK</v>
      </c>
    </row>
    <row r="122" spans="1:24" ht="14.25" outlineLevel="1">
      <c r="A122" s="279" t="s">
        <v>292</v>
      </c>
      <c r="B122" s="280"/>
      <c r="C122" s="280"/>
      <c r="D122" s="281"/>
      <c r="E122" s="87" t="s">
        <v>343</v>
      </c>
      <c r="F122" s="99"/>
      <c r="G122" s="100"/>
      <c r="H122" s="100"/>
      <c r="I122" s="107"/>
      <c r="J122" s="132" t="str">
        <f>IF(J26&lt;0,IF(J29+J31+J33+J35+J26=0,"OK",J29+J31+J33+J35+J26),"N/D")</f>
        <v>OK</v>
      </c>
      <c r="K122" s="133" t="str">
        <f aca="true" t="shared" si="14" ref="K122:X122">IF(K26&lt;0,IF(K29+K31+K33+K35+K26=0,"OK",K29+K31+K33+K35+K26),"N/D")</f>
        <v>N/D</v>
      </c>
      <c r="L122" s="133" t="str">
        <f t="shared" si="14"/>
        <v>N/D</v>
      </c>
      <c r="M122" s="133" t="str">
        <f t="shared" si="14"/>
        <v>N/D</v>
      </c>
      <c r="N122" s="133" t="str">
        <f t="shared" si="14"/>
        <v>N/D</v>
      </c>
      <c r="O122" s="133" t="str">
        <f t="shared" si="14"/>
        <v>N/D</v>
      </c>
      <c r="P122" s="133" t="str">
        <f t="shared" si="14"/>
        <v>N/D</v>
      </c>
      <c r="Q122" s="133" t="str">
        <f t="shared" si="14"/>
        <v>N/D</v>
      </c>
      <c r="R122" s="133" t="str">
        <f t="shared" si="14"/>
        <v>N/D</v>
      </c>
      <c r="S122" s="133" t="str">
        <f t="shared" si="14"/>
        <v>N/D</v>
      </c>
      <c r="T122" s="133" t="str">
        <f t="shared" si="14"/>
        <v>N/D</v>
      </c>
      <c r="U122" s="133" t="str">
        <f t="shared" si="14"/>
        <v>N/D</v>
      </c>
      <c r="V122" s="133" t="str">
        <f t="shared" si="14"/>
        <v>N/D</v>
      </c>
      <c r="W122" s="133" t="str">
        <f t="shared" si="14"/>
        <v>N/D</v>
      </c>
      <c r="X122" s="133" t="str">
        <f t="shared" si="14"/>
        <v>N/D</v>
      </c>
    </row>
    <row r="123" spans="1:24" ht="14.25" outlineLevel="2">
      <c r="A123" s="279" t="s">
        <v>293</v>
      </c>
      <c r="B123" s="280"/>
      <c r="C123" s="280"/>
      <c r="D123" s="281"/>
      <c r="E123" s="87" t="s">
        <v>344</v>
      </c>
      <c r="F123" s="99"/>
      <c r="G123" s="100"/>
      <c r="H123" s="100"/>
      <c r="I123" s="107"/>
      <c r="J123" s="132" t="str">
        <f aca="true" t="shared" si="15" ref="J123:X123">IF(J26&gt;=0,IF(J29+J31+J33+J35=0,"OK",J29+J31+J33+J35),"N/D")</f>
        <v>N/D</v>
      </c>
      <c r="K123" s="133" t="str">
        <f t="shared" si="15"/>
        <v>OK</v>
      </c>
      <c r="L123" s="133" t="str">
        <f t="shared" si="15"/>
        <v>OK</v>
      </c>
      <c r="M123" s="133" t="str">
        <f t="shared" si="15"/>
        <v>OK</v>
      </c>
      <c r="N123" s="133" t="str">
        <f t="shared" si="15"/>
        <v>OK</v>
      </c>
      <c r="O123" s="133" t="str">
        <f t="shared" si="15"/>
        <v>OK</v>
      </c>
      <c r="P123" s="133" t="str">
        <f t="shared" si="15"/>
        <v>OK</v>
      </c>
      <c r="Q123" s="133" t="str">
        <f t="shared" si="15"/>
        <v>OK</v>
      </c>
      <c r="R123" s="133" t="str">
        <f t="shared" si="15"/>
        <v>OK</v>
      </c>
      <c r="S123" s="133" t="str">
        <f t="shared" si="15"/>
        <v>OK</v>
      </c>
      <c r="T123" s="133" t="str">
        <f t="shared" si="15"/>
        <v>OK</v>
      </c>
      <c r="U123" s="133" t="str">
        <f t="shared" si="15"/>
        <v>OK</v>
      </c>
      <c r="V123" s="133" t="str">
        <f t="shared" si="15"/>
        <v>OK</v>
      </c>
      <c r="W123" s="133" t="str">
        <f t="shared" si="15"/>
        <v>OK</v>
      </c>
      <c r="X123" s="133" t="str">
        <f t="shared" si="15"/>
        <v>OK</v>
      </c>
    </row>
    <row r="124" spans="1:24" ht="14.25" outlineLevel="2">
      <c r="A124" s="279" t="s">
        <v>294</v>
      </c>
      <c r="B124" s="280"/>
      <c r="C124" s="280"/>
      <c r="D124" s="281"/>
      <c r="E124" s="87" t="s">
        <v>346</v>
      </c>
      <c r="F124" s="99"/>
      <c r="G124" s="100"/>
      <c r="H124" s="100"/>
      <c r="I124" s="107"/>
      <c r="J124" s="104" t="str">
        <f aca="true" t="shared" si="16" ref="J124:X124">IF(J11&gt;=J12,"OK","BŁĄD")</f>
        <v>OK</v>
      </c>
      <c r="K124" s="81" t="str">
        <f t="shared" si="16"/>
        <v>OK</v>
      </c>
      <c r="L124" s="81" t="str">
        <f t="shared" si="16"/>
        <v>OK</v>
      </c>
      <c r="M124" s="81" t="str">
        <f t="shared" si="16"/>
        <v>OK</v>
      </c>
      <c r="N124" s="81" t="str">
        <f t="shared" si="16"/>
        <v>OK</v>
      </c>
      <c r="O124" s="81" t="str">
        <f t="shared" si="16"/>
        <v>OK</v>
      </c>
      <c r="P124" s="81" t="str">
        <f t="shared" si="16"/>
        <v>OK</v>
      </c>
      <c r="Q124" s="81" t="str">
        <f t="shared" si="16"/>
        <v>OK</v>
      </c>
      <c r="R124" s="81" t="str">
        <f t="shared" si="16"/>
        <v>OK</v>
      </c>
      <c r="S124" s="81" t="str">
        <f t="shared" si="16"/>
        <v>OK</v>
      </c>
      <c r="T124" s="81" t="str">
        <f t="shared" si="16"/>
        <v>OK</v>
      </c>
      <c r="U124" s="81" t="str">
        <f t="shared" si="16"/>
        <v>OK</v>
      </c>
      <c r="V124" s="81" t="str">
        <f t="shared" si="16"/>
        <v>OK</v>
      </c>
      <c r="W124" s="81" t="str">
        <f t="shared" si="16"/>
        <v>OK</v>
      </c>
      <c r="X124" s="81" t="str">
        <f t="shared" si="16"/>
        <v>OK</v>
      </c>
    </row>
    <row r="125" spans="1:24" ht="14.25" outlineLevel="2">
      <c r="A125" s="279" t="s">
        <v>295</v>
      </c>
      <c r="B125" s="280"/>
      <c r="C125" s="280"/>
      <c r="D125" s="281"/>
      <c r="E125" s="87" t="s">
        <v>347</v>
      </c>
      <c r="F125" s="99"/>
      <c r="G125" s="100"/>
      <c r="H125" s="100"/>
      <c r="I125" s="107"/>
      <c r="J125" s="104" t="str">
        <f aca="true" t="shared" si="17" ref="J125:X125">IF(J14&gt;=J88,"OK","BŁĄD")</f>
        <v>OK</v>
      </c>
      <c r="K125" s="81" t="str">
        <f t="shared" si="17"/>
        <v>OK</v>
      </c>
      <c r="L125" s="81" t="str">
        <f t="shared" si="17"/>
        <v>OK</v>
      </c>
      <c r="M125" s="81" t="str">
        <f t="shared" si="17"/>
        <v>OK</v>
      </c>
      <c r="N125" s="81" t="str">
        <f t="shared" si="17"/>
        <v>OK</v>
      </c>
      <c r="O125" s="81" t="str">
        <f t="shared" si="17"/>
        <v>OK</v>
      </c>
      <c r="P125" s="81" t="str">
        <f t="shared" si="17"/>
        <v>OK</v>
      </c>
      <c r="Q125" s="81" t="str">
        <f t="shared" si="17"/>
        <v>OK</v>
      </c>
      <c r="R125" s="81" t="str">
        <f t="shared" si="17"/>
        <v>OK</v>
      </c>
      <c r="S125" s="81" t="str">
        <f t="shared" si="17"/>
        <v>OK</v>
      </c>
      <c r="T125" s="81" t="str">
        <f t="shared" si="17"/>
        <v>OK</v>
      </c>
      <c r="U125" s="81" t="str">
        <f t="shared" si="17"/>
        <v>OK</v>
      </c>
      <c r="V125" s="81" t="str">
        <f t="shared" si="17"/>
        <v>OK</v>
      </c>
      <c r="W125" s="81" t="str">
        <f t="shared" si="17"/>
        <v>OK</v>
      </c>
      <c r="X125" s="81" t="str">
        <f t="shared" si="17"/>
        <v>OK</v>
      </c>
    </row>
    <row r="126" spans="1:24" ht="14.25" outlineLevel="2">
      <c r="A126" s="279" t="s">
        <v>296</v>
      </c>
      <c r="B126" s="280"/>
      <c r="C126" s="280"/>
      <c r="D126" s="281"/>
      <c r="E126" s="87" t="s">
        <v>348</v>
      </c>
      <c r="F126" s="99"/>
      <c r="G126" s="100"/>
      <c r="H126" s="100"/>
      <c r="I126" s="107"/>
      <c r="J126" s="104" t="str">
        <f aca="true" t="shared" si="18" ref="J126:X126">IF(J8&gt;=J9+J10+J11+J13+J14,"OK","BŁĄD")</f>
        <v>OK</v>
      </c>
      <c r="K126" s="81" t="str">
        <f t="shared" si="18"/>
        <v>OK</v>
      </c>
      <c r="L126" s="81" t="str">
        <f t="shared" si="18"/>
        <v>OK</v>
      </c>
      <c r="M126" s="81" t="str">
        <f t="shared" si="18"/>
        <v>OK</v>
      </c>
      <c r="N126" s="81" t="str">
        <f t="shared" si="18"/>
        <v>OK</v>
      </c>
      <c r="O126" s="81" t="str">
        <f t="shared" si="18"/>
        <v>OK</v>
      </c>
      <c r="P126" s="81" t="str">
        <f t="shared" si="18"/>
        <v>OK</v>
      </c>
      <c r="Q126" s="81" t="str">
        <f t="shared" si="18"/>
        <v>OK</v>
      </c>
      <c r="R126" s="81" t="str">
        <f t="shared" si="18"/>
        <v>OK</v>
      </c>
      <c r="S126" s="81" t="str">
        <f t="shared" si="18"/>
        <v>OK</v>
      </c>
      <c r="T126" s="81" t="str">
        <f t="shared" si="18"/>
        <v>OK</v>
      </c>
      <c r="U126" s="81" t="str">
        <f t="shared" si="18"/>
        <v>OK</v>
      </c>
      <c r="V126" s="81" t="str">
        <f t="shared" si="18"/>
        <v>OK</v>
      </c>
      <c r="W126" s="81" t="str">
        <f t="shared" si="18"/>
        <v>OK</v>
      </c>
      <c r="X126" s="81" t="str">
        <f t="shared" si="18"/>
        <v>OK</v>
      </c>
    </row>
    <row r="127" spans="1:24" ht="14.25" outlineLevel="2">
      <c r="A127" s="279" t="s">
        <v>297</v>
      </c>
      <c r="B127" s="280"/>
      <c r="C127" s="280"/>
      <c r="D127" s="281"/>
      <c r="E127" s="87" t="s">
        <v>349</v>
      </c>
      <c r="F127" s="99"/>
      <c r="G127" s="100"/>
      <c r="H127" s="100"/>
      <c r="I127" s="107"/>
      <c r="J127" s="104" t="str">
        <f aca="true" t="shared" si="19" ref="J127:X127">IF(J8&gt;=J74,"OK","BŁĄD")</f>
        <v>OK</v>
      </c>
      <c r="K127" s="81" t="str">
        <f t="shared" si="19"/>
        <v>OK</v>
      </c>
      <c r="L127" s="81" t="str">
        <f t="shared" si="19"/>
        <v>OK</v>
      </c>
      <c r="M127" s="81" t="str">
        <f t="shared" si="19"/>
        <v>OK</v>
      </c>
      <c r="N127" s="81" t="str">
        <f t="shared" si="19"/>
        <v>OK</v>
      </c>
      <c r="O127" s="81" t="str">
        <f t="shared" si="19"/>
        <v>OK</v>
      </c>
      <c r="P127" s="81" t="str">
        <f t="shared" si="19"/>
        <v>OK</v>
      </c>
      <c r="Q127" s="81" t="str">
        <f t="shared" si="19"/>
        <v>OK</v>
      </c>
      <c r="R127" s="81" t="str">
        <f t="shared" si="19"/>
        <v>OK</v>
      </c>
      <c r="S127" s="81" t="str">
        <f t="shared" si="19"/>
        <v>OK</v>
      </c>
      <c r="T127" s="81" t="str">
        <f t="shared" si="19"/>
        <v>OK</v>
      </c>
      <c r="U127" s="81" t="str">
        <f t="shared" si="19"/>
        <v>OK</v>
      </c>
      <c r="V127" s="81" t="str">
        <f t="shared" si="19"/>
        <v>OK</v>
      </c>
      <c r="W127" s="81" t="str">
        <f t="shared" si="19"/>
        <v>OK</v>
      </c>
      <c r="X127" s="81" t="str">
        <f t="shared" si="19"/>
        <v>OK</v>
      </c>
    </row>
    <row r="128" spans="1:24" ht="14.25" outlineLevel="2">
      <c r="A128" s="279" t="s">
        <v>298</v>
      </c>
      <c r="B128" s="280"/>
      <c r="C128" s="280"/>
      <c r="D128" s="281"/>
      <c r="E128" s="87" t="s">
        <v>350</v>
      </c>
      <c r="F128" s="99"/>
      <c r="G128" s="100"/>
      <c r="H128" s="100"/>
      <c r="I128" s="107"/>
      <c r="J128" s="104" t="str">
        <f aca="true" t="shared" si="20" ref="J128:X128">IF(J15&gt;=J16,"OK","BŁĄD")</f>
        <v>OK</v>
      </c>
      <c r="K128" s="81" t="str">
        <f t="shared" si="20"/>
        <v>OK</v>
      </c>
      <c r="L128" s="81" t="str">
        <f t="shared" si="20"/>
        <v>OK</v>
      </c>
      <c r="M128" s="81" t="str">
        <f t="shared" si="20"/>
        <v>OK</v>
      </c>
      <c r="N128" s="81" t="str">
        <f t="shared" si="20"/>
        <v>OK</v>
      </c>
      <c r="O128" s="81" t="str">
        <f t="shared" si="20"/>
        <v>OK</v>
      </c>
      <c r="P128" s="81" t="str">
        <f t="shared" si="20"/>
        <v>OK</v>
      </c>
      <c r="Q128" s="81" t="str">
        <f t="shared" si="20"/>
        <v>OK</v>
      </c>
      <c r="R128" s="81" t="str">
        <f t="shared" si="20"/>
        <v>OK</v>
      </c>
      <c r="S128" s="81" t="str">
        <f t="shared" si="20"/>
        <v>OK</v>
      </c>
      <c r="T128" s="81" t="str">
        <f t="shared" si="20"/>
        <v>OK</v>
      </c>
      <c r="U128" s="81" t="str">
        <f t="shared" si="20"/>
        <v>OK</v>
      </c>
      <c r="V128" s="81" t="str">
        <f t="shared" si="20"/>
        <v>OK</v>
      </c>
      <c r="W128" s="81" t="str">
        <f t="shared" si="20"/>
        <v>OK</v>
      </c>
      <c r="X128" s="81" t="str">
        <f t="shared" si="20"/>
        <v>OK</v>
      </c>
    </row>
    <row r="129" spans="1:24" ht="14.25" outlineLevel="2">
      <c r="A129" s="279" t="s">
        <v>299</v>
      </c>
      <c r="B129" s="280"/>
      <c r="C129" s="280"/>
      <c r="D129" s="281"/>
      <c r="E129" s="87" t="s">
        <v>351</v>
      </c>
      <c r="F129" s="99"/>
      <c r="G129" s="100"/>
      <c r="H129" s="100"/>
      <c r="I129" s="107"/>
      <c r="J129" s="104" t="str">
        <f aca="true" t="shared" si="21" ref="J129:X129">IF(J15&gt;=J17,"OK","BŁĄD")</f>
        <v>OK</v>
      </c>
      <c r="K129" s="81" t="str">
        <f t="shared" si="21"/>
        <v>OK</v>
      </c>
      <c r="L129" s="81" t="str">
        <f t="shared" si="21"/>
        <v>OK</v>
      </c>
      <c r="M129" s="81" t="str">
        <f t="shared" si="21"/>
        <v>OK</v>
      </c>
      <c r="N129" s="81" t="str">
        <f t="shared" si="21"/>
        <v>OK</v>
      </c>
      <c r="O129" s="81" t="str">
        <f t="shared" si="21"/>
        <v>OK</v>
      </c>
      <c r="P129" s="81" t="str">
        <f t="shared" si="21"/>
        <v>OK</v>
      </c>
      <c r="Q129" s="81" t="str">
        <f t="shared" si="21"/>
        <v>OK</v>
      </c>
      <c r="R129" s="81" t="str">
        <f t="shared" si="21"/>
        <v>OK</v>
      </c>
      <c r="S129" s="81" t="str">
        <f t="shared" si="21"/>
        <v>OK</v>
      </c>
      <c r="T129" s="81" t="str">
        <f t="shared" si="21"/>
        <v>OK</v>
      </c>
      <c r="U129" s="81" t="str">
        <f t="shared" si="21"/>
        <v>OK</v>
      </c>
      <c r="V129" s="81" t="str">
        <f t="shared" si="21"/>
        <v>OK</v>
      </c>
      <c r="W129" s="81" t="str">
        <f t="shared" si="21"/>
        <v>OK</v>
      </c>
      <c r="X129" s="81" t="str">
        <f t="shared" si="21"/>
        <v>OK</v>
      </c>
    </row>
    <row r="130" spans="1:24" ht="14.25" outlineLevel="2">
      <c r="A130" s="279" t="s">
        <v>300</v>
      </c>
      <c r="B130" s="280"/>
      <c r="C130" s="280"/>
      <c r="D130" s="281"/>
      <c r="E130" s="87" t="s">
        <v>352</v>
      </c>
      <c r="F130" s="99"/>
      <c r="G130" s="100"/>
      <c r="H130" s="100"/>
      <c r="I130" s="107"/>
      <c r="J130" s="104" t="str">
        <f aca="true" t="shared" si="22" ref="J130:X130">IF(J15&gt;=J77,"OK","BŁĄD")</f>
        <v>OK</v>
      </c>
      <c r="K130" s="81" t="str">
        <f t="shared" si="22"/>
        <v>OK</v>
      </c>
      <c r="L130" s="81" t="str">
        <f t="shared" si="22"/>
        <v>OK</v>
      </c>
      <c r="M130" s="81" t="str">
        <f t="shared" si="22"/>
        <v>OK</v>
      </c>
      <c r="N130" s="81" t="str">
        <f t="shared" si="22"/>
        <v>OK</v>
      </c>
      <c r="O130" s="81" t="str">
        <f t="shared" si="22"/>
        <v>OK</v>
      </c>
      <c r="P130" s="81" t="str">
        <f t="shared" si="22"/>
        <v>OK</v>
      </c>
      <c r="Q130" s="81" t="str">
        <f t="shared" si="22"/>
        <v>OK</v>
      </c>
      <c r="R130" s="81" t="str">
        <f t="shared" si="22"/>
        <v>OK</v>
      </c>
      <c r="S130" s="81" t="str">
        <f t="shared" si="22"/>
        <v>OK</v>
      </c>
      <c r="T130" s="81" t="str">
        <f t="shared" si="22"/>
        <v>OK</v>
      </c>
      <c r="U130" s="81" t="str">
        <f t="shared" si="22"/>
        <v>OK</v>
      </c>
      <c r="V130" s="81" t="str">
        <f t="shared" si="22"/>
        <v>OK</v>
      </c>
      <c r="W130" s="81" t="str">
        <f t="shared" si="22"/>
        <v>OK</v>
      </c>
      <c r="X130" s="81" t="str">
        <f t="shared" si="22"/>
        <v>OK</v>
      </c>
    </row>
    <row r="131" spans="1:24" ht="14.25" outlineLevel="2">
      <c r="A131" s="279" t="s">
        <v>301</v>
      </c>
      <c r="B131" s="280"/>
      <c r="C131" s="280"/>
      <c r="D131" s="281"/>
      <c r="E131" s="87" t="s">
        <v>353</v>
      </c>
      <c r="F131" s="99"/>
      <c r="G131" s="100"/>
      <c r="H131" s="100"/>
      <c r="I131" s="107"/>
      <c r="J131" s="104" t="str">
        <f aca="true" t="shared" si="23" ref="J131:X131">IF(J62&gt;=J63,"OK","BŁĄD")</f>
        <v>OK</v>
      </c>
      <c r="K131" s="81" t="str">
        <f t="shared" si="23"/>
        <v>OK</v>
      </c>
      <c r="L131" s="81" t="str">
        <f t="shared" si="23"/>
        <v>OK</v>
      </c>
      <c r="M131" s="81" t="str">
        <f t="shared" si="23"/>
        <v>OK</v>
      </c>
      <c r="N131" s="81" t="str">
        <f t="shared" si="23"/>
        <v>OK</v>
      </c>
      <c r="O131" s="81" t="str">
        <f t="shared" si="23"/>
        <v>OK</v>
      </c>
      <c r="P131" s="81" t="str">
        <f t="shared" si="23"/>
        <v>OK</v>
      </c>
      <c r="Q131" s="81" t="str">
        <f t="shared" si="23"/>
        <v>OK</v>
      </c>
      <c r="R131" s="81" t="str">
        <f t="shared" si="23"/>
        <v>OK</v>
      </c>
      <c r="S131" s="81" t="str">
        <f t="shared" si="23"/>
        <v>OK</v>
      </c>
      <c r="T131" s="81" t="str">
        <f t="shared" si="23"/>
        <v>OK</v>
      </c>
      <c r="U131" s="81" t="str">
        <f t="shared" si="23"/>
        <v>OK</v>
      </c>
      <c r="V131" s="81" t="str">
        <f t="shared" si="23"/>
        <v>OK</v>
      </c>
      <c r="W131" s="81" t="str">
        <f t="shared" si="23"/>
        <v>OK</v>
      </c>
      <c r="X131" s="81" t="str">
        <f t="shared" si="23"/>
        <v>OK</v>
      </c>
    </row>
    <row r="132" spans="1:24" ht="14.25" outlineLevel="2">
      <c r="A132" s="279" t="s">
        <v>303</v>
      </c>
      <c r="B132" s="280"/>
      <c r="C132" s="280"/>
      <c r="D132" s="281"/>
      <c r="E132" s="87" t="s">
        <v>355</v>
      </c>
      <c r="F132" s="99"/>
      <c r="G132" s="100"/>
      <c r="H132" s="100"/>
      <c r="I132" s="107"/>
      <c r="J132" s="104" t="str">
        <f aca="true" t="shared" si="24" ref="J132:X132">IF(J74&gt;=J75,"OK","BŁĄD")</f>
        <v>OK</v>
      </c>
      <c r="K132" s="81" t="str">
        <f t="shared" si="24"/>
        <v>OK</v>
      </c>
      <c r="L132" s="81" t="str">
        <f t="shared" si="24"/>
        <v>OK</v>
      </c>
      <c r="M132" s="81" t="str">
        <f t="shared" si="24"/>
        <v>OK</v>
      </c>
      <c r="N132" s="81" t="str">
        <f t="shared" si="24"/>
        <v>OK</v>
      </c>
      <c r="O132" s="81" t="str">
        <f t="shared" si="24"/>
        <v>OK</v>
      </c>
      <c r="P132" s="81" t="str">
        <f t="shared" si="24"/>
        <v>OK</v>
      </c>
      <c r="Q132" s="81" t="str">
        <f t="shared" si="24"/>
        <v>OK</v>
      </c>
      <c r="R132" s="81" t="str">
        <f t="shared" si="24"/>
        <v>OK</v>
      </c>
      <c r="S132" s="81" t="str">
        <f t="shared" si="24"/>
        <v>OK</v>
      </c>
      <c r="T132" s="81" t="str">
        <f t="shared" si="24"/>
        <v>OK</v>
      </c>
      <c r="U132" s="81" t="str">
        <f t="shared" si="24"/>
        <v>OK</v>
      </c>
      <c r="V132" s="81" t="str">
        <f t="shared" si="24"/>
        <v>OK</v>
      </c>
      <c r="W132" s="81" t="str">
        <f t="shared" si="24"/>
        <v>OK</v>
      </c>
      <c r="X132" s="81" t="str">
        <f t="shared" si="24"/>
        <v>OK</v>
      </c>
    </row>
    <row r="133" spans="1:24" ht="14.25" outlineLevel="2">
      <c r="A133" s="279" t="s">
        <v>302</v>
      </c>
      <c r="B133" s="280"/>
      <c r="C133" s="280"/>
      <c r="D133" s="281"/>
      <c r="E133" s="87" t="s">
        <v>354</v>
      </c>
      <c r="F133" s="99"/>
      <c r="G133" s="100"/>
      <c r="H133" s="100"/>
      <c r="I133" s="107"/>
      <c r="J133" s="104" t="str">
        <f aca="true" t="shared" si="25" ref="J133:X133">IF(J75&gt;=J76,"OK","BŁĄD")</f>
        <v>OK</v>
      </c>
      <c r="K133" s="81" t="str">
        <f t="shared" si="25"/>
        <v>OK</v>
      </c>
      <c r="L133" s="81" t="str">
        <f t="shared" si="25"/>
        <v>OK</v>
      </c>
      <c r="M133" s="81" t="str">
        <f t="shared" si="25"/>
        <v>OK</v>
      </c>
      <c r="N133" s="81" t="str">
        <f t="shared" si="25"/>
        <v>OK</v>
      </c>
      <c r="O133" s="81" t="str">
        <f t="shared" si="25"/>
        <v>OK</v>
      </c>
      <c r="P133" s="81" t="str">
        <f t="shared" si="25"/>
        <v>OK</v>
      </c>
      <c r="Q133" s="81" t="str">
        <f t="shared" si="25"/>
        <v>OK</v>
      </c>
      <c r="R133" s="81" t="str">
        <f t="shared" si="25"/>
        <v>OK</v>
      </c>
      <c r="S133" s="81" t="str">
        <f t="shared" si="25"/>
        <v>OK</v>
      </c>
      <c r="T133" s="81" t="str">
        <f t="shared" si="25"/>
        <v>OK</v>
      </c>
      <c r="U133" s="81" t="str">
        <f t="shared" si="25"/>
        <v>OK</v>
      </c>
      <c r="V133" s="81" t="str">
        <f t="shared" si="25"/>
        <v>OK</v>
      </c>
      <c r="W133" s="81" t="str">
        <f t="shared" si="25"/>
        <v>OK</v>
      </c>
      <c r="X133" s="81" t="str">
        <f t="shared" si="25"/>
        <v>OK</v>
      </c>
    </row>
    <row r="134" spans="1:24" ht="14.25" outlineLevel="2">
      <c r="A134" s="279" t="s">
        <v>305</v>
      </c>
      <c r="B134" s="280"/>
      <c r="C134" s="280"/>
      <c r="D134" s="281"/>
      <c r="E134" s="87" t="s">
        <v>357</v>
      </c>
      <c r="F134" s="99"/>
      <c r="G134" s="100"/>
      <c r="H134" s="100"/>
      <c r="I134" s="107"/>
      <c r="J134" s="104" t="str">
        <f aca="true" t="shared" si="26" ref="J134:X134">IF(J77&gt;=J78,"OK","BŁĄD")</f>
        <v>OK</v>
      </c>
      <c r="K134" s="81" t="str">
        <f t="shared" si="26"/>
        <v>OK</v>
      </c>
      <c r="L134" s="81" t="str">
        <f t="shared" si="26"/>
        <v>OK</v>
      </c>
      <c r="M134" s="81" t="str">
        <f t="shared" si="26"/>
        <v>OK</v>
      </c>
      <c r="N134" s="81" t="str">
        <f t="shared" si="26"/>
        <v>OK</v>
      </c>
      <c r="O134" s="81" t="str">
        <f t="shared" si="26"/>
        <v>OK</v>
      </c>
      <c r="P134" s="81" t="str">
        <f t="shared" si="26"/>
        <v>OK</v>
      </c>
      <c r="Q134" s="81" t="str">
        <f t="shared" si="26"/>
        <v>OK</v>
      </c>
      <c r="R134" s="81" t="str">
        <f t="shared" si="26"/>
        <v>OK</v>
      </c>
      <c r="S134" s="81" t="str">
        <f t="shared" si="26"/>
        <v>OK</v>
      </c>
      <c r="T134" s="81" t="str">
        <f t="shared" si="26"/>
        <v>OK</v>
      </c>
      <c r="U134" s="81" t="str">
        <f t="shared" si="26"/>
        <v>OK</v>
      </c>
      <c r="V134" s="81" t="str">
        <f t="shared" si="26"/>
        <v>OK</v>
      </c>
      <c r="W134" s="81" t="str">
        <f t="shared" si="26"/>
        <v>OK</v>
      </c>
      <c r="X134" s="81" t="str">
        <f t="shared" si="26"/>
        <v>OK</v>
      </c>
    </row>
    <row r="135" spans="1:24" ht="14.25" outlineLevel="2">
      <c r="A135" s="279" t="s">
        <v>304</v>
      </c>
      <c r="B135" s="280"/>
      <c r="C135" s="280"/>
      <c r="D135" s="281"/>
      <c r="E135" s="87" t="s">
        <v>356</v>
      </c>
      <c r="F135" s="99"/>
      <c r="G135" s="100"/>
      <c r="H135" s="100"/>
      <c r="I135" s="107"/>
      <c r="J135" s="104" t="str">
        <f aca="true" t="shared" si="27" ref="J135:X135">IF(J78&gt;=J79,"OK","BŁĄD")</f>
        <v>OK</v>
      </c>
      <c r="K135" s="81" t="str">
        <f t="shared" si="27"/>
        <v>OK</v>
      </c>
      <c r="L135" s="81" t="str">
        <f t="shared" si="27"/>
        <v>OK</v>
      </c>
      <c r="M135" s="81" t="str">
        <f t="shared" si="27"/>
        <v>OK</v>
      </c>
      <c r="N135" s="81" t="str">
        <f t="shared" si="27"/>
        <v>OK</v>
      </c>
      <c r="O135" s="81" t="str">
        <f t="shared" si="27"/>
        <v>OK</v>
      </c>
      <c r="P135" s="81" t="str">
        <f t="shared" si="27"/>
        <v>OK</v>
      </c>
      <c r="Q135" s="81" t="str">
        <f t="shared" si="27"/>
        <v>OK</v>
      </c>
      <c r="R135" s="81" t="str">
        <f t="shared" si="27"/>
        <v>OK</v>
      </c>
      <c r="S135" s="81" t="str">
        <f t="shared" si="27"/>
        <v>OK</v>
      </c>
      <c r="T135" s="81" t="str">
        <f t="shared" si="27"/>
        <v>OK</v>
      </c>
      <c r="U135" s="81" t="str">
        <f t="shared" si="27"/>
        <v>OK</v>
      </c>
      <c r="V135" s="81" t="str">
        <f t="shared" si="27"/>
        <v>OK</v>
      </c>
      <c r="W135" s="81" t="str">
        <f t="shared" si="27"/>
        <v>OK</v>
      </c>
      <c r="X135" s="81" t="str">
        <f t="shared" si="27"/>
        <v>OK</v>
      </c>
    </row>
    <row r="136" spans="1:24" ht="14.25" outlineLevel="2">
      <c r="A136" s="279" t="s">
        <v>306</v>
      </c>
      <c r="B136" s="280"/>
      <c r="C136" s="280"/>
      <c r="D136" s="281"/>
      <c r="E136" s="87" t="s">
        <v>358</v>
      </c>
      <c r="F136" s="99"/>
      <c r="G136" s="100"/>
      <c r="H136" s="100"/>
      <c r="I136" s="107"/>
      <c r="J136" s="104" t="str">
        <f aca="true" t="shared" si="28" ref="J136:X136">IF(J80&gt;=J81,"OK","BŁĄD")</f>
        <v>OK</v>
      </c>
      <c r="K136" s="81" t="str">
        <f t="shared" si="28"/>
        <v>OK</v>
      </c>
      <c r="L136" s="81" t="str">
        <f t="shared" si="28"/>
        <v>OK</v>
      </c>
      <c r="M136" s="81" t="str">
        <f t="shared" si="28"/>
        <v>OK</v>
      </c>
      <c r="N136" s="81" t="str">
        <f t="shared" si="28"/>
        <v>OK</v>
      </c>
      <c r="O136" s="81" t="str">
        <f t="shared" si="28"/>
        <v>OK</v>
      </c>
      <c r="P136" s="81" t="str">
        <f t="shared" si="28"/>
        <v>OK</v>
      </c>
      <c r="Q136" s="81" t="str">
        <f t="shared" si="28"/>
        <v>OK</v>
      </c>
      <c r="R136" s="81" t="str">
        <f t="shared" si="28"/>
        <v>OK</v>
      </c>
      <c r="S136" s="81" t="str">
        <f t="shared" si="28"/>
        <v>OK</v>
      </c>
      <c r="T136" s="81" t="str">
        <f t="shared" si="28"/>
        <v>OK</v>
      </c>
      <c r="U136" s="81" t="str">
        <f t="shared" si="28"/>
        <v>OK</v>
      </c>
      <c r="V136" s="81" t="str">
        <f t="shared" si="28"/>
        <v>OK</v>
      </c>
      <c r="W136" s="81" t="str">
        <f t="shared" si="28"/>
        <v>OK</v>
      </c>
      <c r="X136" s="81" t="str">
        <f t="shared" si="28"/>
        <v>OK</v>
      </c>
    </row>
    <row r="137" spans="1:24" ht="14.25" outlineLevel="2">
      <c r="A137" s="279" t="s">
        <v>307</v>
      </c>
      <c r="B137" s="280"/>
      <c r="C137" s="280"/>
      <c r="D137" s="281"/>
      <c r="E137" s="87" t="s">
        <v>359</v>
      </c>
      <c r="F137" s="99"/>
      <c r="G137" s="100"/>
      <c r="H137" s="100"/>
      <c r="I137" s="107"/>
      <c r="J137" s="104" t="str">
        <f aca="true" t="shared" si="29" ref="J137:X137">IF(J80&gt;=J82,"OK","BŁĄD")</f>
        <v>OK</v>
      </c>
      <c r="K137" s="81" t="str">
        <f t="shared" si="29"/>
        <v>OK</v>
      </c>
      <c r="L137" s="81" t="str">
        <f t="shared" si="29"/>
        <v>OK</v>
      </c>
      <c r="M137" s="81" t="str">
        <f t="shared" si="29"/>
        <v>OK</v>
      </c>
      <c r="N137" s="81" t="str">
        <f t="shared" si="29"/>
        <v>OK</v>
      </c>
      <c r="O137" s="81" t="str">
        <f t="shared" si="29"/>
        <v>OK</v>
      </c>
      <c r="P137" s="81" t="str">
        <f t="shared" si="29"/>
        <v>OK</v>
      </c>
      <c r="Q137" s="81" t="str">
        <f t="shared" si="29"/>
        <v>OK</v>
      </c>
      <c r="R137" s="81" t="str">
        <f t="shared" si="29"/>
        <v>OK</v>
      </c>
      <c r="S137" s="81" t="str">
        <f t="shared" si="29"/>
        <v>OK</v>
      </c>
      <c r="T137" s="81" t="str">
        <f t="shared" si="29"/>
        <v>OK</v>
      </c>
      <c r="U137" s="81" t="str">
        <f t="shared" si="29"/>
        <v>OK</v>
      </c>
      <c r="V137" s="81" t="str">
        <f t="shared" si="29"/>
        <v>OK</v>
      </c>
      <c r="W137" s="81" t="str">
        <f t="shared" si="29"/>
        <v>OK</v>
      </c>
      <c r="X137" s="81" t="str">
        <f t="shared" si="29"/>
        <v>OK</v>
      </c>
    </row>
    <row r="138" spans="1:24" ht="14.25" outlineLevel="2">
      <c r="A138" s="279" t="s">
        <v>308</v>
      </c>
      <c r="B138" s="280"/>
      <c r="C138" s="280"/>
      <c r="D138" s="281"/>
      <c r="E138" s="87" t="s">
        <v>360</v>
      </c>
      <c r="F138" s="99"/>
      <c r="G138" s="100"/>
      <c r="H138" s="100"/>
      <c r="I138" s="107"/>
      <c r="J138" s="104" t="str">
        <f aca="true" t="shared" si="30" ref="J138:X138">IF(J83&gt;=J84,"OK","BŁĄD")</f>
        <v>OK</v>
      </c>
      <c r="K138" s="81" t="str">
        <f t="shared" si="30"/>
        <v>OK</v>
      </c>
      <c r="L138" s="81" t="str">
        <f t="shared" si="30"/>
        <v>OK</v>
      </c>
      <c r="M138" s="81" t="str">
        <f t="shared" si="30"/>
        <v>OK</v>
      </c>
      <c r="N138" s="81" t="str">
        <f t="shared" si="30"/>
        <v>OK</v>
      </c>
      <c r="O138" s="81" t="str">
        <f t="shared" si="30"/>
        <v>OK</v>
      </c>
      <c r="P138" s="81" t="str">
        <f t="shared" si="30"/>
        <v>OK</v>
      </c>
      <c r="Q138" s="81" t="str">
        <f t="shared" si="30"/>
        <v>OK</v>
      </c>
      <c r="R138" s="81" t="str">
        <f t="shared" si="30"/>
        <v>OK</v>
      </c>
      <c r="S138" s="81" t="str">
        <f t="shared" si="30"/>
        <v>OK</v>
      </c>
      <c r="T138" s="81" t="str">
        <f t="shared" si="30"/>
        <v>OK</v>
      </c>
      <c r="U138" s="81" t="str">
        <f t="shared" si="30"/>
        <v>OK</v>
      </c>
      <c r="V138" s="81" t="str">
        <f t="shared" si="30"/>
        <v>OK</v>
      </c>
      <c r="W138" s="81" t="str">
        <f t="shared" si="30"/>
        <v>OK</v>
      </c>
      <c r="X138" s="81" t="str">
        <f t="shared" si="30"/>
        <v>OK</v>
      </c>
    </row>
    <row r="139" spans="1:24" ht="14.25" outlineLevel="2">
      <c r="A139" s="279" t="s">
        <v>309</v>
      </c>
      <c r="B139" s="280"/>
      <c r="C139" s="280"/>
      <c r="D139" s="281"/>
      <c r="E139" s="87" t="s">
        <v>361</v>
      </c>
      <c r="F139" s="99"/>
      <c r="G139" s="100"/>
      <c r="H139" s="100"/>
      <c r="I139" s="107"/>
      <c r="J139" s="104" t="str">
        <f aca="true" t="shared" si="31" ref="J139:X139">IF(J83&gt;=J85,"OK","BŁĄD")</f>
        <v>OK</v>
      </c>
      <c r="K139" s="81" t="str">
        <f t="shared" si="31"/>
        <v>OK</v>
      </c>
      <c r="L139" s="81" t="str">
        <f t="shared" si="31"/>
        <v>OK</v>
      </c>
      <c r="M139" s="81" t="str">
        <f t="shared" si="31"/>
        <v>OK</v>
      </c>
      <c r="N139" s="81" t="str">
        <f t="shared" si="31"/>
        <v>OK</v>
      </c>
      <c r="O139" s="81" t="str">
        <f t="shared" si="31"/>
        <v>OK</v>
      </c>
      <c r="P139" s="81" t="str">
        <f t="shared" si="31"/>
        <v>OK</v>
      </c>
      <c r="Q139" s="81" t="str">
        <f t="shared" si="31"/>
        <v>OK</v>
      </c>
      <c r="R139" s="81" t="str">
        <f t="shared" si="31"/>
        <v>OK</v>
      </c>
      <c r="S139" s="81" t="str">
        <f t="shared" si="31"/>
        <v>OK</v>
      </c>
      <c r="T139" s="81" t="str">
        <f t="shared" si="31"/>
        <v>OK</v>
      </c>
      <c r="U139" s="81" t="str">
        <f t="shared" si="31"/>
        <v>OK</v>
      </c>
      <c r="V139" s="81" t="str">
        <f t="shared" si="31"/>
        <v>OK</v>
      </c>
      <c r="W139" s="81" t="str">
        <f t="shared" si="31"/>
        <v>OK</v>
      </c>
      <c r="X139" s="81" t="str">
        <f t="shared" si="31"/>
        <v>OK</v>
      </c>
    </row>
    <row r="140" spans="1:24" ht="14.25" outlineLevel="2">
      <c r="A140" s="279" t="s">
        <v>310</v>
      </c>
      <c r="B140" s="280"/>
      <c r="C140" s="280"/>
      <c r="D140" s="281"/>
      <c r="E140" s="87" t="s">
        <v>362</v>
      </c>
      <c r="F140" s="99"/>
      <c r="G140" s="100"/>
      <c r="H140" s="100"/>
      <c r="I140" s="107"/>
      <c r="J140" s="104" t="str">
        <f aca="true" t="shared" si="32" ref="J140:X140">IF(J87&gt;=J89,"OK","BŁĄD")</f>
        <v>OK</v>
      </c>
      <c r="K140" s="81" t="str">
        <f t="shared" si="32"/>
        <v>OK</v>
      </c>
      <c r="L140" s="81" t="str">
        <f t="shared" si="32"/>
        <v>OK</v>
      </c>
      <c r="M140" s="81" t="str">
        <f t="shared" si="32"/>
        <v>OK</v>
      </c>
      <c r="N140" s="81" t="str">
        <f t="shared" si="32"/>
        <v>OK</v>
      </c>
      <c r="O140" s="81" t="str">
        <f t="shared" si="32"/>
        <v>OK</v>
      </c>
      <c r="P140" s="81" t="str">
        <f t="shared" si="32"/>
        <v>OK</v>
      </c>
      <c r="Q140" s="81" t="str">
        <f t="shared" si="32"/>
        <v>OK</v>
      </c>
      <c r="R140" s="81" t="str">
        <f t="shared" si="32"/>
        <v>OK</v>
      </c>
      <c r="S140" s="81" t="str">
        <f t="shared" si="32"/>
        <v>OK</v>
      </c>
      <c r="T140" s="81" t="str">
        <f t="shared" si="32"/>
        <v>OK</v>
      </c>
      <c r="U140" s="81" t="str">
        <f t="shared" si="32"/>
        <v>OK</v>
      </c>
      <c r="V140" s="81" t="str">
        <f t="shared" si="32"/>
        <v>OK</v>
      </c>
      <c r="W140" s="81" t="str">
        <f t="shared" si="32"/>
        <v>OK</v>
      </c>
      <c r="X140" s="81" t="str">
        <f t="shared" si="32"/>
        <v>OK</v>
      </c>
    </row>
    <row r="141" spans="1:24" ht="14.25" outlineLevel="2">
      <c r="A141" s="279" t="s">
        <v>311</v>
      </c>
      <c r="B141" s="280"/>
      <c r="C141" s="280"/>
      <c r="D141" s="281"/>
      <c r="E141" s="87" t="s">
        <v>363</v>
      </c>
      <c r="F141" s="99"/>
      <c r="G141" s="100"/>
      <c r="H141" s="100"/>
      <c r="I141" s="107"/>
      <c r="J141" s="104" t="str">
        <f aca="true" t="shared" si="33" ref="J141:X141">IF(J90&gt;=J22,"OK","BŁĄD")</f>
        <v>OK</v>
      </c>
      <c r="K141" s="81" t="str">
        <f t="shared" si="33"/>
        <v>OK</v>
      </c>
      <c r="L141" s="81" t="str">
        <f t="shared" si="33"/>
        <v>OK</v>
      </c>
      <c r="M141" s="81" t="str">
        <f t="shared" si="33"/>
        <v>OK</v>
      </c>
      <c r="N141" s="81" t="str">
        <f t="shared" si="33"/>
        <v>OK</v>
      </c>
      <c r="O141" s="81" t="str">
        <f t="shared" si="33"/>
        <v>OK</v>
      </c>
      <c r="P141" s="81" t="str">
        <f t="shared" si="33"/>
        <v>OK</v>
      </c>
      <c r="Q141" s="81" t="str">
        <f t="shared" si="33"/>
        <v>OK</v>
      </c>
      <c r="R141" s="81" t="str">
        <f t="shared" si="33"/>
        <v>OK</v>
      </c>
      <c r="S141" s="81" t="str">
        <f t="shared" si="33"/>
        <v>OK</v>
      </c>
      <c r="T141" s="81" t="str">
        <f t="shared" si="33"/>
        <v>OK</v>
      </c>
      <c r="U141" s="81" t="str">
        <f t="shared" si="33"/>
        <v>OK</v>
      </c>
      <c r="V141" s="81" t="str">
        <f t="shared" si="33"/>
        <v>OK</v>
      </c>
      <c r="W141" s="81" t="str">
        <f t="shared" si="33"/>
        <v>OK</v>
      </c>
      <c r="X141" s="81" t="str">
        <f t="shared" si="33"/>
        <v>OK</v>
      </c>
    </row>
    <row r="142" spans="1:24" ht="14.25" outlineLevel="2">
      <c r="A142" s="279" t="s">
        <v>312</v>
      </c>
      <c r="B142" s="280"/>
      <c r="C142" s="280"/>
      <c r="D142" s="281"/>
      <c r="E142" s="87" t="s">
        <v>364</v>
      </c>
      <c r="F142" s="99"/>
      <c r="G142" s="100"/>
      <c r="H142" s="100"/>
      <c r="I142" s="107"/>
      <c r="J142" s="104" t="str">
        <f aca="true" t="shared" si="34" ref="J142:X142">IF(J97&gt;=(J98+J99+J100),"OK","BŁĄD")</f>
        <v>OK</v>
      </c>
      <c r="K142" s="81" t="str">
        <f t="shared" si="34"/>
        <v>OK</v>
      </c>
      <c r="L142" s="81" t="str">
        <f t="shared" si="34"/>
        <v>OK</v>
      </c>
      <c r="M142" s="81" t="str">
        <f t="shared" si="34"/>
        <v>OK</v>
      </c>
      <c r="N142" s="81" t="str">
        <f t="shared" si="34"/>
        <v>OK</v>
      </c>
      <c r="O142" s="81" t="str">
        <f t="shared" si="34"/>
        <v>OK</v>
      </c>
      <c r="P142" s="81" t="str">
        <f t="shared" si="34"/>
        <v>OK</v>
      </c>
      <c r="Q142" s="81" t="str">
        <f t="shared" si="34"/>
        <v>OK</v>
      </c>
      <c r="R142" s="81" t="str">
        <f t="shared" si="34"/>
        <v>OK</v>
      </c>
      <c r="S142" s="81" t="str">
        <f t="shared" si="34"/>
        <v>OK</v>
      </c>
      <c r="T142" s="81" t="str">
        <f t="shared" si="34"/>
        <v>OK</v>
      </c>
      <c r="U142" s="81" t="str">
        <f t="shared" si="34"/>
        <v>OK</v>
      </c>
      <c r="V142" s="81" t="str">
        <f t="shared" si="34"/>
        <v>OK</v>
      </c>
      <c r="W142" s="81" t="str">
        <f t="shared" si="34"/>
        <v>OK</v>
      </c>
      <c r="X142" s="81" t="str">
        <f t="shared" si="34"/>
        <v>OK</v>
      </c>
    </row>
    <row r="143" spans="1:24" ht="14.25" outlineLevel="2">
      <c r="A143" s="279" t="s">
        <v>314</v>
      </c>
      <c r="B143" s="280"/>
      <c r="C143" s="280"/>
      <c r="D143" s="281"/>
      <c r="E143" s="87" t="s">
        <v>366</v>
      </c>
      <c r="F143" s="99"/>
      <c r="G143" s="100"/>
      <c r="H143" s="100"/>
      <c r="I143" s="107"/>
      <c r="J143" s="104" t="str">
        <f aca="true" t="shared" si="35" ref="J143:X143">IF(J20&gt;=J21,"OK","BŁĄD")</f>
        <v>OK</v>
      </c>
      <c r="K143" s="81" t="str">
        <f t="shared" si="35"/>
        <v>OK</v>
      </c>
      <c r="L143" s="81" t="str">
        <f t="shared" si="35"/>
        <v>OK</v>
      </c>
      <c r="M143" s="81" t="str">
        <f t="shared" si="35"/>
        <v>OK</v>
      </c>
      <c r="N143" s="81" t="str">
        <f t="shared" si="35"/>
        <v>OK</v>
      </c>
      <c r="O143" s="81" t="str">
        <f t="shared" si="35"/>
        <v>OK</v>
      </c>
      <c r="P143" s="81" t="str">
        <f t="shared" si="35"/>
        <v>OK</v>
      </c>
      <c r="Q143" s="81" t="str">
        <f t="shared" si="35"/>
        <v>OK</v>
      </c>
      <c r="R143" s="81" t="str">
        <f t="shared" si="35"/>
        <v>OK</v>
      </c>
      <c r="S143" s="81" t="str">
        <f t="shared" si="35"/>
        <v>OK</v>
      </c>
      <c r="T143" s="81" t="str">
        <f t="shared" si="35"/>
        <v>OK</v>
      </c>
      <c r="U143" s="81" t="str">
        <f t="shared" si="35"/>
        <v>OK</v>
      </c>
      <c r="V143" s="81" t="str">
        <f t="shared" si="35"/>
        <v>OK</v>
      </c>
      <c r="W143" s="81" t="str">
        <f t="shared" si="35"/>
        <v>OK</v>
      </c>
      <c r="X143" s="81" t="str">
        <f t="shared" si="35"/>
        <v>OK</v>
      </c>
    </row>
    <row r="144" spans="1:24" ht="14.25" outlineLevel="2">
      <c r="A144" s="279" t="s">
        <v>313</v>
      </c>
      <c r="B144" s="280"/>
      <c r="C144" s="280"/>
      <c r="D144" s="281"/>
      <c r="E144" s="87" t="s">
        <v>365</v>
      </c>
      <c r="F144" s="99"/>
      <c r="G144" s="100"/>
      <c r="H144" s="100"/>
      <c r="I144" s="107"/>
      <c r="J144" s="104" t="str">
        <f aca="true" t="shared" si="36" ref="J144:X144">IF(J20&gt;=J100,"OK","BŁĄD")</f>
        <v>OK</v>
      </c>
      <c r="K144" s="81" t="str">
        <f t="shared" si="36"/>
        <v>OK</v>
      </c>
      <c r="L144" s="81" t="str">
        <f t="shared" si="36"/>
        <v>OK</v>
      </c>
      <c r="M144" s="81" t="str">
        <f t="shared" si="36"/>
        <v>OK</v>
      </c>
      <c r="N144" s="81" t="str">
        <f t="shared" si="36"/>
        <v>OK</v>
      </c>
      <c r="O144" s="81" t="str">
        <f t="shared" si="36"/>
        <v>OK</v>
      </c>
      <c r="P144" s="81" t="str">
        <f t="shared" si="36"/>
        <v>OK</v>
      </c>
      <c r="Q144" s="81" t="str">
        <f t="shared" si="36"/>
        <v>OK</v>
      </c>
      <c r="R144" s="81" t="str">
        <f t="shared" si="36"/>
        <v>OK</v>
      </c>
      <c r="S144" s="81" t="str">
        <f t="shared" si="36"/>
        <v>OK</v>
      </c>
      <c r="T144" s="81" t="str">
        <f t="shared" si="36"/>
        <v>OK</v>
      </c>
      <c r="U144" s="81" t="str">
        <f t="shared" si="36"/>
        <v>OK</v>
      </c>
      <c r="V144" s="81" t="str">
        <f t="shared" si="36"/>
        <v>OK</v>
      </c>
      <c r="W144" s="81" t="str">
        <f t="shared" si="36"/>
        <v>OK</v>
      </c>
      <c r="X144" s="81" t="str">
        <f t="shared" si="36"/>
        <v>OK</v>
      </c>
    </row>
    <row r="145" spans="1:24" ht="14.25" outlineLevel="2">
      <c r="A145" s="279" t="s">
        <v>315</v>
      </c>
      <c r="B145" s="280"/>
      <c r="C145" s="280"/>
      <c r="D145" s="281"/>
      <c r="E145" s="87" t="s">
        <v>367</v>
      </c>
      <c r="F145" s="99"/>
      <c r="G145" s="100"/>
      <c r="H145" s="100"/>
      <c r="I145" s="107"/>
      <c r="J145" s="104" t="str">
        <f aca="true" t="shared" si="37" ref="J145:X145">IF(J23&gt;=J24,"OK","BŁĄD")</f>
        <v>OK</v>
      </c>
      <c r="K145" s="81" t="str">
        <f t="shared" si="37"/>
        <v>OK</v>
      </c>
      <c r="L145" s="81" t="str">
        <f t="shared" si="37"/>
        <v>OK</v>
      </c>
      <c r="M145" s="81" t="str">
        <f t="shared" si="37"/>
        <v>OK</v>
      </c>
      <c r="N145" s="81" t="str">
        <f t="shared" si="37"/>
        <v>OK</v>
      </c>
      <c r="O145" s="81" t="str">
        <f t="shared" si="37"/>
        <v>OK</v>
      </c>
      <c r="P145" s="81" t="str">
        <f t="shared" si="37"/>
        <v>OK</v>
      </c>
      <c r="Q145" s="81" t="str">
        <f t="shared" si="37"/>
        <v>OK</v>
      </c>
      <c r="R145" s="81" t="str">
        <f t="shared" si="37"/>
        <v>OK</v>
      </c>
      <c r="S145" s="81" t="str">
        <f t="shared" si="37"/>
        <v>OK</v>
      </c>
      <c r="T145" s="81" t="str">
        <f t="shared" si="37"/>
        <v>OK</v>
      </c>
      <c r="U145" s="81" t="str">
        <f t="shared" si="37"/>
        <v>OK</v>
      </c>
      <c r="V145" s="81" t="str">
        <f t="shared" si="37"/>
        <v>OK</v>
      </c>
      <c r="W145" s="81" t="str">
        <f t="shared" si="37"/>
        <v>OK</v>
      </c>
      <c r="X145" s="81" t="str">
        <f t="shared" si="37"/>
        <v>OK</v>
      </c>
    </row>
    <row r="146" spans="1:24" ht="14.25" outlineLevel="2">
      <c r="A146" s="279" t="s">
        <v>316</v>
      </c>
      <c r="B146" s="280"/>
      <c r="C146" s="280"/>
      <c r="D146" s="281"/>
      <c r="E146" s="87" t="s">
        <v>368</v>
      </c>
      <c r="F146" s="99"/>
      <c r="G146" s="100"/>
      <c r="H146" s="100"/>
      <c r="I146" s="107"/>
      <c r="J146" s="104" t="str">
        <f aca="true" t="shared" si="38" ref="J146:X146">IF(J19&gt;=(J20+J22+J23),"OK","BŁĄD")</f>
        <v>OK</v>
      </c>
      <c r="K146" s="81" t="str">
        <f t="shared" si="38"/>
        <v>OK</v>
      </c>
      <c r="L146" s="81" t="str">
        <f t="shared" si="38"/>
        <v>OK</v>
      </c>
      <c r="M146" s="81" t="str">
        <f t="shared" si="38"/>
        <v>OK</v>
      </c>
      <c r="N146" s="81" t="str">
        <f t="shared" si="38"/>
        <v>OK</v>
      </c>
      <c r="O146" s="81" t="str">
        <f t="shared" si="38"/>
        <v>OK</v>
      </c>
      <c r="P146" s="81" t="str">
        <f t="shared" si="38"/>
        <v>OK</v>
      </c>
      <c r="Q146" s="81" t="str">
        <f t="shared" si="38"/>
        <v>OK</v>
      </c>
      <c r="R146" s="81" t="str">
        <f t="shared" si="38"/>
        <v>OK</v>
      </c>
      <c r="S146" s="81" t="str">
        <f t="shared" si="38"/>
        <v>OK</v>
      </c>
      <c r="T146" s="81" t="str">
        <f t="shared" si="38"/>
        <v>OK</v>
      </c>
      <c r="U146" s="81" t="str">
        <f t="shared" si="38"/>
        <v>OK</v>
      </c>
      <c r="V146" s="81" t="str">
        <f t="shared" si="38"/>
        <v>OK</v>
      </c>
      <c r="W146" s="81" t="str">
        <f t="shared" si="38"/>
        <v>OK</v>
      </c>
      <c r="X146" s="81" t="str">
        <f t="shared" si="38"/>
        <v>OK</v>
      </c>
    </row>
    <row r="147" spans="1:24" ht="14.25" outlineLevel="2">
      <c r="A147" s="279" t="s">
        <v>317</v>
      </c>
      <c r="B147" s="280"/>
      <c r="C147" s="280"/>
      <c r="D147" s="281"/>
      <c r="E147" s="87" t="s">
        <v>369</v>
      </c>
      <c r="F147" s="99"/>
      <c r="G147" s="100"/>
      <c r="H147" s="100"/>
      <c r="I147" s="107"/>
      <c r="J147" s="104" t="str">
        <f aca="true" t="shared" si="39" ref="J147:X147">IF(J19&gt;=J65,"OK","BŁĄD")</f>
        <v>OK</v>
      </c>
      <c r="K147" s="81" t="str">
        <f t="shared" si="39"/>
        <v>OK</v>
      </c>
      <c r="L147" s="81" t="str">
        <f t="shared" si="39"/>
        <v>OK</v>
      </c>
      <c r="M147" s="81" t="str">
        <f t="shared" si="39"/>
        <v>OK</v>
      </c>
      <c r="N147" s="81" t="str">
        <f t="shared" si="39"/>
        <v>OK</v>
      </c>
      <c r="O147" s="81" t="str">
        <f t="shared" si="39"/>
        <v>OK</v>
      </c>
      <c r="P147" s="81" t="str">
        <f t="shared" si="39"/>
        <v>OK</v>
      </c>
      <c r="Q147" s="81" t="str">
        <f t="shared" si="39"/>
        <v>OK</v>
      </c>
      <c r="R147" s="81" t="str">
        <f t="shared" si="39"/>
        <v>OK</v>
      </c>
      <c r="S147" s="81" t="str">
        <f t="shared" si="39"/>
        <v>OK</v>
      </c>
      <c r="T147" s="81" t="str">
        <f t="shared" si="39"/>
        <v>OK</v>
      </c>
      <c r="U147" s="81" t="str">
        <f t="shared" si="39"/>
        <v>OK</v>
      </c>
      <c r="V147" s="81" t="str">
        <f t="shared" si="39"/>
        <v>OK</v>
      </c>
      <c r="W147" s="81" t="str">
        <f t="shared" si="39"/>
        <v>OK</v>
      </c>
      <c r="X147" s="81" t="str">
        <f t="shared" si="39"/>
        <v>OK</v>
      </c>
    </row>
    <row r="148" spans="1:24" ht="14.25" outlineLevel="2">
      <c r="A148" s="279" t="s">
        <v>318</v>
      </c>
      <c r="B148" s="280"/>
      <c r="C148" s="280"/>
      <c r="D148" s="281"/>
      <c r="E148" s="87" t="s">
        <v>370</v>
      </c>
      <c r="F148" s="99"/>
      <c r="G148" s="100"/>
      <c r="H148" s="100"/>
      <c r="I148" s="107"/>
      <c r="J148" s="104" t="str">
        <f aca="true" t="shared" si="40" ref="J148:X148">IF(J19&gt;=J68,"OK","BŁĄD")</f>
        <v>OK</v>
      </c>
      <c r="K148" s="81" t="str">
        <f t="shared" si="40"/>
        <v>OK</v>
      </c>
      <c r="L148" s="81" t="str">
        <f t="shared" si="40"/>
        <v>OK</v>
      </c>
      <c r="M148" s="81" t="str">
        <f t="shared" si="40"/>
        <v>OK</v>
      </c>
      <c r="N148" s="81" t="str">
        <f t="shared" si="40"/>
        <v>OK</v>
      </c>
      <c r="O148" s="81" t="str">
        <f t="shared" si="40"/>
        <v>OK</v>
      </c>
      <c r="P148" s="81" t="str">
        <f t="shared" si="40"/>
        <v>OK</v>
      </c>
      <c r="Q148" s="81" t="str">
        <f t="shared" si="40"/>
        <v>OK</v>
      </c>
      <c r="R148" s="81" t="str">
        <f t="shared" si="40"/>
        <v>OK</v>
      </c>
      <c r="S148" s="81" t="str">
        <f t="shared" si="40"/>
        <v>OK</v>
      </c>
      <c r="T148" s="81" t="str">
        <f t="shared" si="40"/>
        <v>OK</v>
      </c>
      <c r="U148" s="81" t="str">
        <f t="shared" si="40"/>
        <v>OK</v>
      </c>
      <c r="V148" s="81" t="str">
        <f t="shared" si="40"/>
        <v>OK</v>
      </c>
      <c r="W148" s="81" t="str">
        <f t="shared" si="40"/>
        <v>OK</v>
      </c>
      <c r="X148" s="81" t="str">
        <f t="shared" si="40"/>
        <v>OK</v>
      </c>
    </row>
    <row r="149" spans="1:24" ht="14.25" outlineLevel="2">
      <c r="A149" s="279" t="s">
        <v>319</v>
      </c>
      <c r="B149" s="280"/>
      <c r="C149" s="280"/>
      <c r="D149" s="281"/>
      <c r="E149" s="87" t="s">
        <v>371</v>
      </c>
      <c r="F149" s="99"/>
      <c r="G149" s="100"/>
      <c r="H149" s="100"/>
      <c r="I149" s="107"/>
      <c r="J149" s="104" t="str">
        <f aca="true" t="shared" si="41" ref="J149:X149">IF(J19&gt;=J80,"OK","BŁĄD")</f>
        <v>OK</v>
      </c>
      <c r="K149" s="81" t="str">
        <f t="shared" si="41"/>
        <v>OK</v>
      </c>
      <c r="L149" s="81" t="str">
        <f t="shared" si="41"/>
        <v>OK</v>
      </c>
      <c r="M149" s="81" t="str">
        <f t="shared" si="41"/>
        <v>OK</v>
      </c>
      <c r="N149" s="81" t="str">
        <f t="shared" si="41"/>
        <v>OK</v>
      </c>
      <c r="O149" s="81" t="str">
        <f t="shared" si="41"/>
        <v>OK</v>
      </c>
      <c r="P149" s="81" t="str">
        <f t="shared" si="41"/>
        <v>OK</v>
      </c>
      <c r="Q149" s="81" t="str">
        <f t="shared" si="41"/>
        <v>OK</v>
      </c>
      <c r="R149" s="81" t="str">
        <f t="shared" si="41"/>
        <v>OK</v>
      </c>
      <c r="S149" s="81" t="str">
        <f t="shared" si="41"/>
        <v>OK</v>
      </c>
      <c r="T149" s="81" t="str">
        <f t="shared" si="41"/>
        <v>OK</v>
      </c>
      <c r="U149" s="81" t="str">
        <f t="shared" si="41"/>
        <v>OK</v>
      </c>
      <c r="V149" s="81" t="str">
        <f t="shared" si="41"/>
        <v>OK</v>
      </c>
      <c r="W149" s="81" t="str">
        <f t="shared" si="41"/>
        <v>OK</v>
      </c>
      <c r="X149" s="81" t="str">
        <f t="shared" si="41"/>
        <v>OK</v>
      </c>
    </row>
    <row r="150" spans="1:24" ht="14.25" outlineLevel="2">
      <c r="A150" s="279" t="s">
        <v>320</v>
      </c>
      <c r="B150" s="280"/>
      <c r="C150" s="280"/>
      <c r="D150" s="281"/>
      <c r="E150" s="87" t="s">
        <v>372</v>
      </c>
      <c r="F150" s="99"/>
      <c r="G150" s="100"/>
      <c r="H150" s="100"/>
      <c r="I150" s="107"/>
      <c r="J150" s="104" t="str">
        <f aca="true" t="shared" si="42" ref="J150:X150">IF(J19&gt;=J93,"OK","BŁĄD")</f>
        <v>OK</v>
      </c>
      <c r="K150" s="81" t="str">
        <f t="shared" si="42"/>
        <v>OK</v>
      </c>
      <c r="L150" s="81" t="str">
        <f t="shared" si="42"/>
        <v>OK</v>
      </c>
      <c r="M150" s="81" t="str">
        <f t="shared" si="42"/>
        <v>OK</v>
      </c>
      <c r="N150" s="81" t="str">
        <f t="shared" si="42"/>
        <v>OK</v>
      </c>
      <c r="O150" s="81" t="str">
        <f t="shared" si="42"/>
        <v>OK</v>
      </c>
      <c r="P150" s="81" t="str">
        <f t="shared" si="42"/>
        <v>OK</v>
      </c>
      <c r="Q150" s="81" t="str">
        <f t="shared" si="42"/>
        <v>OK</v>
      </c>
      <c r="R150" s="81" t="str">
        <f t="shared" si="42"/>
        <v>OK</v>
      </c>
      <c r="S150" s="81" t="str">
        <f t="shared" si="42"/>
        <v>OK</v>
      </c>
      <c r="T150" s="81" t="str">
        <f t="shared" si="42"/>
        <v>OK</v>
      </c>
      <c r="U150" s="81" t="str">
        <f t="shared" si="42"/>
        <v>OK</v>
      </c>
      <c r="V150" s="81" t="str">
        <f t="shared" si="42"/>
        <v>OK</v>
      </c>
      <c r="W150" s="81" t="str">
        <f t="shared" si="42"/>
        <v>OK</v>
      </c>
      <c r="X150" s="81" t="str">
        <f t="shared" si="42"/>
        <v>OK</v>
      </c>
    </row>
    <row r="151" spans="1:24" ht="14.25" outlineLevel="2">
      <c r="A151" s="279" t="s">
        <v>321</v>
      </c>
      <c r="B151" s="280"/>
      <c r="C151" s="280"/>
      <c r="D151" s="281"/>
      <c r="E151" s="87" t="s">
        <v>373</v>
      </c>
      <c r="F151" s="99"/>
      <c r="G151" s="100"/>
      <c r="H151" s="100"/>
      <c r="I151" s="107"/>
      <c r="J151" s="104" t="str">
        <f aca="true" t="shared" si="43" ref="J151:X151">IF(J25&gt;=J69,"OK","BŁĄD")</f>
        <v>OK</v>
      </c>
      <c r="K151" s="81" t="str">
        <f t="shared" si="43"/>
        <v>OK</v>
      </c>
      <c r="L151" s="81" t="str">
        <f t="shared" si="43"/>
        <v>OK</v>
      </c>
      <c r="M151" s="81" t="str">
        <f t="shared" si="43"/>
        <v>OK</v>
      </c>
      <c r="N151" s="81" t="str">
        <f t="shared" si="43"/>
        <v>OK</v>
      </c>
      <c r="O151" s="81" t="str">
        <f t="shared" si="43"/>
        <v>OK</v>
      </c>
      <c r="P151" s="81" t="str">
        <f t="shared" si="43"/>
        <v>OK</v>
      </c>
      <c r="Q151" s="81" t="str">
        <f t="shared" si="43"/>
        <v>OK</v>
      </c>
      <c r="R151" s="81" t="str">
        <f t="shared" si="43"/>
        <v>OK</v>
      </c>
      <c r="S151" s="81" t="str">
        <f t="shared" si="43"/>
        <v>OK</v>
      </c>
      <c r="T151" s="81" t="str">
        <f t="shared" si="43"/>
        <v>OK</v>
      </c>
      <c r="U151" s="81" t="str">
        <f t="shared" si="43"/>
        <v>OK</v>
      </c>
      <c r="V151" s="81" t="str">
        <f t="shared" si="43"/>
        <v>OK</v>
      </c>
      <c r="W151" s="81" t="str">
        <f t="shared" si="43"/>
        <v>OK</v>
      </c>
      <c r="X151" s="81" t="str">
        <f t="shared" si="43"/>
        <v>OK</v>
      </c>
    </row>
    <row r="152" spans="1:24" ht="14.25" outlineLevel="2">
      <c r="A152" s="279" t="s">
        <v>322</v>
      </c>
      <c r="B152" s="280"/>
      <c r="C152" s="280"/>
      <c r="D152" s="281"/>
      <c r="E152" s="87" t="s">
        <v>374</v>
      </c>
      <c r="F152" s="99"/>
      <c r="G152" s="100"/>
      <c r="H152" s="100"/>
      <c r="I152" s="107"/>
      <c r="J152" s="104" t="str">
        <f aca="true" t="shared" si="44" ref="J152:X152">IF(J25&gt;=J70+J71,"OK","BŁĄD")</f>
        <v>OK</v>
      </c>
      <c r="K152" s="81" t="str">
        <f t="shared" si="44"/>
        <v>OK</v>
      </c>
      <c r="L152" s="81" t="str">
        <f t="shared" si="44"/>
        <v>OK</v>
      </c>
      <c r="M152" s="81" t="str">
        <f t="shared" si="44"/>
        <v>OK</v>
      </c>
      <c r="N152" s="81" t="str">
        <f t="shared" si="44"/>
        <v>OK</v>
      </c>
      <c r="O152" s="81" t="str">
        <f t="shared" si="44"/>
        <v>OK</v>
      </c>
      <c r="P152" s="81" t="str">
        <f t="shared" si="44"/>
        <v>OK</v>
      </c>
      <c r="Q152" s="81" t="str">
        <f t="shared" si="44"/>
        <v>OK</v>
      </c>
      <c r="R152" s="81" t="str">
        <f t="shared" si="44"/>
        <v>OK</v>
      </c>
      <c r="S152" s="81" t="str">
        <f t="shared" si="44"/>
        <v>OK</v>
      </c>
      <c r="T152" s="81" t="str">
        <f t="shared" si="44"/>
        <v>OK</v>
      </c>
      <c r="U152" s="81" t="str">
        <f t="shared" si="44"/>
        <v>OK</v>
      </c>
      <c r="V152" s="81" t="str">
        <f t="shared" si="44"/>
        <v>OK</v>
      </c>
      <c r="W152" s="81" t="str">
        <f t="shared" si="44"/>
        <v>OK</v>
      </c>
      <c r="X152" s="81" t="str">
        <f t="shared" si="44"/>
        <v>OK</v>
      </c>
    </row>
    <row r="153" spans="1:24" ht="14.25" outlineLevel="2">
      <c r="A153" s="279" t="s">
        <v>323</v>
      </c>
      <c r="B153" s="280"/>
      <c r="C153" s="280"/>
      <c r="D153" s="281"/>
      <c r="E153" s="87" t="s">
        <v>375</v>
      </c>
      <c r="F153" s="99"/>
      <c r="G153" s="100"/>
      <c r="H153" s="100"/>
      <c r="I153" s="107"/>
      <c r="J153" s="104" t="str">
        <f aca="true" t="shared" si="45" ref="J153:X153">IF(J25&gt;=J72,"OK","BŁĄD")</f>
        <v>OK</v>
      </c>
      <c r="K153" s="81" t="str">
        <f t="shared" si="45"/>
        <v>OK</v>
      </c>
      <c r="L153" s="81" t="str">
        <f t="shared" si="45"/>
        <v>OK</v>
      </c>
      <c r="M153" s="81" t="str">
        <f t="shared" si="45"/>
        <v>OK</v>
      </c>
      <c r="N153" s="81" t="str">
        <f t="shared" si="45"/>
        <v>OK</v>
      </c>
      <c r="O153" s="81" t="str">
        <f t="shared" si="45"/>
        <v>OK</v>
      </c>
      <c r="P153" s="81" t="str">
        <f t="shared" si="45"/>
        <v>OK</v>
      </c>
      <c r="Q153" s="81" t="str">
        <f t="shared" si="45"/>
        <v>OK</v>
      </c>
      <c r="R153" s="81" t="str">
        <f t="shared" si="45"/>
        <v>OK</v>
      </c>
      <c r="S153" s="81" t="str">
        <f t="shared" si="45"/>
        <v>OK</v>
      </c>
      <c r="T153" s="81" t="str">
        <f t="shared" si="45"/>
        <v>OK</v>
      </c>
      <c r="U153" s="81" t="str">
        <f t="shared" si="45"/>
        <v>OK</v>
      </c>
      <c r="V153" s="81" t="str">
        <f t="shared" si="45"/>
        <v>OK</v>
      </c>
      <c r="W153" s="81" t="str">
        <f t="shared" si="45"/>
        <v>OK</v>
      </c>
      <c r="X153" s="81" t="str">
        <f t="shared" si="45"/>
        <v>OK</v>
      </c>
    </row>
    <row r="154" spans="1:24" ht="14.25" outlineLevel="2">
      <c r="A154" s="279" t="s">
        <v>324</v>
      </c>
      <c r="B154" s="280"/>
      <c r="C154" s="280"/>
      <c r="D154" s="281"/>
      <c r="E154" s="87" t="s">
        <v>376</v>
      </c>
      <c r="F154" s="99"/>
      <c r="G154" s="100"/>
      <c r="H154" s="100"/>
      <c r="I154" s="107"/>
      <c r="J154" s="104" t="str">
        <f aca="true" t="shared" si="46" ref="J154:X154">IF(J25&gt;=J83,"OK","BŁĄD")</f>
        <v>OK</v>
      </c>
      <c r="K154" s="81" t="str">
        <f t="shared" si="46"/>
        <v>OK</v>
      </c>
      <c r="L154" s="81" t="str">
        <f t="shared" si="46"/>
        <v>OK</v>
      </c>
      <c r="M154" s="81" t="str">
        <f t="shared" si="46"/>
        <v>OK</v>
      </c>
      <c r="N154" s="81" t="str">
        <f t="shared" si="46"/>
        <v>OK</v>
      </c>
      <c r="O154" s="81" t="str">
        <f t="shared" si="46"/>
        <v>OK</v>
      </c>
      <c r="P154" s="81" t="str">
        <f t="shared" si="46"/>
        <v>OK</v>
      </c>
      <c r="Q154" s="81" t="str">
        <f t="shared" si="46"/>
        <v>OK</v>
      </c>
      <c r="R154" s="81" t="str">
        <f t="shared" si="46"/>
        <v>OK</v>
      </c>
      <c r="S154" s="81" t="str">
        <f t="shared" si="46"/>
        <v>OK</v>
      </c>
      <c r="T154" s="81" t="str">
        <f t="shared" si="46"/>
        <v>OK</v>
      </c>
      <c r="U154" s="81" t="str">
        <f t="shared" si="46"/>
        <v>OK</v>
      </c>
      <c r="V154" s="81" t="str">
        <f t="shared" si="46"/>
        <v>OK</v>
      </c>
      <c r="W154" s="81" t="str">
        <f t="shared" si="46"/>
        <v>OK</v>
      </c>
      <c r="X154" s="81" t="str">
        <f t="shared" si="46"/>
        <v>OK</v>
      </c>
    </row>
    <row r="155" spans="1:24" ht="14.25" outlineLevel="2">
      <c r="A155" s="279" t="s">
        <v>325</v>
      </c>
      <c r="B155" s="280"/>
      <c r="C155" s="280"/>
      <c r="D155" s="281"/>
      <c r="E155" s="87" t="s">
        <v>377</v>
      </c>
      <c r="F155" s="99"/>
      <c r="G155" s="100"/>
      <c r="H155" s="100"/>
      <c r="I155" s="107"/>
      <c r="J155" s="104" t="str">
        <f aca="true" t="shared" si="47" ref="J155:X155">IF(J28&gt;=J29,"OK","BŁĄD")</f>
        <v>OK</v>
      </c>
      <c r="K155" s="81" t="str">
        <f t="shared" si="47"/>
        <v>OK</v>
      </c>
      <c r="L155" s="81" t="str">
        <f t="shared" si="47"/>
        <v>OK</v>
      </c>
      <c r="M155" s="81" t="str">
        <f t="shared" si="47"/>
        <v>OK</v>
      </c>
      <c r="N155" s="81" t="str">
        <f t="shared" si="47"/>
        <v>OK</v>
      </c>
      <c r="O155" s="81" t="str">
        <f t="shared" si="47"/>
        <v>OK</v>
      </c>
      <c r="P155" s="81" t="str">
        <f t="shared" si="47"/>
        <v>OK</v>
      </c>
      <c r="Q155" s="81" t="str">
        <f t="shared" si="47"/>
        <v>OK</v>
      </c>
      <c r="R155" s="81" t="str">
        <f t="shared" si="47"/>
        <v>OK</v>
      </c>
      <c r="S155" s="81" t="str">
        <f t="shared" si="47"/>
        <v>OK</v>
      </c>
      <c r="T155" s="81" t="str">
        <f t="shared" si="47"/>
        <v>OK</v>
      </c>
      <c r="U155" s="81" t="str">
        <f t="shared" si="47"/>
        <v>OK</v>
      </c>
      <c r="V155" s="81" t="str">
        <f t="shared" si="47"/>
        <v>OK</v>
      </c>
      <c r="W155" s="81" t="str">
        <f t="shared" si="47"/>
        <v>OK</v>
      </c>
      <c r="X155" s="81" t="str">
        <f t="shared" si="47"/>
        <v>OK</v>
      </c>
    </row>
    <row r="156" spans="1:24" ht="14.25" outlineLevel="2">
      <c r="A156" s="279" t="s">
        <v>326</v>
      </c>
      <c r="B156" s="280"/>
      <c r="C156" s="280"/>
      <c r="D156" s="281"/>
      <c r="E156" s="87" t="s">
        <v>378</v>
      </c>
      <c r="F156" s="99"/>
      <c r="G156" s="100"/>
      <c r="H156" s="100"/>
      <c r="I156" s="107"/>
      <c r="J156" s="104" t="str">
        <f aca="true" t="shared" si="48" ref="J156:X156">IF(J30&gt;=J31,"OK","BŁĄD")</f>
        <v>OK</v>
      </c>
      <c r="K156" s="81" t="str">
        <f t="shared" si="48"/>
        <v>OK</v>
      </c>
      <c r="L156" s="81" t="str">
        <f t="shared" si="48"/>
        <v>OK</v>
      </c>
      <c r="M156" s="81" t="str">
        <f t="shared" si="48"/>
        <v>OK</v>
      </c>
      <c r="N156" s="81" t="str">
        <f t="shared" si="48"/>
        <v>OK</v>
      </c>
      <c r="O156" s="81" t="str">
        <f t="shared" si="48"/>
        <v>OK</v>
      </c>
      <c r="P156" s="81" t="str">
        <f t="shared" si="48"/>
        <v>OK</v>
      </c>
      <c r="Q156" s="81" t="str">
        <f t="shared" si="48"/>
        <v>OK</v>
      </c>
      <c r="R156" s="81" t="str">
        <f t="shared" si="48"/>
        <v>OK</v>
      </c>
      <c r="S156" s="81" t="str">
        <f t="shared" si="48"/>
        <v>OK</v>
      </c>
      <c r="T156" s="81" t="str">
        <f t="shared" si="48"/>
        <v>OK</v>
      </c>
      <c r="U156" s="81" t="str">
        <f t="shared" si="48"/>
        <v>OK</v>
      </c>
      <c r="V156" s="81" t="str">
        <f t="shared" si="48"/>
        <v>OK</v>
      </c>
      <c r="W156" s="81" t="str">
        <f t="shared" si="48"/>
        <v>OK</v>
      </c>
      <c r="X156" s="81" t="str">
        <f t="shared" si="48"/>
        <v>OK</v>
      </c>
    </row>
    <row r="157" spans="1:24" ht="14.25" outlineLevel="2">
      <c r="A157" s="279" t="s">
        <v>327</v>
      </c>
      <c r="B157" s="280"/>
      <c r="C157" s="280"/>
      <c r="D157" s="281"/>
      <c r="E157" s="87" t="s">
        <v>379</v>
      </c>
      <c r="F157" s="99"/>
      <c r="G157" s="100"/>
      <c r="H157" s="100"/>
      <c r="I157" s="107"/>
      <c r="J157" s="104" t="str">
        <f aca="true" t="shared" si="49" ref="J157:X157">IF(J32&gt;=J33,"OK","BŁĄD")</f>
        <v>OK</v>
      </c>
      <c r="K157" s="81" t="str">
        <f t="shared" si="49"/>
        <v>OK</v>
      </c>
      <c r="L157" s="81" t="str">
        <f t="shared" si="49"/>
        <v>OK</v>
      </c>
      <c r="M157" s="81" t="str">
        <f t="shared" si="49"/>
        <v>OK</v>
      </c>
      <c r="N157" s="81" t="str">
        <f t="shared" si="49"/>
        <v>OK</v>
      </c>
      <c r="O157" s="81" t="str">
        <f t="shared" si="49"/>
        <v>OK</v>
      </c>
      <c r="P157" s="81" t="str">
        <f t="shared" si="49"/>
        <v>OK</v>
      </c>
      <c r="Q157" s="81" t="str">
        <f t="shared" si="49"/>
        <v>OK</v>
      </c>
      <c r="R157" s="81" t="str">
        <f t="shared" si="49"/>
        <v>OK</v>
      </c>
      <c r="S157" s="81" t="str">
        <f t="shared" si="49"/>
        <v>OK</v>
      </c>
      <c r="T157" s="81" t="str">
        <f t="shared" si="49"/>
        <v>OK</v>
      </c>
      <c r="U157" s="81" t="str">
        <f t="shared" si="49"/>
        <v>OK</v>
      </c>
      <c r="V157" s="81" t="str">
        <f t="shared" si="49"/>
        <v>OK</v>
      </c>
      <c r="W157" s="81" t="str">
        <f t="shared" si="49"/>
        <v>OK</v>
      </c>
      <c r="X157" s="81" t="str">
        <f t="shared" si="49"/>
        <v>OK</v>
      </c>
    </row>
    <row r="158" spans="1:24" ht="14.25" outlineLevel="2">
      <c r="A158" s="279" t="s">
        <v>328</v>
      </c>
      <c r="B158" s="280"/>
      <c r="C158" s="280"/>
      <c r="D158" s="281"/>
      <c r="E158" s="87" t="s">
        <v>380</v>
      </c>
      <c r="F158" s="99"/>
      <c r="G158" s="100"/>
      <c r="H158" s="100"/>
      <c r="I158" s="107"/>
      <c r="J158" s="104" t="str">
        <f aca="true" t="shared" si="50" ref="J158:X158">IF(J34&gt;=J35,"OK","BŁĄD")</f>
        <v>OK</v>
      </c>
      <c r="K158" s="81" t="str">
        <f t="shared" si="50"/>
        <v>OK</v>
      </c>
      <c r="L158" s="81" t="str">
        <f t="shared" si="50"/>
        <v>OK</v>
      </c>
      <c r="M158" s="81" t="str">
        <f t="shared" si="50"/>
        <v>OK</v>
      </c>
      <c r="N158" s="81" t="str">
        <f t="shared" si="50"/>
        <v>OK</v>
      </c>
      <c r="O158" s="81" t="str">
        <f t="shared" si="50"/>
        <v>OK</v>
      </c>
      <c r="P158" s="81" t="str">
        <f t="shared" si="50"/>
        <v>OK</v>
      </c>
      <c r="Q158" s="81" t="str">
        <f t="shared" si="50"/>
        <v>OK</v>
      </c>
      <c r="R158" s="81" t="str">
        <f t="shared" si="50"/>
        <v>OK</v>
      </c>
      <c r="S158" s="81" t="str">
        <f t="shared" si="50"/>
        <v>OK</v>
      </c>
      <c r="T158" s="81" t="str">
        <f t="shared" si="50"/>
        <v>OK</v>
      </c>
      <c r="U158" s="81" t="str">
        <f t="shared" si="50"/>
        <v>OK</v>
      </c>
      <c r="V158" s="81" t="str">
        <f t="shared" si="50"/>
        <v>OK</v>
      </c>
      <c r="W158" s="81" t="str">
        <f t="shared" si="50"/>
        <v>OK</v>
      </c>
      <c r="X158" s="81" t="str">
        <f t="shared" si="50"/>
        <v>OK</v>
      </c>
    </row>
    <row r="159" spans="1:24" ht="14.25" outlineLevel="2">
      <c r="A159" s="279" t="s">
        <v>332</v>
      </c>
      <c r="B159" s="280"/>
      <c r="C159" s="280"/>
      <c r="D159" s="281"/>
      <c r="E159" s="87" t="s">
        <v>384</v>
      </c>
      <c r="F159" s="99"/>
      <c r="G159" s="100"/>
      <c r="H159" s="100"/>
      <c r="I159" s="107"/>
      <c r="J159" s="104" t="str">
        <f aca="true" t="shared" si="51" ref="J159:X159">IF(J37&gt;=J38,"OK","BŁĄD")</f>
        <v>OK</v>
      </c>
      <c r="K159" s="81" t="str">
        <f t="shared" si="51"/>
        <v>OK</v>
      </c>
      <c r="L159" s="81" t="str">
        <f t="shared" si="51"/>
        <v>OK</v>
      </c>
      <c r="M159" s="81" t="str">
        <f t="shared" si="51"/>
        <v>OK</v>
      </c>
      <c r="N159" s="81" t="str">
        <f t="shared" si="51"/>
        <v>OK</v>
      </c>
      <c r="O159" s="81" t="str">
        <f t="shared" si="51"/>
        <v>OK</v>
      </c>
      <c r="P159" s="81" t="str">
        <f t="shared" si="51"/>
        <v>OK</v>
      </c>
      <c r="Q159" s="81" t="str">
        <f t="shared" si="51"/>
        <v>OK</v>
      </c>
      <c r="R159" s="81" t="str">
        <f t="shared" si="51"/>
        <v>OK</v>
      </c>
      <c r="S159" s="81" t="str">
        <f t="shared" si="51"/>
        <v>OK</v>
      </c>
      <c r="T159" s="81" t="str">
        <f t="shared" si="51"/>
        <v>OK</v>
      </c>
      <c r="U159" s="81" t="str">
        <f t="shared" si="51"/>
        <v>OK</v>
      </c>
      <c r="V159" s="81" t="str">
        <f t="shared" si="51"/>
        <v>OK</v>
      </c>
      <c r="W159" s="81" t="str">
        <f t="shared" si="51"/>
        <v>OK</v>
      </c>
      <c r="X159" s="81" t="str">
        <f t="shared" si="51"/>
        <v>OK</v>
      </c>
    </row>
    <row r="160" spans="1:24" ht="14.25" outlineLevel="2">
      <c r="A160" s="279" t="s">
        <v>329</v>
      </c>
      <c r="B160" s="280"/>
      <c r="C160" s="280"/>
      <c r="D160" s="281"/>
      <c r="E160" s="87" t="s">
        <v>381</v>
      </c>
      <c r="F160" s="99"/>
      <c r="G160" s="100"/>
      <c r="H160" s="100"/>
      <c r="I160" s="107"/>
      <c r="J160" s="104" t="str">
        <f aca="true" t="shared" si="52" ref="J160:X160">IF(J38&gt;=J39,"OK","BŁĄD")</f>
        <v>OK</v>
      </c>
      <c r="K160" s="81" t="str">
        <f t="shared" si="52"/>
        <v>OK</v>
      </c>
      <c r="L160" s="81" t="str">
        <f t="shared" si="52"/>
        <v>OK</v>
      </c>
      <c r="M160" s="81" t="str">
        <f t="shared" si="52"/>
        <v>OK</v>
      </c>
      <c r="N160" s="81" t="str">
        <f t="shared" si="52"/>
        <v>OK</v>
      </c>
      <c r="O160" s="81" t="str">
        <f t="shared" si="52"/>
        <v>OK</v>
      </c>
      <c r="P160" s="81" t="str">
        <f t="shared" si="52"/>
        <v>OK</v>
      </c>
      <c r="Q160" s="81" t="str">
        <f t="shared" si="52"/>
        <v>OK</v>
      </c>
      <c r="R160" s="81" t="str">
        <f t="shared" si="52"/>
        <v>OK</v>
      </c>
      <c r="S160" s="81" t="str">
        <f t="shared" si="52"/>
        <v>OK</v>
      </c>
      <c r="T160" s="81" t="str">
        <f t="shared" si="52"/>
        <v>OK</v>
      </c>
      <c r="U160" s="81" t="str">
        <f t="shared" si="52"/>
        <v>OK</v>
      </c>
      <c r="V160" s="81" t="str">
        <f t="shared" si="52"/>
        <v>OK</v>
      </c>
      <c r="W160" s="81" t="str">
        <f t="shared" si="52"/>
        <v>OK</v>
      </c>
      <c r="X160" s="81" t="str">
        <f t="shared" si="52"/>
        <v>OK</v>
      </c>
    </row>
    <row r="161" spans="1:24" ht="14.25" outlineLevel="2">
      <c r="A161" s="279" t="s">
        <v>330</v>
      </c>
      <c r="B161" s="280"/>
      <c r="C161" s="280"/>
      <c r="D161" s="281"/>
      <c r="E161" s="87" t="s">
        <v>382</v>
      </c>
      <c r="F161" s="99"/>
      <c r="G161" s="100"/>
      <c r="H161" s="100"/>
      <c r="I161" s="107"/>
      <c r="J161" s="104" t="str">
        <f aca="true" t="shared" si="53" ref="J161:X161">IF(J37&gt;=J63,"OK","BŁĄD")</f>
        <v>OK</v>
      </c>
      <c r="K161" s="81" t="str">
        <f t="shared" si="53"/>
        <v>OK</v>
      </c>
      <c r="L161" s="81" t="str">
        <f t="shared" si="53"/>
        <v>OK</v>
      </c>
      <c r="M161" s="81" t="str">
        <f t="shared" si="53"/>
        <v>OK</v>
      </c>
      <c r="N161" s="81" t="str">
        <f t="shared" si="53"/>
        <v>OK</v>
      </c>
      <c r="O161" s="81" t="str">
        <f t="shared" si="53"/>
        <v>OK</v>
      </c>
      <c r="P161" s="81" t="str">
        <f t="shared" si="53"/>
        <v>OK</v>
      </c>
      <c r="Q161" s="81" t="str">
        <f t="shared" si="53"/>
        <v>OK</v>
      </c>
      <c r="R161" s="81" t="str">
        <f t="shared" si="53"/>
        <v>OK</v>
      </c>
      <c r="S161" s="81" t="str">
        <f t="shared" si="53"/>
        <v>OK</v>
      </c>
      <c r="T161" s="81" t="str">
        <f t="shared" si="53"/>
        <v>OK</v>
      </c>
      <c r="U161" s="81" t="str">
        <f t="shared" si="53"/>
        <v>OK</v>
      </c>
      <c r="V161" s="81" t="str">
        <f t="shared" si="53"/>
        <v>OK</v>
      </c>
      <c r="W161" s="81" t="str">
        <f t="shared" si="53"/>
        <v>OK</v>
      </c>
      <c r="X161" s="81" t="str">
        <f t="shared" si="53"/>
        <v>OK</v>
      </c>
    </row>
    <row r="162" spans="1:24" ht="14.25" outlineLevel="2">
      <c r="A162" s="279" t="s">
        <v>331</v>
      </c>
      <c r="B162" s="280"/>
      <c r="C162" s="280"/>
      <c r="D162" s="281"/>
      <c r="E162" s="87" t="s">
        <v>383</v>
      </c>
      <c r="F162" s="99"/>
      <c r="G162" s="100"/>
      <c r="H162" s="100"/>
      <c r="I162" s="107"/>
      <c r="J162" s="104" t="str">
        <f aca="true" t="shared" si="54" ref="J162:X162">IF(J37&gt;=J95,"OK","BŁĄD")</f>
        <v>OK</v>
      </c>
      <c r="K162" s="81" t="str">
        <f t="shared" si="54"/>
        <v>OK</v>
      </c>
      <c r="L162" s="81" t="str">
        <f t="shared" si="54"/>
        <v>OK</v>
      </c>
      <c r="M162" s="81" t="str">
        <f t="shared" si="54"/>
        <v>OK</v>
      </c>
      <c r="N162" s="81" t="str">
        <f t="shared" si="54"/>
        <v>OK</v>
      </c>
      <c r="O162" s="81" t="str">
        <f t="shared" si="54"/>
        <v>OK</v>
      </c>
      <c r="P162" s="81" t="str">
        <f t="shared" si="54"/>
        <v>OK</v>
      </c>
      <c r="Q162" s="81" t="str">
        <f t="shared" si="54"/>
        <v>OK</v>
      </c>
      <c r="R162" s="81" t="str">
        <f t="shared" si="54"/>
        <v>OK</v>
      </c>
      <c r="S162" s="81" t="str">
        <f t="shared" si="54"/>
        <v>OK</v>
      </c>
      <c r="T162" s="81" t="str">
        <f t="shared" si="54"/>
        <v>OK</v>
      </c>
      <c r="U162" s="81" t="str">
        <f t="shared" si="54"/>
        <v>OK</v>
      </c>
      <c r="V162" s="81" t="str">
        <f t="shared" si="54"/>
        <v>OK</v>
      </c>
      <c r="W162" s="81" t="str">
        <f t="shared" si="54"/>
        <v>OK</v>
      </c>
      <c r="X162" s="81" t="str">
        <f t="shared" si="54"/>
        <v>OK</v>
      </c>
    </row>
    <row r="163" spans="1:24" ht="14.25" outlineLevel="2">
      <c r="A163" s="279" t="s">
        <v>335</v>
      </c>
      <c r="B163" s="280"/>
      <c r="C163" s="280"/>
      <c r="D163" s="281"/>
      <c r="E163" s="87" t="s">
        <v>387</v>
      </c>
      <c r="F163" s="99"/>
      <c r="G163" s="100"/>
      <c r="H163" s="100"/>
      <c r="I163" s="107"/>
      <c r="J163" s="104" t="str">
        <f aca="true" t="shared" si="55" ref="J163:X163">IF(J41&gt;=J42,"OK","BŁĄD")</f>
        <v>OK</v>
      </c>
      <c r="K163" s="81" t="str">
        <f t="shared" si="55"/>
        <v>OK</v>
      </c>
      <c r="L163" s="81" t="str">
        <f t="shared" si="55"/>
        <v>OK</v>
      </c>
      <c r="M163" s="81" t="str">
        <f t="shared" si="55"/>
        <v>OK</v>
      </c>
      <c r="N163" s="81" t="str">
        <f t="shared" si="55"/>
        <v>OK</v>
      </c>
      <c r="O163" s="81" t="str">
        <f t="shared" si="55"/>
        <v>OK</v>
      </c>
      <c r="P163" s="81" t="str">
        <f t="shared" si="55"/>
        <v>OK</v>
      </c>
      <c r="Q163" s="81" t="str">
        <f t="shared" si="55"/>
        <v>OK</v>
      </c>
      <c r="R163" s="81" t="str">
        <f t="shared" si="55"/>
        <v>OK</v>
      </c>
      <c r="S163" s="81" t="str">
        <f t="shared" si="55"/>
        <v>OK</v>
      </c>
      <c r="T163" s="81" t="str">
        <f t="shared" si="55"/>
        <v>OK</v>
      </c>
      <c r="U163" s="81" t="str">
        <f t="shared" si="55"/>
        <v>OK</v>
      </c>
      <c r="V163" s="81" t="str">
        <f t="shared" si="55"/>
        <v>OK</v>
      </c>
      <c r="W163" s="81" t="str">
        <f t="shared" si="55"/>
        <v>OK</v>
      </c>
      <c r="X163" s="81" t="str">
        <f t="shared" si="55"/>
        <v>OK</v>
      </c>
    </row>
    <row r="164" spans="1:24" ht="14.25" outlineLevel="2">
      <c r="A164" s="279" t="s">
        <v>336</v>
      </c>
      <c r="B164" s="280"/>
      <c r="C164" s="280"/>
      <c r="D164" s="281"/>
      <c r="E164" s="87" t="s">
        <v>388</v>
      </c>
      <c r="F164" s="99"/>
      <c r="G164" s="100"/>
      <c r="H164" s="100"/>
      <c r="I164" s="107"/>
      <c r="J164" s="104" t="str">
        <f aca="true" t="shared" si="56" ref="J164:X164">IF(J41&gt;=J46,"OK","BŁĄD")</f>
        <v>OK</v>
      </c>
      <c r="K164" s="81" t="str">
        <f t="shared" si="56"/>
        <v>OK</v>
      </c>
      <c r="L164" s="81" t="str">
        <f t="shared" si="56"/>
        <v>OK</v>
      </c>
      <c r="M164" s="81" t="str">
        <f t="shared" si="56"/>
        <v>OK</v>
      </c>
      <c r="N164" s="81" t="str">
        <f t="shared" si="56"/>
        <v>OK</v>
      </c>
      <c r="O164" s="81" t="str">
        <f t="shared" si="56"/>
        <v>OK</v>
      </c>
      <c r="P164" s="81" t="str">
        <f t="shared" si="56"/>
        <v>OK</v>
      </c>
      <c r="Q164" s="81" t="str">
        <f t="shared" si="56"/>
        <v>OK</v>
      </c>
      <c r="R164" s="81" t="str">
        <f t="shared" si="56"/>
        <v>OK</v>
      </c>
      <c r="S164" s="81" t="str">
        <f t="shared" si="56"/>
        <v>OK</v>
      </c>
      <c r="T164" s="81" t="str">
        <f t="shared" si="56"/>
        <v>OK</v>
      </c>
      <c r="U164" s="81" t="str">
        <f t="shared" si="56"/>
        <v>OK</v>
      </c>
      <c r="V164" s="81" t="str">
        <f t="shared" si="56"/>
        <v>OK</v>
      </c>
      <c r="W164" s="81" t="str">
        <f t="shared" si="56"/>
        <v>OK</v>
      </c>
      <c r="X164" s="81" t="str">
        <f t="shared" si="56"/>
        <v>OK</v>
      </c>
    </row>
    <row r="165" spans="1:24" ht="14.25" outlineLevel="2">
      <c r="A165" s="279" t="s">
        <v>334</v>
      </c>
      <c r="B165" s="280"/>
      <c r="C165" s="280"/>
      <c r="D165" s="281"/>
      <c r="E165" s="87" t="s">
        <v>386</v>
      </c>
      <c r="F165" s="99"/>
      <c r="G165" s="100"/>
      <c r="H165" s="100"/>
      <c r="I165" s="107"/>
      <c r="J165" s="104" t="str">
        <f aca="true" t="shared" si="57" ref="J165:X165">IF(J41&gt;=J96,"OK","BŁĄD")</f>
        <v>OK</v>
      </c>
      <c r="K165" s="81" t="str">
        <f t="shared" si="57"/>
        <v>OK</v>
      </c>
      <c r="L165" s="81" t="str">
        <f t="shared" si="57"/>
        <v>OK</v>
      </c>
      <c r="M165" s="81" t="str">
        <f t="shared" si="57"/>
        <v>OK</v>
      </c>
      <c r="N165" s="81" t="str">
        <f t="shared" si="57"/>
        <v>OK</v>
      </c>
      <c r="O165" s="81" t="str">
        <f t="shared" si="57"/>
        <v>OK</v>
      </c>
      <c r="P165" s="81" t="str">
        <f t="shared" si="57"/>
        <v>OK</v>
      </c>
      <c r="Q165" s="81" t="str">
        <f t="shared" si="57"/>
        <v>OK</v>
      </c>
      <c r="R165" s="81" t="str">
        <f t="shared" si="57"/>
        <v>OK</v>
      </c>
      <c r="S165" s="81" t="str">
        <f t="shared" si="57"/>
        <v>OK</v>
      </c>
      <c r="T165" s="81" t="str">
        <f t="shared" si="57"/>
        <v>OK</v>
      </c>
      <c r="U165" s="81" t="str">
        <f t="shared" si="57"/>
        <v>OK</v>
      </c>
      <c r="V165" s="81" t="str">
        <f t="shared" si="57"/>
        <v>OK</v>
      </c>
      <c r="W165" s="81" t="str">
        <f t="shared" si="57"/>
        <v>OK</v>
      </c>
      <c r="X165" s="81" t="str">
        <f t="shared" si="57"/>
        <v>OK</v>
      </c>
    </row>
    <row r="166" spans="1:24" ht="14.25" outlineLevel="2">
      <c r="A166" s="279" t="s">
        <v>333</v>
      </c>
      <c r="B166" s="280"/>
      <c r="C166" s="280"/>
      <c r="D166" s="281"/>
      <c r="E166" s="87" t="s">
        <v>385</v>
      </c>
      <c r="F166" s="99"/>
      <c r="G166" s="100"/>
      <c r="H166" s="100"/>
      <c r="I166" s="107"/>
      <c r="J166" s="104" t="str">
        <f aca="true" t="shared" si="58" ref="J166:X166">+IF(J42&gt;=J43,"OK","BŁĄD")</f>
        <v>OK</v>
      </c>
      <c r="K166" s="81" t="str">
        <f t="shared" si="58"/>
        <v>OK</v>
      </c>
      <c r="L166" s="81" t="str">
        <f t="shared" si="58"/>
        <v>OK</v>
      </c>
      <c r="M166" s="81" t="str">
        <f t="shared" si="58"/>
        <v>OK</v>
      </c>
      <c r="N166" s="81" t="str">
        <f t="shared" si="58"/>
        <v>OK</v>
      </c>
      <c r="O166" s="81" t="str">
        <f t="shared" si="58"/>
        <v>OK</v>
      </c>
      <c r="P166" s="81" t="str">
        <f t="shared" si="58"/>
        <v>OK</v>
      </c>
      <c r="Q166" s="81" t="str">
        <f t="shared" si="58"/>
        <v>OK</v>
      </c>
      <c r="R166" s="81" t="str">
        <f t="shared" si="58"/>
        <v>OK</v>
      </c>
      <c r="S166" s="81" t="str">
        <f t="shared" si="58"/>
        <v>OK</v>
      </c>
      <c r="T166" s="81" t="str">
        <f t="shared" si="58"/>
        <v>OK</v>
      </c>
      <c r="U166" s="81" t="str">
        <f t="shared" si="58"/>
        <v>OK</v>
      </c>
      <c r="V166" s="81" t="str">
        <f t="shared" si="58"/>
        <v>OK</v>
      </c>
      <c r="W166" s="81" t="str">
        <f t="shared" si="58"/>
        <v>OK</v>
      </c>
      <c r="X166" s="81" t="str">
        <f t="shared" si="58"/>
        <v>OK</v>
      </c>
    </row>
    <row r="167" spans="1:24" ht="14.25" outlineLevel="2">
      <c r="A167" s="279" t="s">
        <v>337</v>
      </c>
      <c r="B167" s="280"/>
      <c r="C167" s="280"/>
      <c r="D167" s="281"/>
      <c r="E167" s="87" t="s">
        <v>389</v>
      </c>
      <c r="F167" s="99"/>
      <c r="G167" s="100"/>
      <c r="H167" s="100"/>
      <c r="I167" s="107"/>
      <c r="J167" s="104" t="str">
        <f aca="true" t="shared" si="59" ref="J167:X167">IF(J46&gt;=J87,"OK","BŁĄD")</f>
        <v>OK</v>
      </c>
      <c r="K167" s="81" t="str">
        <f t="shared" si="59"/>
        <v>OK</v>
      </c>
      <c r="L167" s="81" t="str">
        <f t="shared" si="59"/>
        <v>OK</v>
      </c>
      <c r="M167" s="81" t="str">
        <f t="shared" si="59"/>
        <v>OK</v>
      </c>
      <c r="N167" s="81" t="str">
        <f t="shared" si="59"/>
        <v>OK</v>
      </c>
      <c r="O167" s="81" t="str">
        <f t="shared" si="59"/>
        <v>OK</v>
      </c>
      <c r="P167" s="81" t="str">
        <f t="shared" si="59"/>
        <v>OK</v>
      </c>
      <c r="Q167" s="81" t="str">
        <f t="shared" si="59"/>
        <v>OK</v>
      </c>
      <c r="R167" s="81" t="str">
        <f t="shared" si="59"/>
        <v>OK</v>
      </c>
      <c r="S167" s="81" t="str">
        <f t="shared" si="59"/>
        <v>OK</v>
      </c>
      <c r="T167" s="81" t="str">
        <f t="shared" si="59"/>
        <v>OK</v>
      </c>
      <c r="U167" s="81" t="str">
        <f t="shared" si="59"/>
        <v>OK</v>
      </c>
      <c r="V167" s="81" t="str">
        <f t="shared" si="59"/>
        <v>OK</v>
      </c>
      <c r="W167" s="81" t="str">
        <f t="shared" si="59"/>
        <v>OK</v>
      </c>
      <c r="X167" s="81" t="str">
        <f t="shared" si="59"/>
        <v>OK</v>
      </c>
    </row>
    <row r="168" spans="1:24" ht="14.25" outlineLevel="2">
      <c r="A168" s="282" t="s">
        <v>338</v>
      </c>
      <c r="B168" s="283"/>
      <c r="C168" s="283"/>
      <c r="D168" s="284"/>
      <c r="E168" s="88" t="s">
        <v>390</v>
      </c>
      <c r="F168" s="101"/>
      <c r="G168" s="102"/>
      <c r="H168" s="102"/>
      <c r="I168" s="108"/>
      <c r="J168" s="105" t="str">
        <f aca="true" t="shared" si="60" ref="J168:X168">IF(J23&lt;&gt;0,IF(J24&lt;&gt;0,"OK","BŁĄD"),"N/D")</f>
        <v>OK</v>
      </c>
      <c r="K168" s="83" t="str">
        <f t="shared" si="60"/>
        <v>OK</v>
      </c>
      <c r="L168" s="83" t="str">
        <f t="shared" si="60"/>
        <v>OK</v>
      </c>
      <c r="M168" s="83" t="str">
        <f t="shared" si="60"/>
        <v>OK</v>
      </c>
      <c r="N168" s="83" t="str">
        <f t="shared" si="60"/>
        <v>OK</v>
      </c>
      <c r="O168" s="83" t="str">
        <f t="shared" si="60"/>
        <v>OK</v>
      </c>
      <c r="P168" s="83" t="str">
        <f t="shared" si="60"/>
        <v>OK</v>
      </c>
      <c r="Q168" s="83" t="str">
        <f t="shared" si="60"/>
        <v>OK</v>
      </c>
      <c r="R168" s="83" t="str">
        <f t="shared" si="60"/>
        <v>OK</v>
      </c>
      <c r="S168" s="83" t="str">
        <f t="shared" si="60"/>
        <v>OK</v>
      </c>
      <c r="T168" s="83" t="str">
        <f t="shared" si="60"/>
        <v>OK</v>
      </c>
      <c r="U168" s="83" t="str">
        <f t="shared" si="60"/>
        <v>OK</v>
      </c>
      <c r="V168" s="83" t="str">
        <f t="shared" si="60"/>
        <v>OK</v>
      </c>
      <c r="W168" s="83" t="str">
        <f t="shared" si="60"/>
        <v>OK</v>
      </c>
      <c r="X168" s="83" t="str">
        <f t="shared" si="60"/>
        <v>OK</v>
      </c>
    </row>
    <row r="169" spans="1:24" ht="14.25" outlineLevel="2">
      <c r="A169" s="79"/>
      <c r="B169" s="79"/>
      <c r="C169" s="79"/>
      <c r="D169" s="79"/>
      <c r="E169" s="79"/>
      <c r="F169" s="24"/>
      <c r="G169" s="24"/>
      <c r="H169" s="24"/>
      <c r="I169" s="24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 outlineLevel="1">
      <c r="A170" s="79"/>
      <c r="B170" s="79"/>
      <c r="C170" s="79"/>
      <c r="D170" s="79"/>
      <c r="E170" s="270" t="s">
        <v>432</v>
      </c>
      <c r="F170" s="24"/>
      <c r="G170" s="24"/>
      <c r="H170" s="24"/>
      <c r="I170" s="24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5" outlineLevel="2">
      <c r="A171" s="152"/>
      <c r="B171" s="152"/>
      <c r="C171" s="152"/>
      <c r="D171" s="152"/>
      <c r="E171" s="153" t="s">
        <v>30</v>
      </c>
      <c r="F171" s="194">
        <f aca="true" t="shared" si="61" ref="F171:X171">F8+F15</f>
        <v>339294911.55</v>
      </c>
      <c r="G171" s="195">
        <f t="shared" si="61"/>
        <v>366887885.96</v>
      </c>
      <c r="H171" s="195">
        <f t="shared" si="61"/>
        <v>375903986.06</v>
      </c>
      <c r="I171" s="196">
        <f t="shared" si="61"/>
        <v>394489158.51</v>
      </c>
      <c r="J171" s="154">
        <f t="shared" si="61"/>
        <v>410313788.06</v>
      </c>
      <c r="K171" s="155">
        <f t="shared" si="61"/>
        <v>382805000</v>
      </c>
      <c r="L171" s="155">
        <f t="shared" si="61"/>
        <v>393010500</v>
      </c>
      <c r="M171" s="155">
        <f t="shared" si="61"/>
        <v>401876072</v>
      </c>
      <c r="N171" s="155">
        <f t="shared" si="61"/>
        <v>407676072</v>
      </c>
      <c r="O171" s="155">
        <f t="shared" si="61"/>
        <v>406676072</v>
      </c>
      <c r="P171" s="155">
        <f t="shared" si="61"/>
        <v>406676072</v>
      </c>
      <c r="Q171" s="155">
        <f t="shared" si="61"/>
        <v>406676072</v>
      </c>
      <c r="R171" s="155">
        <f t="shared" si="61"/>
        <v>406676072</v>
      </c>
      <c r="S171" s="155">
        <f t="shared" si="61"/>
        <v>406676072</v>
      </c>
      <c r="T171" s="155">
        <f t="shared" si="61"/>
        <v>406676072</v>
      </c>
      <c r="U171" s="155">
        <f t="shared" si="61"/>
        <v>406676072</v>
      </c>
      <c r="V171" s="155">
        <f t="shared" si="61"/>
        <v>406676072</v>
      </c>
      <c r="W171" s="155">
        <f t="shared" si="61"/>
        <v>406676072</v>
      </c>
      <c r="X171" s="155">
        <f t="shared" si="61"/>
        <v>406676072</v>
      </c>
    </row>
    <row r="172" spans="1:24" ht="15" outlineLevel="2">
      <c r="A172" s="152"/>
      <c r="B172" s="152"/>
      <c r="C172" s="152"/>
      <c r="D172" s="152"/>
      <c r="E172" s="156" t="s">
        <v>31</v>
      </c>
      <c r="F172" s="197">
        <f aca="true" t="shared" si="62" ref="F172:X172">F19+F25</f>
        <v>370539191.16999996</v>
      </c>
      <c r="G172" s="198">
        <f t="shared" si="62"/>
        <v>378530806.78999996</v>
      </c>
      <c r="H172" s="198">
        <f t="shared" si="62"/>
        <v>405455981.21999997</v>
      </c>
      <c r="I172" s="199">
        <f t="shared" si="62"/>
        <v>396396539.83</v>
      </c>
      <c r="J172" s="157">
        <f t="shared" si="62"/>
        <v>416900063.22</v>
      </c>
      <c r="K172" s="158">
        <f t="shared" si="62"/>
        <v>379440475.08</v>
      </c>
      <c r="L172" s="158">
        <f t="shared" si="62"/>
        <v>385642774.28000003</v>
      </c>
      <c r="M172" s="158">
        <f t="shared" si="62"/>
        <v>387076292</v>
      </c>
      <c r="N172" s="158">
        <f t="shared" si="62"/>
        <v>388876292</v>
      </c>
      <c r="O172" s="158">
        <f t="shared" si="62"/>
        <v>390604872</v>
      </c>
      <c r="P172" s="158">
        <f t="shared" si="62"/>
        <v>391104872</v>
      </c>
      <c r="Q172" s="158">
        <f t="shared" si="62"/>
        <v>388674872</v>
      </c>
      <c r="R172" s="158">
        <f t="shared" si="62"/>
        <v>392698872</v>
      </c>
      <c r="S172" s="158">
        <f t="shared" si="62"/>
        <v>399278872</v>
      </c>
      <c r="T172" s="158">
        <f t="shared" si="62"/>
        <v>406004872</v>
      </c>
      <c r="U172" s="158">
        <f t="shared" si="62"/>
        <v>406594872</v>
      </c>
      <c r="V172" s="158">
        <f t="shared" si="62"/>
        <v>406594872</v>
      </c>
      <c r="W172" s="158">
        <f t="shared" si="62"/>
        <v>406594872</v>
      </c>
      <c r="X172" s="158">
        <f t="shared" si="62"/>
        <v>406628472</v>
      </c>
    </row>
    <row r="173" spans="1:24" ht="15" outlineLevel="2">
      <c r="A173" s="152"/>
      <c r="B173" s="152"/>
      <c r="C173" s="152"/>
      <c r="D173" s="152"/>
      <c r="E173" s="156" t="s">
        <v>395</v>
      </c>
      <c r="F173" s="197">
        <f aca="true" t="shared" si="63" ref="F173:X173">F7-F18</f>
        <v>-31244279.620000005</v>
      </c>
      <c r="G173" s="198">
        <f t="shared" si="63"/>
        <v>-11642920.830000043</v>
      </c>
      <c r="H173" s="198">
        <f t="shared" si="63"/>
        <v>-29551995.160000026</v>
      </c>
      <c r="I173" s="199">
        <f t="shared" si="63"/>
        <v>-1907381.3199999928</v>
      </c>
      <c r="J173" s="157">
        <f t="shared" si="63"/>
        <v>-6586275.160000026</v>
      </c>
      <c r="K173" s="158">
        <f t="shared" si="63"/>
        <v>3364524.9200000167</v>
      </c>
      <c r="L173" s="158">
        <f t="shared" si="63"/>
        <v>7367725.720000029</v>
      </c>
      <c r="M173" s="158">
        <f t="shared" si="63"/>
        <v>14799780</v>
      </c>
      <c r="N173" s="158">
        <f t="shared" si="63"/>
        <v>18799780</v>
      </c>
      <c r="O173" s="158">
        <f t="shared" si="63"/>
        <v>16071200</v>
      </c>
      <c r="P173" s="158">
        <f t="shared" si="63"/>
        <v>15571200</v>
      </c>
      <c r="Q173" s="158">
        <f t="shared" si="63"/>
        <v>18001200</v>
      </c>
      <c r="R173" s="158">
        <f t="shared" si="63"/>
        <v>13977200</v>
      </c>
      <c r="S173" s="158">
        <f t="shared" si="63"/>
        <v>7397200</v>
      </c>
      <c r="T173" s="158">
        <f t="shared" si="63"/>
        <v>671200</v>
      </c>
      <c r="U173" s="158">
        <f t="shared" si="63"/>
        <v>81200</v>
      </c>
      <c r="V173" s="158">
        <f t="shared" si="63"/>
        <v>81200</v>
      </c>
      <c r="W173" s="158">
        <f t="shared" si="63"/>
        <v>81200</v>
      </c>
      <c r="X173" s="158">
        <f t="shared" si="63"/>
        <v>47600</v>
      </c>
    </row>
    <row r="174" spans="1:24" ht="15" outlineLevel="2">
      <c r="A174" s="152"/>
      <c r="B174" s="152"/>
      <c r="C174" s="152"/>
      <c r="D174" s="152"/>
      <c r="E174" s="159" t="s">
        <v>396</v>
      </c>
      <c r="F174" s="197">
        <f aca="true" t="shared" si="64" ref="F174:X174">E41+F32-F37+(F46-E46)+(F96-E96)+F101</f>
        <v>23530900.759999998</v>
      </c>
      <c r="G174" s="198">
        <f t="shared" si="64"/>
        <v>103896340.24</v>
      </c>
      <c r="H174" s="198">
        <f t="shared" si="64"/>
        <v>126651271.4</v>
      </c>
      <c r="I174" s="199">
        <f t="shared" si="64"/>
        <v>144378866.64000002</v>
      </c>
      <c r="J174" s="157">
        <f t="shared" si="64"/>
        <v>116312210.64000002</v>
      </c>
      <c r="K174" s="158">
        <f t="shared" si="64"/>
        <v>112947685.72</v>
      </c>
      <c r="L174" s="158">
        <f t="shared" si="64"/>
        <v>105579960</v>
      </c>
      <c r="M174" s="158">
        <f t="shared" si="64"/>
        <v>90780180</v>
      </c>
      <c r="N174" s="158">
        <f t="shared" si="64"/>
        <v>71980400</v>
      </c>
      <c r="O174" s="158">
        <f t="shared" si="64"/>
        <v>55909200</v>
      </c>
      <c r="P174" s="158">
        <f t="shared" si="64"/>
        <v>40338000</v>
      </c>
      <c r="Q174" s="158">
        <f t="shared" si="64"/>
        <v>22336800</v>
      </c>
      <c r="R174" s="158">
        <f t="shared" si="64"/>
        <v>8359600</v>
      </c>
      <c r="S174" s="158">
        <f t="shared" si="64"/>
        <v>962400</v>
      </c>
      <c r="T174" s="158">
        <f t="shared" si="64"/>
        <v>291200</v>
      </c>
      <c r="U174" s="158">
        <f t="shared" si="64"/>
        <v>210000</v>
      </c>
      <c r="V174" s="158">
        <f t="shared" si="64"/>
        <v>128800</v>
      </c>
      <c r="W174" s="158">
        <f t="shared" si="64"/>
        <v>47600</v>
      </c>
      <c r="X174" s="158">
        <f t="shared" si="64"/>
        <v>0</v>
      </c>
    </row>
    <row r="175" spans="1:24" ht="24" outlineLevel="2">
      <c r="A175" s="152"/>
      <c r="B175" s="152"/>
      <c r="C175" s="152"/>
      <c r="D175" s="152"/>
      <c r="E175" s="160" t="s">
        <v>436</v>
      </c>
      <c r="F175" s="275" t="s">
        <v>29</v>
      </c>
      <c r="G175" s="200">
        <f>F87-(G89+G90+G91+G92)</f>
        <v>0</v>
      </c>
      <c r="H175" s="200">
        <f aca="true" t="shared" si="65" ref="H175:X175">G87-(H89+H90+H91+H92)</f>
        <v>0</v>
      </c>
      <c r="I175" s="201">
        <f t="shared" si="65"/>
        <v>0</v>
      </c>
      <c r="J175" s="161">
        <f t="shared" si="65"/>
        <v>0</v>
      </c>
      <c r="K175" s="162">
        <f t="shared" si="65"/>
        <v>0</v>
      </c>
      <c r="L175" s="162">
        <f t="shared" si="65"/>
        <v>0</v>
      </c>
      <c r="M175" s="162">
        <f t="shared" si="65"/>
        <v>0</v>
      </c>
      <c r="N175" s="162">
        <f t="shared" si="65"/>
        <v>0</v>
      </c>
      <c r="O175" s="162">
        <f t="shared" si="65"/>
        <v>0</v>
      </c>
      <c r="P175" s="162">
        <f t="shared" si="65"/>
        <v>0</v>
      </c>
      <c r="Q175" s="162">
        <f t="shared" si="65"/>
        <v>0</v>
      </c>
      <c r="R175" s="162">
        <f t="shared" si="65"/>
        <v>0</v>
      </c>
      <c r="S175" s="162">
        <f t="shared" si="65"/>
        <v>0</v>
      </c>
      <c r="T175" s="162">
        <f t="shared" si="65"/>
        <v>0</v>
      </c>
      <c r="U175" s="162">
        <f t="shared" si="65"/>
        <v>0</v>
      </c>
      <c r="V175" s="162">
        <f t="shared" si="65"/>
        <v>0</v>
      </c>
      <c r="W175" s="162">
        <f t="shared" si="65"/>
        <v>0</v>
      </c>
      <c r="X175" s="162">
        <f t="shared" si="65"/>
        <v>0</v>
      </c>
    </row>
    <row r="176" spans="6:9" ht="14.25">
      <c r="F176" s="6"/>
      <c r="G176" s="6"/>
      <c r="H176" s="6"/>
      <c r="I176" s="6"/>
    </row>
    <row r="177" spans="5:9" ht="15.75">
      <c r="E177" s="267" t="s">
        <v>32</v>
      </c>
      <c r="F177" s="73"/>
      <c r="G177" s="73"/>
      <c r="H177" s="73"/>
      <c r="I177" s="73"/>
    </row>
    <row r="178" spans="5:9" ht="14.25" outlineLevel="1">
      <c r="E178" s="268" t="s">
        <v>37</v>
      </c>
      <c r="F178" s="74"/>
      <c r="G178" s="74"/>
      <c r="H178" s="74"/>
      <c r="I178" s="74"/>
    </row>
    <row r="179" spans="5:24" ht="14.25" outlineLevel="2">
      <c r="E179" s="30">
        <v>0</v>
      </c>
      <c r="F179" s="33" t="str">
        <f>+"różnica mniejsza od "&amp;TEXT(E179*100,"0,0")&amp;"%"</f>
        <v>różnica mniejsza od 0,0%</v>
      </c>
      <c r="G179" s="75"/>
      <c r="H179" s="75"/>
      <c r="I179" s="75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5:24" ht="14.25" outlineLevel="2">
      <c r="E180" s="31">
        <v>0.005</v>
      </c>
      <c r="F180" s="33" t="str">
        <f>+"różnica mniejsza od "&amp;TEXT(E180*100,"0,0")&amp;"%"</f>
        <v>różnica mniejsza od 0,5%</v>
      </c>
      <c r="G180" s="75"/>
      <c r="H180" s="75"/>
      <c r="I180" s="75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5:24" ht="14.25" outlineLevel="2">
      <c r="E181" s="32">
        <v>0.01</v>
      </c>
      <c r="F181" s="33" t="str">
        <f>+"różnica mniejsza od "&amp;TEXT(E181*100,"0,0")&amp;"%"</f>
        <v>różnica mniejsza od 1,0%</v>
      </c>
      <c r="G181" s="75"/>
      <c r="H181" s="75"/>
      <c r="I181" s="75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5:24" ht="14.25" outlineLevel="2">
      <c r="E182" s="248" t="s">
        <v>416</v>
      </c>
      <c r="F182" s="249">
        <f aca="true" t="shared" si="66" ref="F182:X182">+IF(F7=0,"",F58-F53)</f>
        <v>-0.0497</v>
      </c>
      <c r="G182" s="250">
        <f t="shared" si="66"/>
        <v>-0.0638</v>
      </c>
      <c r="H182" s="250">
        <f t="shared" si="66"/>
        <v>-0.0749</v>
      </c>
      <c r="I182" s="251">
        <f t="shared" si="66"/>
        <v>-0.0742</v>
      </c>
      <c r="J182" s="252">
        <f t="shared" si="66"/>
        <v>-0.028099999999999993</v>
      </c>
      <c r="K182" s="253">
        <f t="shared" si="66"/>
        <v>-0.0017000000000000001</v>
      </c>
      <c r="L182" s="253">
        <f t="shared" si="66"/>
        <v>-0.003500000000000003</v>
      </c>
      <c r="M182" s="253">
        <f t="shared" si="66"/>
        <v>0.025100000000000004</v>
      </c>
      <c r="N182" s="253">
        <f t="shared" si="66"/>
        <v>0.011399999999999993</v>
      </c>
      <c r="O182" s="253">
        <f t="shared" si="66"/>
        <v>0.0402</v>
      </c>
      <c r="P182" s="253">
        <f t="shared" si="66"/>
        <v>0.05339999999999999</v>
      </c>
      <c r="Q182" s="253">
        <f t="shared" si="66"/>
        <v>0.05270000000000001</v>
      </c>
      <c r="R182" s="253">
        <f t="shared" si="66"/>
        <v>0.06409999999999999</v>
      </c>
      <c r="S182" s="253">
        <f t="shared" si="66"/>
        <v>0.08209999999999999</v>
      </c>
      <c r="T182" s="253">
        <f t="shared" si="66"/>
        <v>0.1004</v>
      </c>
      <c r="U182" s="253">
        <f t="shared" si="66"/>
        <v>0.10279999999999999</v>
      </c>
      <c r="V182" s="253">
        <f t="shared" si="66"/>
        <v>0.10380000000000002</v>
      </c>
      <c r="W182" s="253">
        <f t="shared" si="66"/>
        <v>0.10449999999999998</v>
      </c>
      <c r="X182" s="253">
        <f t="shared" si="66"/>
        <v>0.10529999999999999</v>
      </c>
    </row>
    <row r="183" spans="5:24" ht="14.25" outlineLevel="2">
      <c r="E183" s="254" t="s">
        <v>417</v>
      </c>
      <c r="F183" s="255">
        <f aca="true" t="shared" si="67" ref="F183:X183">+IF(F7=0,"",F58-F54)</f>
        <v>-0.0497</v>
      </c>
      <c r="G183" s="256">
        <f t="shared" si="67"/>
        <v>-0.0638</v>
      </c>
      <c r="H183" s="256">
        <f t="shared" si="67"/>
        <v>-0.0749</v>
      </c>
      <c r="I183" s="257">
        <f t="shared" si="67"/>
        <v>-0.0742</v>
      </c>
      <c r="J183" s="258">
        <f t="shared" si="67"/>
        <v>-0.028099999999999993</v>
      </c>
      <c r="K183" s="259">
        <f t="shared" si="67"/>
        <v>-0.0017000000000000001</v>
      </c>
      <c r="L183" s="259">
        <f t="shared" si="67"/>
        <v>-0.003500000000000003</v>
      </c>
      <c r="M183" s="259">
        <f t="shared" si="67"/>
        <v>0.025100000000000004</v>
      </c>
      <c r="N183" s="259">
        <f t="shared" si="67"/>
        <v>0.011399999999999993</v>
      </c>
      <c r="O183" s="259">
        <f t="shared" si="67"/>
        <v>0.0402</v>
      </c>
      <c r="P183" s="259">
        <f t="shared" si="67"/>
        <v>0.05339999999999999</v>
      </c>
      <c r="Q183" s="259">
        <f t="shared" si="67"/>
        <v>0.05270000000000001</v>
      </c>
      <c r="R183" s="259">
        <f t="shared" si="67"/>
        <v>0.06409999999999999</v>
      </c>
      <c r="S183" s="259">
        <f t="shared" si="67"/>
        <v>0.08209999999999999</v>
      </c>
      <c r="T183" s="259">
        <f t="shared" si="67"/>
        <v>0.1004</v>
      </c>
      <c r="U183" s="259">
        <f t="shared" si="67"/>
        <v>0.10279999999999999</v>
      </c>
      <c r="V183" s="259">
        <f t="shared" si="67"/>
        <v>0.10380000000000002</v>
      </c>
      <c r="W183" s="259">
        <f t="shared" si="67"/>
        <v>0.10449999999999998</v>
      </c>
      <c r="X183" s="259">
        <f t="shared" si="67"/>
        <v>0.10529999999999999</v>
      </c>
    </row>
    <row r="184" spans="5:24" ht="14.25" outlineLevel="2">
      <c r="E184" s="248" t="s">
        <v>418</v>
      </c>
      <c r="F184" s="249">
        <f aca="true" t="shared" si="68" ref="F184:X184">+IF(F7=0,"",F59-F53)</f>
        <v>-0.0497</v>
      </c>
      <c r="G184" s="250">
        <f t="shared" si="68"/>
        <v>-0.0638</v>
      </c>
      <c r="H184" s="250">
        <f t="shared" si="68"/>
        <v>-0.0749</v>
      </c>
      <c r="I184" s="251">
        <f t="shared" si="68"/>
        <v>-0.0742</v>
      </c>
      <c r="J184" s="252">
        <f t="shared" si="68"/>
        <v>-0.020399999999999995</v>
      </c>
      <c r="K184" s="253">
        <f t="shared" si="68"/>
        <v>0.005999999999999998</v>
      </c>
      <c r="L184" s="253">
        <f t="shared" si="68"/>
        <v>0.004200000000000002</v>
      </c>
      <c r="M184" s="253">
        <f t="shared" si="68"/>
        <v>0.025100000000000004</v>
      </c>
      <c r="N184" s="253">
        <f t="shared" si="68"/>
        <v>0.011399999999999993</v>
      </c>
      <c r="O184" s="253">
        <f t="shared" si="68"/>
        <v>0.0402</v>
      </c>
      <c r="P184" s="253">
        <f t="shared" si="68"/>
        <v>0.05339999999999999</v>
      </c>
      <c r="Q184" s="253">
        <f t="shared" si="68"/>
        <v>0.05270000000000001</v>
      </c>
      <c r="R184" s="253">
        <f t="shared" si="68"/>
        <v>0.06409999999999999</v>
      </c>
      <c r="S184" s="253">
        <f t="shared" si="68"/>
        <v>0.08209999999999999</v>
      </c>
      <c r="T184" s="253">
        <f t="shared" si="68"/>
        <v>0.1004</v>
      </c>
      <c r="U184" s="253">
        <f t="shared" si="68"/>
        <v>0.10279999999999999</v>
      </c>
      <c r="V184" s="253">
        <f t="shared" si="68"/>
        <v>0.10380000000000002</v>
      </c>
      <c r="W184" s="253">
        <f t="shared" si="68"/>
        <v>0.10449999999999998</v>
      </c>
      <c r="X184" s="253">
        <f t="shared" si="68"/>
        <v>0.10529999999999999</v>
      </c>
    </row>
    <row r="185" spans="5:24" ht="14.25" outlineLevel="2">
      <c r="E185" s="254" t="s">
        <v>419</v>
      </c>
      <c r="F185" s="255">
        <f aca="true" t="shared" si="69" ref="F185:X185">+IF(F7=0,"",F59-F54)</f>
        <v>-0.0497</v>
      </c>
      <c r="G185" s="256">
        <f t="shared" si="69"/>
        <v>-0.0638</v>
      </c>
      <c r="H185" s="256">
        <f t="shared" si="69"/>
        <v>-0.0749</v>
      </c>
      <c r="I185" s="257">
        <f t="shared" si="69"/>
        <v>-0.0742</v>
      </c>
      <c r="J185" s="258">
        <f t="shared" si="69"/>
        <v>-0.020399999999999995</v>
      </c>
      <c r="K185" s="259">
        <f t="shared" si="69"/>
        <v>0.005999999999999998</v>
      </c>
      <c r="L185" s="259">
        <f t="shared" si="69"/>
        <v>0.004200000000000002</v>
      </c>
      <c r="M185" s="259">
        <f t="shared" si="69"/>
        <v>0.025100000000000004</v>
      </c>
      <c r="N185" s="259">
        <f t="shared" si="69"/>
        <v>0.011399999999999993</v>
      </c>
      <c r="O185" s="259">
        <f t="shared" si="69"/>
        <v>0.0402</v>
      </c>
      <c r="P185" s="259">
        <f t="shared" si="69"/>
        <v>0.05339999999999999</v>
      </c>
      <c r="Q185" s="259">
        <f t="shared" si="69"/>
        <v>0.05270000000000001</v>
      </c>
      <c r="R185" s="259">
        <f t="shared" si="69"/>
        <v>0.06409999999999999</v>
      </c>
      <c r="S185" s="259">
        <f t="shared" si="69"/>
        <v>0.08209999999999999</v>
      </c>
      <c r="T185" s="259">
        <f t="shared" si="69"/>
        <v>0.1004</v>
      </c>
      <c r="U185" s="259">
        <f t="shared" si="69"/>
        <v>0.10279999999999999</v>
      </c>
      <c r="V185" s="259">
        <f t="shared" si="69"/>
        <v>0.10380000000000002</v>
      </c>
      <c r="W185" s="259">
        <f t="shared" si="69"/>
        <v>0.10449999999999998</v>
      </c>
      <c r="X185" s="259">
        <f t="shared" si="69"/>
        <v>0.10529999999999999</v>
      </c>
    </row>
    <row r="186" spans="5:24" ht="14.25" outlineLevel="1">
      <c r="E186" s="268" t="s">
        <v>428</v>
      </c>
      <c r="F186" s="74"/>
      <c r="G186" s="74"/>
      <c r="H186" s="74"/>
      <c r="I186" s="7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5:24" ht="14.25" outlineLevel="2">
      <c r="E187" s="27">
        <v>0.05</v>
      </c>
      <c r="F187" s="33" t="str">
        <f>+"zmiana większa niż +/- "&amp;TEXT(E187*100,"0,0")&amp;"%"</f>
        <v>zmiana większa niż +/- 5,0%</v>
      </c>
      <c r="G187" s="76"/>
      <c r="H187" s="76"/>
      <c r="I187" s="7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5:24" ht="14.25" outlineLevel="2">
      <c r="E188" s="28">
        <v>0.1</v>
      </c>
      <c r="F188" s="33" t="str">
        <f>+"zmiana większa niż +/- "&amp;TEXT(E188*100,"0,0")&amp;"%"</f>
        <v>zmiana większa niż +/- 10,0%</v>
      </c>
      <c r="G188" s="76"/>
      <c r="H188" s="76"/>
      <c r="I188" s="7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5:24" ht="14.25" outlineLevel="2">
      <c r="E189" s="29">
        <v>0.2</v>
      </c>
      <c r="F189" s="33" t="str">
        <f>+"zmiana większa niż +/- "&amp;TEXT(E189*100,"0,0")&amp;"%"</f>
        <v>zmiana większa niż +/- 20,0%</v>
      </c>
      <c r="G189" s="76"/>
      <c r="H189" s="76"/>
      <c r="I189" s="7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outlineLevel="2">
      <c r="A190" s="238"/>
      <c r="B190" s="238"/>
      <c r="C190" s="238"/>
      <c r="D190" s="238"/>
      <c r="E190" s="164" t="s">
        <v>24</v>
      </c>
      <c r="F190" s="165" t="s">
        <v>415</v>
      </c>
      <c r="G190" s="166">
        <f aca="true" t="shared" si="70" ref="G190:X190">+IF(G7=0,0,IF(F216&lt;&gt;0,G216/F216-1,0))</f>
        <v>0.08132445689782686</v>
      </c>
      <c r="H190" s="166">
        <f t="shared" si="70"/>
        <v>0.02457453746778393</v>
      </c>
      <c r="I190" s="167">
        <f t="shared" si="70"/>
        <v>0.049441275270311946</v>
      </c>
      <c r="J190" s="239">
        <f t="shared" si="70"/>
        <v>0.0401142318074601</v>
      </c>
      <c r="K190" s="240">
        <f t="shared" si="70"/>
        <v>-0.06704329432862588</v>
      </c>
      <c r="L190" s="240">
        <f t="shared" si="70"/>
        <v>0.026659787620328945</v>
      </c>
      <c r="M190" s="240">
        <f t="shared" si="70"/>
        <v>0.022558104681681623</v>
      </c>
      <c r="N190" s="240">
        <f t="shared" si="70"/>
        <v>0.014432309868898985</v>
      </c>
      <c r="O190" s="240">
        <f t="shared" si="70"/>
        <v>-0.0024529278725978765</v>
      </c>
      <c r="P190" s="240">
        <f t="shared" si="70"/>
        <v>0</v>
      </c>
      <c r="Q190" s="240">
        <f t="shared" si="70"/>
        <v>0</v>
      </c>
      <c r="R190" s="240">
        <f t="shared" si="70"/>
        <v>0</v>
      </c>
      <c r="S190" s="240">
        <f t="shared" si="70"/>
        <v>0</v>
      </c>
      <c r="T190" s="240">
        <f t="shared" si="70"/>
        <v>0</v>
      </c>
      <c r="U190" s="240">
        <f t="shared" si="70"/>
        <v>0</v>
      </c>
      <c r="V190" s="240">
        <f t="shared" si="70"/>
        <v>0</v>
      </c>
      <c r="W190" s="240">
        <f t="shared" si="70"/>
        <v>0</v>
      </c>
      <c r="X190" s="240">
        <f t="shared" si="70"/>
        <v>0</v>
      </c>
    </row>
    <row r="191" spans="1:24" ht="14.25" outlineLevel="2">
      <c r="A191" s="163"/>
      <c r="B191" s="163"/>
      <c r="C191" s="163"/>
      <c r="D191" s="163"/>
      <c r="E191" s="168" t="s">
        <v>399</v>
      </c>
      <c r="F191" s="202" t="s">
        <v>415</v>
      </c>
      <c r="G191" s="203">
        <f aca="true" t="shared" si="71" ref="G191:X191">+IF(G7=0,0,IF(F217&lt;&gt;0,G217/F217-1,0))</f>
        <v>0.08132445689782686</v>
      </c>
      <c r="H191" s="203">
        <f t="shared" si="71"/>
        <v>0.02457453746778393</v>
      </c>
      <c r="I191" s="204">
        <f t="shared" si="71"/>
        <v>0.049441275270311946</v>
      </c>
      <c r="J191" s="169">
        <f t="shared" si="71"/>
        <v>0.013944323009476456</v>
      </c>
      <c r="K191" s="170">
        <f t="shared" si="71"/>
        <v>-0.05058954540561278</v>
      </c>
      <c r="L191" s="170">
        <f t="shared" si="71"/>
        <v>0.03490613988743019</v>
      </c>
      <c r="M191" s="170">
        <f t="shared" si="71"/>
        <v>0.022558104681681623</v>
      </c>
      <c r="N191" s="170">
        <f t="shared" si="71"/>
        <v>0.014432309868898985</v>
      </c>
      <c r="O191" s="170">
        <f t="shared" si="71"/>
        <v>-0.0024529278725978765</v>
      </c>
      <c r="P191" s="170">
        <f t="shared" si="71"/>
        <v>0</v>
      </c>
      <c r="Q191" s="170">
        <f t="shared" si="71"/>
        <v>0</v>
      </c>
      <c r="R191" s="170">
        <f t="shared" si="71"/>
        <v>0</v>
      </c>
      <c r="S191" s="170">
        <f t="shared" si="71"/>
        <v>0</v>
      </c>
      <c r="T191" s="170">
        <f t="shared" si="71"/>
        <v>0</v>
      </c>
      <c r="U191" s="170">
        <f t="shared" si="71"/>
        <v>0</v>
      </c>
      <c r="V191" s="170">
        <f t="shared" si="71"/>
        <v>0</v>
      </c>
      <c r="W191" s="170">
        <f t="shared" si="71"/>
        <v>0</v>
      </c>
      <c r="X191" s="170">
        <f t="shared" si="71"/>
        <v>0</v>
      </c>
    </row>
    <row r="192" spans="1:24" ht="14.25" outlineLevel="2">
      <c r="A192" s="163"/>
      <c r="B192" s="163"/>
      <c r="C192" s="163"/>
      <c r="D192" s="163"/>
      <c r="E192" s="171" t="s">
        <v>400</v>
      </c>
      <c r="F192" s="205" t="s">
        <v>415</v>
      </c>
      <c r="G192" s="206">
        <f aca="true" t="shared" si="72" ref="G192:X192">+IF(G7=0,0,IF(F218&lt;&gt;0,G218/F218-1,0))</f>
        <v>0.07464472214803664</v>
      </c>
      <c r="H192" s="206">
        <f t="shared" si="72"/>
        <v>0.05485598147547521</v>
      </c>
      <c r="I192" s="207">
        <f t="shared" si="72"/>
        <v>0.020794486187069028</v>
      </c>
      <c r="J192" s="169">
        <f t="shared" si="72"/>
        <v>0.008101903596123394</v>
      </c>
      <c r="K192" s="170">
        <f t="shared" si="72"/>
        <v>0.015973659307591426</v>
      </c>
      <c r="L192" s="170">
        <f t="shared" si="72"/>
        <v>0.034998300162343066</v>
      </c>
      <c r="M192" s="170">
        <f t="shared" si="72"/>
        <v>0.02261564932571969</v>
      </c>
      <c r="N192" s="170">
        <f t="shared" si="72"/>
        <v>0.014468311792877442</v>
      </c>
      <c r="O192" s="170">
        <f t="shared" si="72"/>
        <v>0</v>
      </c>
      <c r="P192" s="170">
        <f t="shared" si="72"/>
        <v>0</v>
      </c>
      <c r="Q192" s="170">
        <f t="shared" si="72"/>
        <v>0</v>
      </c>
      <c r="R192" s="170">
        <f t="shared" si="72"/>
        <v>0</v>
      </c>
      <c r="S192" s="170">
        <f t="shared" si="72"/>
        <v>0</v>
      </c>
      <c r="T192" s="170">
        <f t="shared" si="72"/>
        <v>0</v>
      </c>
      <c r="U192" s="170">
        <f t="shared" si="72"/>
        <v>0</v>
      </c>
      <c r="V192" s="170">
        <f t="shared" si="72"/>
        <v>0</v>
      </c>
      <c r="W192" s="170">
        <f t="shared" si="72"/>
        <v>0</v>
      </c>
      <c r="X192" s="170">
        <f t="shared" si="72"/>
        <v>0</v>
      </c>
    </row>
    <row r="193" spans="1:24" ht="14.25" outlineLevel="2">
      <c r="A193" s="163"/>
      <c r="B193" s="163"/>
      <c r="C193" s="163"/>
      <c r="D193" s="163"/>
      <c r="E193" s="171" t="s">
        <v>401</v>
      </c>
      <c r="F193" s="205" t="s">
        <v>415</v>
      </c>
      <c r="G193" s="206">
        <f aca="true" t="shared" si="73" ref="G193:X193">+IF(G7=0,0,IF(F219&lt;&gt;0,G219/F219-1,0))</f>
        <v>0.18958276629563575</v>
      </c>
      <c r="H193" s="206">
        <f t="shared" si="73"/>
        <v>-0.41877764533636175</v>
      </c>
      <c r="I193" s="207">
        <f t="shared" si="73"/>
        <v>0.8106418028834383</v>
      </c>
      <c r="J193" s="169">
        <f t="shared" si="73"/>
        <v>0.10146720977458656</v>
      </c>
      <c r="K193" s="170">
        <f t="shared" si="73"/>
        <v>-0.9632221658641144</v>
      </c>
      <c r="L193" s="170">
        <f t="shared" si="73"/>
        <v>0</v>
      </c>
      <c r="M193" s="170">
        <f t="shared" si="73"/>
        <v>0</v>
      </c>
      <c r="N193" s="170">
        <f t="shared" si="73"/>
        <v>0</v>
      </c>
      <c r="O193" s="170">
        <f t="shared" si="73"/>
        <v>-1</v>
      </c>
      <c r="P193" s="170">
        <f t="shared" si="73"/>
        <v>0</v>
      </c>
      <c r="Q193" s="170">
        <f t="shared" si="73"/>
        <v>0</v>
      </c>
      <c r="R193" s="170">
        <f t="shared" si="73"/>
        <v>0</v>
      </c>
      <c r="S193" s="170">
        <f t="shared" si="73"/>
        <v>0</v>
      </c>
      <c r="T193" s="170">
        <f t="shared" si="73"/>
        <v>0</v>
      </c>
      <c r="U193" s="170">
        <f t="shared" si="73"/>
        <v>0</v>
      </c>
      <c r="V193" s="170">
        <f t="shared" si="73"/>
        <v>0</v>
      </c>
      <c r="W193" s="170">
        <f t="shared" si="73"/>
        <v>0</v>
      </c>
      <c r="X193" s="170">
        <f t="shared" si="73"/>
        <v>0</v>
      </c>
    </row>
    <row r="194" spans="1:24" ht="24" outlineLevel="2">
      <c r="A194" s="163"/>
      <c r="B194" s="163"/>
      <c r="C194" s="163"/>
      <c r="D194" s="163"/>
      <c r="E194" s="171" t="s">
        <v>402</v>
      </c>
      <c r="F194" s="205" t="s">
        <v>415</v>
      </c>
      <c r="G194" s="206">
        <f aca="true" t="shared" si="74" ref="G194:X194">+IF(G7=0,0,IF(F220&lt;&gt;0,G220/F220-1,0))</f>
        <v>0.263481205431245</v>
      </c>
      <c r="H194" s="206">
        <f t="shared" si="74"/>
        <v>-0.5411286309800911</v>
      </c>
      <c r="I194" s="207">
        <f t="shared" si="74"/>
        <v>1.0784732993119532</v>
      </c>
      <c r="J194" s="169">
        <f t="shared" si="74"/>
        <v>-0.18087735587140386</v>
      </c>
      <c r="K194" s="170">
        <f t="shared" si="74"/>
        <v>-1</v>
      </c>
      <c r="L194" s="170">
        <f t="shared" si="74"/>
        <v>0</v>
      </c>
      <c r="M194" s="170">
        <f t="shared" si="74"/>
        <v>0</v>
      </c>
      <c r="N194" s="170">
        <f t="shared" si="74"/>
        <v>0</v>
      </c>
      <c r="O194" s="170">
        <f t="shared" si="74"/>
        <v>0</v>
      </c>
      <c r="P194" s="170">
        <f t="shared" si="74"/>
        <v>0</v>
      </c>
      <c r="Q194" s="170">
        <f t="shared" si="74"/>
        <v>0</v>
      </c>
      <c r="R194" s="170">
        <f t="shared" si="74"/>
        <v>0</v>
      </c>
      <c r="S194" s="170">
        <f t="shared" si="74"/>
        <v>0</v>
      </c>
      <c r="T194" s="170">
        <f t="shared" si="74"/>
        <v>0</v>
      </c>
      <c r="U194" s="170">
        <f t="shared" si="74"/>
        <v>0</v>
      </c>
      <c r="V194" s="170">
        <f t="shared" si="74"/>
        <v>0</v>
      </c>
      <c r="W194" s="170">
        <f t="shared" si="74"/>
        <v>0</v>
      </c>
      <c r="X194" s="170">
        <f t="shared" si="74"/>
        <v>0</v>
      </c>
    </row>
    <row r="195" spans="1:24" ht="14.25" outlineLevel="2">
      <c r="A195" s="163"/>
      <c r="B195" s="163"/>
      <c r="C195" s="163"/>
      <c r="D195" s="163"/>
      <c r="E195" s="172" t="s">
        <v>33</v>
      </c>
      <c r="F195" s="208" t="s">
        <v>415</v>
      </c>
      <c r="G195" s="209">
        <f aca="true" t="shared" si="75" ref="G195:X195">+IF(G7=0,0,IF(F221&lt;&gt;0,G221/F221-1,0))</f>
        <v>-0.3212969784873764</v>
      </c>
      <c r="H195" s="209">
        <f t="shared" si="75"/>
        <v>1.1558573334032713</v>
      </c>
      <c r="I195" s="210">
        <f t="shared" si="75"/>
        <v>0.07696461876028526</v>
      </c>
      <c r="J195" s="173">
        <f t="shared" si="75"/>
        <v>1.5941441135146244</v>
      </c>
      <c r="K195" s="174">
        <f t="shared" si="75"/>
        <v>-0.9018279633229271</v>
      </c>
      <c r="L195" s="174">
        <f t="shared" si="75"/>
        <v>0</v>
      </c>
      <c r="M195" s="174">
        <f t="shared" si="75"/>
        <v>0</v>
      </c>
      <c r="N195" s="174">
        <f t="shared" si="75"/>
        <v>0</v>
      </c>
      <c r="O195" s="174">
        <f t="shared" si="75"/>
        <v>-1</v>
      </c>
      <c r="P195" s="174">
        <f t="shared" si="75"/>
        <v>0</v>
      </c>
      <c r="Q195" s="174">
        <f t="shared" si="75"/>
        <v>0</v>
      </c>
      <c r="R195" s="174">
        <f t="shared" si="75"/>
        <v>0</v>
      </c>
      <c r="S195" s="174">
        <f t="shared" si="75"/>
        <v>0</v>
      </c>
      <c r="T195" s="174">
        <f t="shared" si="75"/>
        <v>0</v>
      </c>
      <c r="U195" s="174">
        <f t="shared" si="75"/>
        <v>0</v>
      </c>
      <c r="V195" s="174">
        <f t="shared" si="75"/>
        <v>0</v>
      </c>
      <c r="W195" s="174">
        <f t="shared" si="75"/>
        <v>0</v>
      </c>
      <c r="X195" s="174">
        <f t="shared" si="75"/>
        <v>0</v>
      </c>
    </row>
    <row r="196" spans="1:24" ht="14.25" outlineLevel="2">
      <c r="A196" s="238"/>
      <c r="B196" s="238"/>
      <c r="C196" s="238"/>
      <c r="D196" s="238"/>
      <c r="E196" s="164" t="s">
        <v>19</v>
      </c>
      <c r="F196" s="165" t="s">
        <v>415</v>
      </c>
      <c r="G196" s="166">
        <f aca="true" t="shared" si="76" ref="G196:X196">+IF(G7=0,0,IF(F222&lt;&gt;0,G222/F222-1,0))</f>
        <v>0.02156753134470346</v>
      </c>
      <c r="H196" s="166">
        <f t="shared" si="76"/>
        <v>0.07113073479627641</v>
      </c>
      <c r="I196" s="167">
        <f t="shared" si="76"/>
        <v>-0.022343834619828695</v>
      </c>
      <c r="J196" s="239">
        <f t="shared" si="76"/>
        <v>0.05172477892666083</v>
      </c>
      <c r="K196" s="240">
        <f t="shared" si="76"/>
        <v>-0.0898526804018076</v>
      </c>
      <c r="L196" s="240">
        <f t="shared" si="76"/>
        <v>0.016345908271099274</v>
      </c>
      <c r="M196" s="240">
        <f t="shared" si="76"/>
        <v>0.003717216594233852</v>
      </c>
      <c r="N196" s="240">
        <f t="shared" si="76"/>
        <v>0.004650246055369456</v>
      </c>
      <c r="O196" s="240">
        <f t="shared" si="76"/>
        <v>0.004445063984512609</v>
      </c>
      <c r="P196" s="240">
        <f t="shared" si="76"/>
        <v>0.001280065958829013</v>
      </c>
      <c r="Q196" s="240">
        <f t="shared" si="76"/>
        <v>-0.006213167295957334</v>
      </c>
      <c r="R196" s="240">
        <f t="shared" si="76"/>
        <v>0.010353126198495266</v>
      </c>
      <c r="S196" s="240">
        <f t="shared" si="76"/>
        <v>0.016755841356223655</v>
      </c>
      <c r="T196" s="240">
        <f t="shared" si="76"/>
        <v>0.016845369168444257</v>
      </c>
      <c r="U196" s="240">
        <f t="shared" si="76"/>
        <v>0.0014531845322289794</v>
      </c>
      <c r="V196" s="240">
        <f t="shared" si="76"/>
        <v>0</v>
      </c>
      <c r="W196" s="240">
        <f t="shared" si="76"/>
        <v>0</v>
      </c>
      <c r="X196" s="240">
        <f t="shared" si="76"/>
        <v>8.263754000314982E-05</v>
      </c>
    </row>
    <row r="197" spans="1:24" ht="14.25" outlineLevel="2">
      <c r="A197" s="163"/>
      <c r="B197" s="163"/>
      <c r="C197" s="163"/>
      <c r="D197" s="163"/>
      <c r="E197" s="175" t="s">
        <v>398</v>
      </c>
      <c r="F197" s="205" t="s">
        <v>415</v>
      </c>
      <c r="G197" s="206">
        <f aca="true" t="shared" si="77" ref="G197:X197">+IF(G7=0,0,IF(F223&lt;&gt;0,G223/F223-1,0))</f>
        <v>0.02156753134470346</v>
      </c>
      <c r="H197" s="206">
        <f t="shared" si="77"/>
        <v>0.07113073479627641</v>
      </c>
      <c r="I197" s="207">
        <f t="shared" si="77"/>
        <v>-0.022343834619828695</v>
      </c>
      <c r="J197" s="169">
        <f t="shared" si="77"/>
        <v>0.02297300729190388</v>
      </c>
      <c r="K197" s="170">
        <f t="shared" si="77"/>
        <v>-0.07179419106861396</v>
      </c>
      <c r="L197" s="170">
        <f t="shared" si="77"/>
        <v>0.024582390259294984</v>
      </c>
      <c r="M197" s="170">
        <f t="shared" si="77"/>
        <v>0.003717216594233852</v>
      </c>
      <c r="N197" s="170">
        <f t="shared" si="77"/>
        <v>0.004650246055369456</v>
      </c>
      <c r="O197" s="170">
        <f t="shared" si="77"/>
        <v>0.004445063984512609</v>
      </c>
      <c r="P197" s="170">
        <f t="shared" si="77"/>
        <v>0.001280065958829013</v>
      </c>
      <c r="Q197" s="170">
        <f t="shared" si="77"/>
        <v>-0.006213167295957334</v>
      </c>
      <c r="R197" s="170">
        <f t="shared" si="77"/>
        <v>0.010353126198495266</v>
      </c>
      <c r="S197" s="170">
        <f t="shared" si="77"/>
        <v>0.016755841356223655</v>
      </c>
      <c r="T197" s="170">
        <f t="shared" si="77"/>
        <v>0.016845369168444257</v>
      </c>
      <c r="U197" s="170">
        <f t="shared" si="77"/>
        <v>0.0014531845322289794</v>
      </c>
      <c r="V197" s="170">
        <f t="shared" si="77"/>
        <v>0</v>
      </c>
      <c r="W197" s="170">
        <f t="shared" si="77"/>
        <v>0</v>
      </c>
      <c r="X197" s="170">
        <f t="shared" si="77"/>
        <v>8.263754000314982E-05</v>
      </c>
    </row>
    <row r="198" spans="1:24" ht="14.25" outlineLevel="2">
      <c r="A198" s="238"/>
      <c r="B198" s="238"/>
      <c r="C198" s="238"/>
      <c r="D198" s="238"/>
      <c r="E198" s="176" t="s">
        <v>34</v>
      </c>
      <c r="F198" s="211" t="s">
        <v>415</v>
      </c>
      <c r="G198" s="212">
        <f aca="true" t="shared" si="78" ref="G198:X198">+IF(G7=0,0,IF(F224&lt;&gt;0,G224/F224-1,0))</f>
        <v>0.06543119041479617</v>
      </c>
      <c r="H198" s="212">
        <f t="shared" si="78"/>
        <v>0.07805481534605274</v>
      </c>
      <c r="I198" s="213">
        <f t="shared" si="78"/>
        <v>-0.0058234498514315725</v>
      </c>
      <c r="J198" s="241">
        <f t="shared" si="78"/>
        <v>0.05207910002845284</v>
      </c>
      <c r="K198" s="242">
        <f t="shared" si="78"/>
        <v>-0.03560267371079773</v>
      </c>
      <c r="L198" s="242">
        <f t="shared" si="78"/>
        <v>0.00024652783737999506</v>
      </c>
      <c r="M198" s="242">
        <f t="shared" si="78"/>
        <v>0.0006214499573411469</v>
      </c>
      <c r="N198" s="242">
        <f t="shared" si="78"/>
        <v>0</v>
      </c>
      <c r="O198" s="242">
        <f t="shared" si="78"/>
        <v>0.0014104074280043566</v>
      </c>
      <c r="P198" s="242">
        <f t="shared" si="78"/>
        <v>0.0016901051767099773</v>
      </c>
      <c r="Q198" s="242">
        <f t="shared" si="78"/>
        <v>5.6241784692101504E-05</v>
      </c>
      <c r="R198" s="242">
        <f t="shared" si="78"/>
        <v>-0.0003374317303904695</v>
      </c>
      <c r="S198" s="242">
        <f t="shared" si="78"/>
        <v>-7.313488628246656E-05</v>
      </c>
      <c r="T198" s="242">
        <f t="shared" si="78"/>
        <v>-0.0007707855575220801</v>
      </c>
      <c r="U198" s="242">
        <f t="shared" si="78"/>
        <v>0</v>
      </c>
      <c r="V198" s="242">
        <f t="shared" si="78"/>
        <v>0</v>
      </c>
      <c r="W198" s="242">
        <f t="shared" si="78"/>
        <v>0</v>
      </c>
      <c r="X198" s="242">
        <f t="shared" si="78"/>
        <v>-0.00028152559349736705</v>
      </c>
    </row>
    <row r="199" spans="1:24" ht="14.25" outlineLevel="2">
      <c r="A199" s="163"/>
      <c r="B199" s="163"/>
      <c r="C199" s="163"/>
      <c r="D199" s="163"/>
      <c r="E199" s="171" t="s">
        <v>36</v>
      </c>
      <c r="F199" s="205" t="s">
        <v>415</v>
      </c>
      <c r="G199" s="206">
        <f aca="true" t="shared" si="79" ref="G199:X199">+IF(G7=0,0,IF(F225&lt;&gt;0,G225/F225-1,0))</f>
        <v>0.06543119041479617</v>
      </c>
      <c r="H199" s="206">
        <f t="shared" si="79"/>
        <v>0.07805481534605274</v>
      </c>
      <c r="I199" s="207">
        <f t="shared" si="79"/>
        <v>-0.0058234498514315725</v>
      </c>
      <c r="J199" s="169">
        <f t="shared" si="79"/>
        <v>0.02751520716368394</v>
      </c>
      <c r="K199" s="170">
        <f t="shared" si="79"/>
        <v>-0.018821077413611276</v>
      </c>
      <c r="L199" s="170">
        <f t="shared" si="79"/>
        <v>0.00664183444917521</v>
      </c>
      <c r="M199" s="170">
        <f t="shared" si="79"/>
        <v>0.0006214499573411469</v>
      </c>
      <c r="N199" s="170">
        <f t="shared" si="79"/>
        <v>0</v>
      </c>
      <c r="O199" s="170">
        <f t="shared" si="79"/>
        <v>0.0014104074280043566</v>
      </c>
      <c r="P199" s="170">
        <f t="shared" si="79"/>
        <v>0.0016901051767099773</v>
      </c>
      <c r="Q199" s="170">
        <f t="shared" si="79"/>
        <v>5.6241784692101504E-05</v>
      </c>
      <c r="R199" s="170">
        <f t="shared" si="79"/>
        <v>-0.0003374317303904695</v>
      </c>
      <c r="S199" s="170">
        <f t="shared" si="79"/>
        <v>-7.313488628246656E-05</v>
      </c>
      <c r="T199" s="170">
        <f t="shared" si="79"/>
        <v>-0.0007707855575220801</v>
      </c>
      <c r="U199" s="170">
        <f t="shared" si="79"/>
        <v>0</v>
      </c>
      <c r="V199" s="170">
        <f t="shared" si="79"/>
        <v>0</v>
      </c>
      <c r="W199" s="170">
        <f t="shared" si="79"/>
        <v>0</v>
      </c>
      <c r="X199" s="170">
        <f t="shared" si="79"/>
        <v>-0.00028152559349736705</v>
      </c>
    </row>
    <row r="200" spans="1:24" ht="14.25" outlineLevel="2">
      <c r="A200" s="163"/>
      <c r="B200" s="163"/>
      <c r="C200" s="163"/>
      <c r="D200" s="163"/>
      <c r="E200" s="171" t="s">
        <v>35</v>
      </c>
      <c r="F200" s="205" t="s">
        <v>415</v>
      </c>
      <c r="G200" s="206">
        <f aca="true" t="shared" si="80" ref="G200:X200">+IF(G7=0,0,IF(F226&lt;&gt;0,G226/F226-1,0))</f>
        <v>0.16940098063814246</v>
      </c>
      <c r="H200" s="206">
        <f t="shared" si="80"/>
        <v>0.03872912546118368</v>
      </c>
      <c r="I200" s="207">
        <f t="shared" si="80"/>
        <v>5.1902953663640616E-05</v>
      </c>
      <c r="J200" s="169">
        <f t="shared" si="80"/>
        <v>0.0285105756905093</v>
      </c>
      <c r="K200" s="170">
        <f t="shared" si="80"/>
        <v>-0.008402991424331652</v>
      </c>
      <c r="L200" s="170">
        <f t="shared" si="80"/>
        <v>0.0011491108071135514</v>
      </c>
      <c r="M200" s="170">
        <f t="shared" si="80"/>
        <v>0.0010384783559247435</v>
      </c>
      <c r="N200" s="170">
        <f t="shared" si="80"/>
        <v>0.003008463008463025</v>
      </c>
      <c r="O200" s="170">
        <f t="shared" si="80"/>
        <v>-1</v>
      </c>
      <c r="P200" s="170">
        <f t="shared" si="80"/>
        <v>0</v>
      </c>
      <c r="Q200" s="170">
        <f t="shared" si="80"/>
        <v>0</v>
      </c>
      <c r="R200" s="170">
        <f t="shared" si="80"/>
        <v>0</v>
      </c>
      <c r="S200" s="170">
        <f t="shared" si="80"/>
        <v>0</v>
      </c>
      <c r="T200" s="170">
        <f t="shared" si="80"/>
        <v>0</v>
      </c>
      <c r="U200" s="170">
        <f t="shared" si="80"/>
        <v>0</v>
      </c>
      <c r="V200" s="170">
        <f t="shared" si="80"/>
        <v>0</v>
      </c>
      <c r="W200" s="170">
        <f t="shared" si="80"/>
        <v>0</v>
      </c>
      <c r="X200" s="170">
        <f t="shared" si="80"/>
        <v>0</v>
      </c>
    </row>
    <row r="201" spans="1:24" ht="36" outlineLevel="2">
      <c r="A201" s="163"/>
      <c r="B201" s="163"/>
      <c r="C201" s="163"/>
      <c r="D201" s="163"/>
      <c r="E201" s="172" t="s">
        <v>397</v>
      </c>
      <c r="F201" s="214" t="s">
        <v>415</v>
      </c>
      <c r="G201" s="215">
        <f aca="true" t="shared" si="81" ref="G201:X201">+IF(G7=0,0,IF(F227&lt;&gt;0,G227/F227-1,0))</f>
        <v>-0.04161343307312382</v>
      </c>
      <c r="H201" s="215">
        <f t="shared" si="81"/>
        <v>0.10421397851427128</v>
      </c>
      <c r="I201" s="216">
        <f t="shared" si="81"/>
        <v>0.0013569164251336918</v>
      </c>
      <c r="J201" s="177">
        <f t="shared" si="81"/>
        <v>-0.11409753341605122</v>
      </c>
      <c r="K201" s="178">
        <f t="shared" si="81"/>
        <v>-0.07230954116725652</v>
      </c>
      <c r="L201" s="178">
        <f t="shared" si="81"/>
        <v>-0.00022503660786987734</v>
      </c>
      <c r="M201" s="178">
        <f t="shared" si="81"/>
        <v>0.0029267542230428933</v>
      </c>
      <c r="N201" s="178">
        <f t="shared" si="81"/>
        <v>-0.07904290971387196</v>
      </c>
      <c r="O201" s="178">
        <f t="shared" si="81"/>
        <v>1.7220764902919847</v>
      </c>
      <c r="P201" s="178">
        <f t="shared" si="81"/>
        <v>0.004771217748417822</v>
      </c>
      <c r="Q201" s="178">
        <f t="shared" si="81"/>
        <v>0.003201924961141911</v>
      </c>
      <c r="R201" s="178">
        <f t="shared" si="81"/>
        <v>0.003363650458334755</v>
      </c>
      <c r="S201" s="178">
        <f t="shared" si="81"/>
        <v>0.0026117035691166635</v>
      </c>
      <c r="T201" s="178">
        <f t="shared" si="81"/>
        <v>0.0011592766170474</v>
      </c>
      <c r="U201" s="178">
        <f t="shared" si="81"/>
        <v>0.0006515862704987718</v>
      </c>
      <c r="V201" s="178">
        <f t="shared" si="81"/>
        <v>0.0007892858614466647</v>
      </c>
      <c r="W201" s="178">
        <f t="shared" si="81"/>
        <v>0.0006478456038156999</v>
      </c>
      <c r="X201" s="178">
        <f t="shared" si="81"/>
        <v>0.0005059287069602014</v>
      </c>
    </row>
    <row r="202" spans="1:24" ht="14.25" outlineLevel="1">
      <c r="A202" s="163"/>
      <c r="B202" s="163"/>
      <c r="C202" s="163"/>
      <c r="D202" s="163"/>
      <c r="E202" s="268" t="s">
        <v>429</v>
      </c>
      <c r="F202" s="179"/>
      <c r="G202" s="179"/>
      <c r="H202" s="179"/>
      <c r="I202" s="179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</row>
    <row r="203" spans="1:24" ht="14.25" outlineLevel="2">
      <c r="A203" s="238"/>
      <c r="B203" s="238"/>
      <c r="C203" s="238"/>
      <c r="D203" s="238"/>
      <c r="E203" s="164" t="s">
        <v>24</v>
      </c>
      <c r="F203" s="220" t="s">
        <v>415</v>
      </c>
      <c r="G203" s="221">
        <f aca="true" t="shared" si="82" ref="G203:G208">+IF(G$216=0,"",G216-F216)</f>
        <v>27592974.409999967</v>
      </c>
      <c r="H203" s="221">
        <f aca="true" t="shared" si="83" ref="H203:H208">+IF(H$216=0,"",H216-G216)</f>
        <v>9016100.100000024</v>
      </c>
      <c r="I203" s="222">
        <f aca="true" t="shared" si="84" ref="I203:I208">+IF(I$216=0,"",I216-H216)</f>
        <v>18585172.449999988</v>
      </c>
      <c r="J203" s="243">
        <f aca="true" t="shared" si="85" ref="J203:X203">+IF(J$216=0,"",J216-I216)</f>
        <v>15824629.550000012</v>
      </c>
      <c r="K203" s="244">
        <f t="shared" si="85"/>
        <v>-27508788.060000002</v>
      </c>
      <c r="L203" s="244">
        <f t="shared" si="85"/>
        <v>10205500</v>
      </c>
      <c r="M203" s="244">
        <f t="shared" si="85"/>
        <v>8865572</v>
      </c>
      <c r="N203" s="244">
        <f t="shared" si="85"/>
        <v>5800000</v>
      </c>
      <c r="O203" s="244">
        <f t="shared" si="85"/>
        <v>-1000000</v>
      </c>
      <c r="P203" s="244">
        <f t="shared" si="85"/>
        <v>0</v>
      </c>
      <c r="Q203" s="244">
        <f t="shared" si="85"/>
        <v>0</v>
      </c>
      <c r="R203" s="244">
        <f t="shared" si="85"/>
        <v>0</v>
      </c>
      <c r="S203" s="244">
        <f t="shared" si="85"/>
        <v>0</v>
      </c>
      <c r="T203" s="244">
        <f t="shared" si="85"/>
        <v>0</v>
      </c>
      <c r="U203" s="244">
        <f t="shared" si="85"/>
        <v>0</v>
      </c>
      <c r="V203" s="244">
        <f t="shared" si="85"/>
        <v>0</v>
      </c>
      <c r="W203" s="244">
        <f t="shared" si="85"/>
        <v>0</v>
      </c>
      <c r="X203" s="244">
        <f t="shared" si="85"/>
        <v>0</v>
      </c>
    </row>
    <row r="204" spans="1:24" ht="14.25" outlineLevel="2">
      <c r="A204" s="163"/>
      <c r="B204" s="163"/>
      <c r="C204" s="163"/>
      <c r="D204" s="163"/>
      <c r="E204" s="168" t="s">
        <v>399</v>
      </c>
      <c r="F204" s="226" t="s">
        <v>415</v>
      </c>
      <c r="G204" s="227">
        <f t="shared" si="82"/>
        <v>27592974.409999967</v>
      </c>
      <c r="H204" s="227">
        <f t="shared" si="83"/>
        <v>9016100.100000024</v>
      </c>
      <c r="I204" s="228">
        <f t="shared" si="84"/>
        <v>18585172.449999988</v>
      </c>
      <c r="J204" s="184">
        <f aca="true" t="shared" si="86" ref="J204:X204">+IF(J$216=0,"",J217-I217)</f>
        <v>5500884.25</v>
      </c>
      <c r="K204" s="185">
        <f t="shared" si="86"/>
        <v>-20235314.430000007</v>
      </c>
      <c r="L204" s="185">
        <f t="shared" si="86"/>
        <v>13255771.670000017</v>
      </c>
      <c r="M204" s="185">
        <f t="shared" si="86"/>
        <v>8865572</v>
      </c>
      <c r="N204" s="185">
        <f t="shared" si="86"/>
        <v>5800000</v>
      </c>
      <c r="O204" s="185">
        <f t="shared" si="86"/>
        <v>-1000000</v>
      </c>
      <c r="P204" s="185">
        <f t="shared" si="86"/>
        <v>0</v>
      </c>
      <c r="Q204" s="185">
        <f t="shared" si="86"/>
        <v>0</v>
      </c>
      <c r="R204" s="185">
        <f t="shared" si="86"/>
        <v>0</v>
      </c>
      <c r="S204" s="185">
        <f t="shared" si="86"/>
        <v>0</v>
      </c>
      <c r="T204" s="185">
        <f t="shared" si="86"/>
        <v>0</v>
      </c>
      <c r="U204" s="185">
        <f t="shared" si="86"/>
        <v>0</v>
      </c>
      <c r="V204" s="185">
        <f t="shared" si="86"/>
        <v>0</v>
      </c>
      <c r="W204" s="185">
        <f t="shared" si="86"/>
        <v>0</v>
      </c>
      <c r="X204" s="185">
        <f t="shared" si="86"/>
        <v>0</v>
      </c>
    </row>
    <row r="205" spans="1:24" ht="14.25" outlineLevel="2">
      <c r="A205" s="163"/>
      <c r="B205" s="163"/>
      <c r="C205" s="163"/>
      <c r="D205" s="163"/>
      <c r="E205" s="171" t="s">
        <v>400</v>
      </c>
      <c r="F205" s="229" t="s">
        <v>415</v>
      </c>
      <c r="G205" s="230">
        <f t="shared" si="82"/>
        <v>23854696.21999997</v>
      </c>
      <c r="H205" s="230">
        <f t="shared" si="83"/>
        <v>18839253.26000005</v>
      </c>
      <c r="I205" s="231">
        <f t="shared" si="84"/>
        <v>7533227.069999993</v>
      </c>
      <c r="J205" s="184">
        <f aca="true" t="shared" si="87" ref="J205:X205">+IF(J$216=0,"",J218-I218)</f>
        <v>2996113.430000007</v>
      </c>
      <c r="K205" s="185">
        <f t="shared" si="87"/>
        <v>5954976.2299999595</v>
      </c>
      <c r="L205" s="185">
        <f t="shared" si="87"/>
        <v>13255771.670000017</v>
      </c>
      <c r="M205" s="185">
        <f t="shared" si="87"/>
        <v>8865572</v>
      </c>
      <c r="N205" s="185">
        <f t="shared" si="87"/>
        <v>5800000</v>
      </c>
      <c r="O205" s="185">
        <f t="shared" si="87"/>
        <v>0</v>
      </c>
      <c r="P205" s="185">
        <f t="shared" si="87"/>
        <v>0</v>
      </c>
      <c r="Q205" s="185">
        <f t="shared" si="87"/>
        <v>0</v>
      </c>
      <c r="R205" s="185">
        <f t="shared" si="87"/>
        <v>0</v>
      </c>
      <c r="S205" s="185">
        <f t="shared" si="87"/>
        <v>0</v>
      </c>
      <c r="T205" s="185">
        <f t="shared" si="87"/>
        <v>0</v>
      </c>
      <c r="U205" s="185">
        <f t="shared" si="87"/>
        <v>0</v>
      </c>
      <c r="V205" s="185">
        <f t="shared" si="87"/>
        <v>0</v>
      </c>
      <c r="W205" s="185">
        <f t="shared" si="87"/>
        <v>0</v>
      </c>
      <c r="X205" s="185">
        <f t="shared" si="87"/>
        <v>0</v>
      </c>
    </row>
    <row r="206" spans="1:24" ht="14.25" outlineLevel="2">
      <c r="A206" s="163"/>
      <c r="B206" s="163"/>
      <c r="C206" s="163"/>
      <c r="D206" s="163"/>
      <c r="E206" s="171" t="s">
        <v>401</v>
      </c>
      <c r="F206" s="229" t="s">
        <v>415</v>
      </c>
      <c r="G206" s="230">
        <f t="shared" si="82"/>
        <v>3738278.1900000013</v>
      </c>
      <c r="H206" s="230">
        <f t="shared" si="83"/>
        <v>-9823153.16</v>
      </c>
      <c r="I206" s="231">
        <f t="shared" si="84"/>
        <v>11051945.379999999</v>
      </c>
      <c r="J206" s="184">
        <f aca="true" t="shared" si="88" ref="J206:X206">+IF(J$216=0,"",J219-I219)</f>
        <v>2504770.8200000003</v>
      </c>
      <c r="K206" s="185">
        <f t="shared" si="88"/>
        <v>-26190290.66</v>
      </c>
      <c r="L206" s="185">
        <f t="shared" si="88"/>
        <v>0</v>
      </c>
      <c r="M206" s="185">
        <f t="shared" si="88"/>
        <v>0</v>
      </c>
      <c r="N206" s="185">
        <f t="shared" si="88"/>
        <v>0</v>
      </c>
      <c r="O206" s="185">
        <f t="shared" si="88"/>
        <v>-1000000</v>
      </c>
      <c r="P206" s="185">
        <f t="shared" si="88"/>
        <v>0</v>
      </c>
      <c r="Q206" s="185">
        <f t="shared" si="88"/>
        <v>0</v>
      </c>
      <c r="R206" s="185">
        <f t="shared" si="88"/>
        <v>0</v>
      </c>
      <c r="S206" s="185">
        <f t="shared" si="88"/>
        <v>0</v>
      </c>
      <c r="T206" s="185">
        <f t="shared" si="88"/>
        <v>0</v>
      </c>
      <c r="U206" s="185">
        <f t="shared" si="88"/>
        <v>0</v>
      </c>
      <c r="V206" s="185">
        <f t="shared" si="88"/>
        <v>0</v>
      </c>
      <c r="W206" s="185">
        <f t="shared" si="88"/>
        <v>0</v>
      </c>
      <c r="X206" s="185">
        <f t="shared" si="88"/>
        <v>0</v>
      </c>
    </row>
    <row r="207" spans="1:24" ht="24" outlineLevel="2">
      <c r="A207" s="163"/>
      <c r="B207" s="163"/>
      <c r="C207" s="163"/>
      <c r="D207" s="163"/>
      <c r="E207" s="171" t="s">
        <v>402</v>
      </c>
      <c r="F207" s="229" t="s">
        <v>415</v>
      </c>
      <c r="G207" s="230">
        <f t="shared" si="82"/>
        <v>4538892.789999999</v>
      </c>
      <c r="H207" s="230">
        <f t="shared" si="83"/>
        <v>-11777946.629999999</v>
      </c>
      <c r="I207" s="231">
        <f t="shared" si="84"/>
        <v>10771332.379999999</v>
      </c>
      <c r="J207" s="184">
        <f aca="true" t="shared" si="89" ref="J207:X207">+IF(J$216=0,"",J220-I220)</f>
        <v>-3754816.1799999997</v>
      </c>
      <c r="K207" s="185">
        <f t="shared" si="89"/>
        <v>-17004090.66</v>
      </c>
      <c r="L207" s="185">
        <f t="shared" si="89"/>
        <v>0</v>
      </c>
      <c r="M207" s="185">
        <f t="shared" si="89"/>
        <v>0</v>
      </c>
      <c r="N207" s="185">
        <f t="shared" si="89"/>
        <v>0</v>
      </c>
      <c r="O207" s="185">
        <f t="shared" si="89"/>
        <v>0</v>
      </c>
      <c r="P207" s="185">
        <f t="shared" si="89"/>
        <v>0</v>
      </c>
      <c r="Q207" s="185">
        <f t="shared" si="89"/>
        <v>0</v>
      </c>
      <c r="R207" s="185">
        <f t="shared" si="89"/>
        <v>0</v>
      </c>
      <c r="S207" s="185">
        <f t="shared" si="89"/>
        <v>0</v>
      </c>
      <c r="T207" s="185">
        <f t="shared" si="89"/>
        <v>0</v>
      </c>
      <c r="U207" s="185">
        <f t="shared" si="89"/>
        <v>0</v>
      </c>
      <c r="V207" s="185">
        <f t="shared" si="89"/>
        <v>0</v>
      </c>
      <c r="W207" s="185">
        <f t="shared" si="89"/>
        <v>0</v>
      </c>
      <c r="X207" s="185">
        <f t="shared" si="89"/>
        <v>0</v>
      </c>
    </row>
    <row r="208" spans="1:24" ht="14.25" outlineLevel="2">
      <c r="A208" s="163"/>
      <c r="B208" s="163"/>
      <c r="C208" s="163"/>
      <c r="D208" s="163"/>
      <c r="E208" s="172" t="s">
        <v>33</v>
      </c>
      <c r="F208" s="232" t="s">
        <v>415</v>
      </c>
      <c r="G208" s="233">
        <f t="shared" si="82"/>
        <v>-800614.5999999999</v>
      </c>
      <c r="H208" s="233">
        <f t="shared" si="83"/>
        <v>1954793.47</v>
      </c>
      <c r="I208" s="234">
        <f t="shared" si="84"/>
        <v>280613</v>
      </c>
      <c r="J208" s="186">
        <f aca="true" t="shared" si="90" ref="J208:X208">+IF(J$216=0,"",J221-I221)</f>
        <v>6259587</v>
      </c>
      <c r="K208" s="187">
        <f t="shared" si="90"/>
        <v>-9186200</v>
      </c>
      <c r="L208" s="187">
        <f t="shared" si="90"/>
        <v>0</v>
      </c>
      <c r="M208" s="187">
        <f t="shared" si="90"/>
        <v>0</v>
      </c>
      <c r="N208" s="187">
        <f t="shared" si="90"/>
        <v>0</v>
      </c>
      <c r="O208" s="187">
        <f t="shared" si="90"/>
        <v>-1000000</v>
      </c>
      <c r="P208" s="187">
        <f t="shared" si="90"/>
        <v>0</v>
      </c>
      <c r="Q208" s="187">
        <f t="shared" si="90"/>
        <v>0</v>
      </c>
      <c r="R208" s="187">
        <f t="shared" si="90"/>
        <v>0</v>
      </c>
      <c r="S208" s="187">
        <f t="shared" si="90"/>
        <v>0</v>
      </c>
      <c r="T208" s="187">
        <f t="shared" si="90"/>
        <v>0</v>
      </c>
      <c r="U208" s="187">
        <f t="shared" si="90"/>
        <v>0</v>
      </c>
      <c r="V208" s="187">
        <f t="shared" si="90"/>
        <v>0</v>
      </c>
      <c r="W208" s="187">
        <f t="shared" si="90"/>
        <v>0</v>
      </c>
      <c r="X208" s="187">
        <f t="shared" si="90"/>
        <v>0</v>
      </c>
    </row>
    <row r="209" spans="1:24" ht="14.25" outlineLevel="2">
      <c r="A209" s="238"/>
      <c r="B209" s="238"/>
      <c r="C209" s="238"/>
      <c r="D209" s="238"/>
      <c r="E209" s="164" t="s">
        <v>19</v>
      </c>
      <c r="F209" s="220" t="s">
        <v>415</v>
      </c>
      <c r="G209" s="221">
        <f aca="true" t="shared" si="91" ref="G209:G214">+IF(G$222=0,"",G222-F222)</f>
        <v>7991615.620000005</v>
      </c>
      <c r="H209" s="221">
        <f aca="true" t="shared" si="92" ref="H209:H214">+IF(H$222=0,"",H222-G222)</f>
        <v>26925174.430000007</v>
      </c>
      <c r="I209" s="222">
        <f aca="true" t="shared" si="93" ref="I209:I214">+IF(I$222=0,"",I222-H222)</f>
        <v>-9059441.390000045</v>
      </c>
      <c r="J209" s="243">
        <f aca="true" t="shared" si="94" ref="J209:J214">+IF(J$222=0,"",J222-I222)</f>
        <v>20503523.390000045</v>
      </c>
      <c r="K209" s="244">
        <f aca="true" t="shared" si="95" ref="K209:X214">+IF(K$222=0,"",K222-J222)</f>
        <v>-37459588.140000045</v>
      </c>
      <c r="L209" s="244">
        <f t="shared" si="95"/>
        <v>6202299.199999988</v>
      </c>
      <c r="M209" s="244">
        <f t="shared" si="95"/>
        <v>1433517.7200000286</v>
      </c>
      <c r="N209" s="244">
        <f t="shared" si="95"/>
        <v>1800000</v>
      </c>
      <c r="O209" s="244">
        <f t="shared" si="95"/>
        <v>1728580</v>
      </c>
      <c r="P209" s="244">
        <f t="shared" si="95"/>
        <v>500000</v>
      </c>
      <c r="Q209" s="244">
        <f t="shared" si="95"/>
        <v>-2430000</v>
      </c>
      <c r="R209" s="244">
        <f t="shared" si="95"/>
        <v>4024000</v>
      </c>
      <c r="S209" s="244">
        <f t="shared" si="95"/>
        <v>6580000</v>
      </c>
      <c r="T209" s="244">
        <f t="shared" si="95"/>
        <v>6726000</v>
      </c>
      <c r="U209" s="244">
        <f t="shared" si="95"/>
        <v>590000</v>
      </c>
      <c r="V209" s="244">
        <f t="shared" si="95"/>
        <v>0</v>
      </c>
      <c r="W209" s="244">
        <f t="shared" si="95"/>
        <v>0</v>
      </c>
      <c r="X209" s="244">
        <f t="shared" si="95"/>
        <v>33600</v>
      </c>
    </row>
    <row r="210" spans="1:24" ht="14.25" outlineLevel="2">
      <c r="A210" s="163"/>
      <c r="B210" s="163"/>
      <c r="C210" s="163"/>
      <c r="D210" s="163"/>
      <c r="E210" s="175" t="s">
        <v>398</v>
      </c>
      <c r="F210" s="229" t="s">
        <v>415</v>
      </c>
      <c r="G210" s="230">
        <f t="shared" si="91"/>
        <v>7991615.620000005</v>
      </c>
      <c r="H210" s="230">
        <f t="shared" si="92"/>
        <v>26925174.430000007</v>
      </c>
      <c r="I210" s="231">
        <f t="shared" si="93"/>
        <v>-9059441.390000045</v>
      </c>
      <c r="J210" s="184">
        <f t="shared" si="94"/>
        <v>9106420.600000024</v>
      </c>
      <c r="K210" s="185">
        <f aca="true" t="shared" si="96" ref="K210:X210">+IF(K$222=0,"",K223-J223)</f>
        <v>-29112757.02000004</v>
      </c>
      <c r="L210" s="185">
        <f t="shared" si="96"/>
        <v>9252570.870000005</v>
      </c>
      <c r="M210" s="185">
        <f t="shared" si="96"/>
        <v>1433517.7200000286</v>
      </c>
      <c r="N210" s="185">
        <f t="shared" si="96"/>
        <v>1800000</v>
      </c>
      <c r="O210" s="185">
        <f t="shared" si="96"/>
        <v>1728580</v>
      </c>
      <c r="P210" s="185">
        <f t="shared" si="96"/>
        <v>500000</v>
      </c>
      <c r="Q210" s="185">
        <f t="shared" si="96"/>
        <v>-2430000</v>
      </c>
      <c r="R210" s="185">
        <f t="shared" si="96"/>
        <v>4024000</v>
      </c>
      <c r="S210" s="185">
        <f t="shared" si="96"/>
        <v>6580000</v>
      </c>
      <c r="T210" s="185">
        <f t="shared" si="96"/>
        <v>6726000</v>
      </c>
      <c r="U210" s="185">
        <f t="shared" si="96"/>
        <v>590000</v>
      </c>
      <c r="V210" s="185">
        <f t="shared" si="96"/>
        <v>0</v>
      </c>
      <c r="W210" s="185">
        <f t="shared" si="96"/>
        <v>0</v>
      </c>
      <c r="X210" s="185">
        <f t="shared" si="96"/>
        <v>33600</v>
      </c>
    </row>
    <row r="211" spans="1:24" ht="14.25" outlineLevel="2">
      <c r="A211" s="238"/>
      <c r="B211" s="238"/>
      <c r="C211" s="238"/>
      <c r="D211" s="238"/>
      <c r="E211" s="176" t="s">
        <v>34</v>
      </c>
      <c r="F211" s="235" t="s">
        <v>415</v>
      </c>
      <c r="G211" s="236">
        <f t="shared" si="91"/>
        <v>20003188.25</v>
      </c>
      <c r="H211" s="236">
        <f t="shared" si="92"/>
        <v>25423744.050000012</v>
      </c>
      <c r="I211" s="237">
        <f t="shared" si="93"/>
        <v>-2044847.8100000024</v>
      </c>
      <c r="J211" s="245">
        <f t="shared" si="94"/>
        <v>18180575.920000017</v>
      </c>
      <c r="K211" s="246">
        <f t="shared" si="95"/>
        <v>-13076007.870000005</v>
      </c>
      <c r="L211" s="246">
        <f t="shared" si="95"/>
        <v>87320.16000002623</v>
      </c>
      <c r="M211" s="246">
        <f t="shared" si="95"/>
        <v>220171.83999997377</v>
      </c>
      <c r="N211" s="246">
        <f t="shared" si="95"/>
        <v>0</v>
      </c>
      <c r="O211" s="246">
        <f t="shared" si="95"/>
        <v>500000</v>
      </c>
      <c r="P211" s="246">
        <f t="shared" si="95"/>
        <v>600000</v>
      </c>
      <c r="Q211" s="246">
        <f t="shared" si="95"/>
        <v>20000</v>
      </c>
      <c r="R211" s="246">
        <f t="shared" si="95"/>
        <v>-120000</v>
      </c>
      <c r="S211" s="246">
        <f t="shared" si="95"/>
        <v>-26000</v>
      </c>
      <c r="T211" s="246">
        <f t="shared" si="95"/>
        <v>-274000</v>
      </c>
      <c r="U211" s="246">
        <f t="shared" si="95"/>
        <v>0</v>
      </c>
      <c r="V211" s="246">
        <f t="shared" si="95"/>
        <v>0</v>
      </c>
      <c r="W211" s="246">
        <f t="shared" si="95"/>
        <v>0</v>
      </c>
      <c r="X211" s="246">
        <f t="shared" si="95"/>
        <v>-100000</v>
      </c>
    </row>
    <row r="212" spans="1:24" ht="14.25" outlineLevel="2">
      <c r="A212" s="163"/>
      <c r="B212" s="163"/>
      <c r="C212" s="163"/>
      <c r="D212" s="163"/>
      <c r="E212" s="171" t="s">
        <v>36</v>
      </c>
      <c r="F212" s="229" t="s">
        <v>415</v>
      </c>
      <c r="G212" s="230">
        <f t="shared" si="91"/>
        <v>20003188.25</v>
      </c>
      <c r="H212" s="230">
        <f t="shared" si="92"/>
        <v>25423744.050000012</v>
      </c>
      <c r="I212" s="231">
        <f t="shared" si="93"/>
        <v>-2044847.8100000024</v>
      </c>
      <c r="J212" s="184">
        <f t="shared" si="94"/>
        <v>9605433.129999995</v>
      </c>
      <c r="K212" s="185">
        <f t="shared" si="95"/>
        <v>-6751136.75</v>
      </c>
      <c r="L212" s="185">
        <f t="shared" si="95"/>
        <v>2337591.830000043</v>
      </c>
      <c r="M212" s="185">
        <f t="shared" si="95"/>
        <v>220171.83999997377</v>
      </c>
      <c r="N212" s="185">
        <f t="shared" si="95"/>
        <v>0</v>
      </c>
      <c r="O212" s="185">
        <f t="shared" si="95"/>
        <v>500000</v>
      </c>
      <c r="P212" s="185">
        <f t="shared" si="95"/>
        <v>600000</v>
      </c>
      <c r="Q212" s="185">
        <f t="shared" si="95"/>
        <v>20000</v>
      </c>
      <c r="R212" s="185">
        <f t="shared" si="95"/>
        <v>-120000</v>
      </c>
      <c r="S212" s="185">
        <f t="shared" si="95"/>
        <v>-26000</v>
      </c>
      <c r="T212" s="185">
        <f t="shared" si="95"/>
        <v>-274000</v>
      </c>
      <c r="U212" s="185">
        <f t="shared" si="95"/>
        <v>0</v>
      </c>
      <c r="V212" s="185">
        <f t="shared" si="95"/>
        <v>0</v>
      </c>
      <c r="W212" s="185">
        <f t="shared" si="95"/>
        <v>0</v>
      </c>
      <c r="X212" s="185">
        <f t="shared" si="95"/>
        <v>-100000</v>
      </c>
    </row>
    <row r="213" spans="1:24" ht="14.25" outlineLevel="2">
      <c r="A213" s="163"/>
      <c r="B213" s="163"/>
      <c r="C213" s="163"/>
      <c r="D213" s="163"/>
      <c r="E213" s="171" t="s">
        <v>35</v>
      </c>
      <c r="F213" s="229" t="s">
        <v>415</v>
      </c>
      <c r="G213" s="230">
        <f t="shared" si="91"/>
        <v>24988548.639999986</v>
      </c>
      <c r="H213" s="230">
        <f t="shared" si="92"/>
        <v>6680765.939999998</v>
      </c>
      <c r="I213" s="231">
        <f t="shared" si="93"/>
        <v>9300</v>
      </c>
      <c r="J213" s="184">
        <f t="shared" si="94"/>
        <v>5108805.900000006</v>
      </c>
      <c r="K213" s="185">
        <f t="shared" si="95"/>
        <v>-1548660.0600000024</v>
      </c>
      <c r="L213" s="185">
        <f t="shared" si="95"/>
        <v>210000</v>
      </c>
      <c r="M213" s="185">
        <f t="shared" si="95"/>
        <v>190000</v>
      </c>
      <c r="N213" s="185">
        <f t="shared" si="95"/>
        <v>551000</v>
      </c>
      <c r="O213" s="185">
        <f t="shared" si="95"/>
        <v>-183701000</v>
      </c>
      <c r="P213" s="185">
        <f t="shared" si="95"/>
        <v>0</v>
      </c>
      <c r="Q213" s="185">
        <f t="shared" si="95"/>
        <v>0</v>
      </c>
      <c r="R213" s="185">
        <f t="shared" si="95"/>
        <v>0</v>
      </c>
      <c r="S213" s="185">
        <f t="shared" si="95"/>
        <v>0</v>
      </c>
      <c r="T213" s="185">
        <f t="shared" si="95"/>
        <v>0</v>
      </c>
      <c r="U213" s="185">
        <f t="shared" si="95"/>
        <v>0</v>
      </c>
      <c r="V213" s="185">
        <f t="shared" si="95"/>
        <v>0</v>
      </c>
      <c r="W213" s="185">
        <f t="shared" si="95"/>
        <v>0</v>
      </c>
      <c r="X213" s="185">
        <f t="shared" si="95"/>
        <v>0</v>
      </c>
    </row>
    <row r="214" spans="1:24" ht="36" outlineLevel="2">
      <c r="A214" s="163"/>
      <c r="B214" s="163"/>
      <c r="C214" s="163"/>
      <c r="D214" s="163"/>
      <c r="E214" s="172" t="s">
        <v>397</v>
      </c>
      <c r="F214" s="232" t="s">
        <v>415</v>
      </c>
      <c r="G214" s="233">
        <f t="shared" si="91"/>
        <v>-6470680.349999964</v>
      </c>
      <c r="H214" s="233">
        <f t="shared" si="92"/>
        <v>15530416.180000007</v>
      </c>
      <c r="I214" s="234">
        <f t="shared" si="93"/>
        <v>223287.00999999046</v>
      </c>
      <c r="J214" s="186">
        <f t="shared" si="94"/>
        <v>-18800764.799999982</v>
      </c>
      <c r="K214" s="187">
        <f t="shared" si="95"/>
        <v>-10555547.810000002</v>
      </c>
      <c r="L214" s="187">
        <f t="shared" si="95"/>
        <v>-30474.839999973774</v>
      </c>
      <c r="M214" s="187">
        <f t="shared" si="95"/>
        <v>396256.8399999738</v>
      </c>
      <c r="N214" s="187">
        <f t="shared" si="95"/>
        <v>-10733037.680000007</v>
      </c>
      <c r="O214" s="187">
        <f t="shared" si="95"/>
        <v>215353318.57</v>
      </c>
      <c r="P214" s="187">
        <f t="shared" si="95"/>
        <v>1624159.5600000024</v>
      </c>
      <c r="Q214" s="187">
        <f t="shared" si="95"/>
        <v>1095160.550000012</v>
      </c>
      <c r="R214" s="187">
        <f t="shared" si="95"/>
        <v>1154159.5699999928</v>
      </c>
      <c r="S214" s="187">
        <f t="shared" si="95"/>
        <v>899160.5500000119</v>
      </c>
      <c r="T214" s="187">
        <f t="shared" si="95"/>
        <v>400159.56999999285</v>
      </c>
      <c r="U214" s="187">
        <f t="shared" si="95"/>
        <v>225175.55000001192</v>
      </c>
      <c r="V214" s="187">
        <f t="shared" si="95"/>
        <v>272939.5799999833</v>
      </c>
      <c r="W214" s="187">
        <f t="shared" si="95"/>
        <v>224205.55000001192</v>
      </c>
      <c r="X214" s="187">
        <f t="shared" si="95"/>
        <v>175204.56999999285</v>
      </c>
    </row>
    <row r="215" spans="1:24" ht="14.25" outlineLevel="1">
      <c r="A215" s="163"/>
      <c r="B215" s="163"/>
      <c r="C215" s="163"/>
      <c r="D215" s="163"/>
      <c r="E215" s="268" t="s">
        <v>431</v>
      </c>
      <c r="F215" s="179"/>
      <c r="G215" s="179"/>
      <c r="H215" s="179"/>
      <c r="I215" s="179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</row>
    <row r="216" spans="1:24" ht="14.25" outlineLevel="2">
      <c r="A216" s="238"/>
      <c r="B216" s="238"/>
      <c r="C216" s="238"/>
      <c r="D216" s="238"/>
      <c r="E216" s="164" t="s">
        <v>24</v>
      </c>
      <c r="F216" s="181">
        <f>+F7</f>
        <v>339294911.55</v>
      </c>
      <c r="G216" s="182">
        <f>+G7</f>
        <v>366887885.96</v>
      </c>
      <c r="H216" s="182">
        <f>+H7</f>
        <v>375903986.06</v>
      </c>
      <c r="I216" s="183">
        <f>+I7</f>
        <v>394489158.51</v>
      </c>
      <c r="J216" s="243">
        <f aca="true" t="shared" si="97" ref="J216:X216">+J7</f>
        <v>410313788.06</v>
      </c>
      <c r="K216" s="244">
        <f t="shared" si="97"/>
        <v>382805000</v>
      </c>
      <c r="L216" s="244">
        <f t="shared" si="97"/>
        <v>393010500</v>
      </c>
      <c r="M216" s="244">
        <f t="shared" si="97"/>
        <v>401876072</v>
      </c>
      <c r="N216" s="244">
        <f t="shared" si="97"/>
        <v>407676072</v>
      </c>
      <c r="O216" s="244">
        <f t="shared" si="97"/>
        <v>406676072</v>
      </c>
      <c r="P216" s="244">
        <f t="shared" si="97"/>
        <v>406676072</v>
      </c>
      <c r="Q216" s="244">
        <f t="shared" si="97"/>
        <v>406676072</v>
      </c>
      <c r="R216" s="244">
        <f t="shared" si="97"/>
        <v>406676072</v>
      </c>
      <c r="S216" s="244">
        <f t="shared" si="97"/>
        <v>406676072</v>
      </c>
      <c r="T216" s="244">
        <f t="shared" si="97"/>
        <v>406676072</v>
      </c>
      <c r="U216" s="244">
        <f t="shared" si="97"/>
        <v>406676072</v>
      </c>
      <c r="V216" s="244">
        <f t="shared" si="97"/>
        <v>406676072</v>
      </c>
      <c r="W216" s="244">
        <f t="shared" si="97"/>
        <v>406676072</v>
      </c>
      <c r="X216" s="244">
        <f t="shared" si="97"/>
        <v>406676072</v>
      </c>
    </row>
    <row r="217" spans="1:24" ht="14.25" outlineLevel="2">
      <c r="A217" s="163"/>
      <c r="B217" s="163"/>
      <c r="C217" s="163"/>
      <c r="D217" s="163"/>
      <c r="E217" s="168" t="s">
        <v>399</v>
      </c>
      <c r="F217" s="188">
        <f>+(F7-F74-F77)</f>
        <v>339294911.55</v>
      </c>
      <c r="G217" s="189">
        <f>+(G7-G74-G77)</f>
        <v>366887885.96</v>
      </c>
      <c r="H217" s="189">
        <f>+(H7-H74-H77)</f>
        <v>375903986.06</v>
      </c>
      <c r="I217" s="190">
        <f>+(I7-I74-I77)</f>
        <v>394489158.51</v>
      </c>
      <c r="J217" s="184">
        <f>+(J7-J74-J77)</f>
        <v>399990042.76</v>
      </c>
      <c r="K217" s="185">
        <f aca="true" t="shared" si="98" ref="K217:X217">+(K7-K74-K77)</f>
        <v>379754728.33</v>
      </c>
      <c r="L217" s="185">
        <f t="shared" si="98"/>
        <v>393010500</v>
      </c>
      <c r="M217" s="185">
        <f t="shared" si="98"/>
        <v>401876072</v>
      </c>
      <c r="N217" s="185">
        <f t="shared" si="98"/>
        <v>407676072</v>
      </c>
      <c r="O217" s="185">
        <f t="shared" si="98"/>
        <v>406676072</v>
      </c>
      <c r="P217" s="185">
        <f t="shared" si="98"/>
        <v>406676072</v>
      </c>
      <c r="Q217" s="185">
        <f t="shared" si="98"/>
        <v>406676072</v>
      </c>
      <c r="R217" s="185">
        <f t="shared" si="98"/>
        <v>406676072</v>
      </c>
      <c r="S217" s="185">
        <f t="shared" si="98"/>
        <v>406676072</v>
      </c>
      <c r="T217" s="185">
        <f t="shared" si="98"/>
        <v>406676072</v>
      </c>
      <c r="U217" s="185">
        <f t="shared" si="98"/>
        <v>406676072</v>
      </c>
      <c r="V217" s="185">
        <f t="shared" si="98"/>
        <v>406676072</v>
      </c>
      <c r="W217" s="185">
        <f t="shared" si="98"/>
        <v>406676072</v>
      </c>
      <c r="X217" s="185">
        <f t="shared" si="98"/>
        <v>406676072</v>
      </c>
    </row>
    <row r="218" spans="1:24" ht="14.25" outlineLevel="2">
      <c r="A218" s="163"/>
      <c r="B218" s="163"/>
      <c r="C218" s="163"/>
      <c r="D218" s="163"/>
      <c r="E218" s="171" t="s">
        <v>400</v>
      </c>
      <c r="F218" s="188">
        <f>+F8-F74</f>
        <v>319576462.12</v>
      </c>
      <c r="G218" s="189">
        <f>+G8-G74</f>
        <v>343431158.34</v>
      </c>
      <c r="H218" s="189">
        <f>+H8-H74</f>
        <v>362270411.6</v>
      </c>
      <c r="I218" s="190">
        <f>+I8-I74</f>
        <v>369803638.67</v>
      </c>
      <c r="J218" s="184">
        <f>+J8-J74</f>
        <v>372799752.1</v>
      </c>
      <c r="K218" s="185">
        <f aca="true" t="shared" si="99" ref="K218:X218">+K8-K74</f>
        <v>378754728.33</v>
      </c>
      <c r="L218" s="185">
        <f t="shared" si="99"/>
        <v>392010500</v>
      </c>
      <c r="M218" s="185">
        <f t="shared" si="99"/>
        <v>400876072</v>
      </c>
      <c r="N218" s="185">
        <f t="shared" si="99"/>
        <v>406676072</v>
      </c>
      <c r="O218" s="185">
        <f t="shared" si="99"/>
        <v>406676072</v>
      </c>
      <c r="P218" s="185">
        <f t="shared" si="99"/>
        <v>406676072</v>
      </c>
      <c r="Q218" s="185">
        <f t="shared" si="99"/>
        <v>406676072</v>
      </c>
      <c r="R218" s="185">
        <f t="shared" si="99"/>
        <v>406676072</v>
      </c>
      <c r="S218" s="185">
        <f t="shared" si="99"/>
        <v>406676072</v>
      </c>
      <c r="T218" s="185">
        <f t="shared" si="99"/>
        <v>406676072</v>
      </c>
      <c r="U218" s="185">
        <f t="shared" si="99"/>
        <v>406676072</v>
      </c>
      <c r="V218" s="185">
        <f t="shared" si="99"/>
        <v>406676072</v>
      </c>
      <c r="W218" s="185">
        <f t="shared" si="99"/>
        <v>406676072</v>
      </c>
      <c r="X218" s="185">
        <f t="shared" si="99"/>
        <v>406676072</v>
      </c>
    </row>
    <row r="219" spans="1:24" ht="14.25" outlineLevel="2">
      <c r="A219" s="163"/>
      <c r="B219" s="163"/>
      <c r="C219" s="163"/>
      <c r="D219" s="163"/>
      <c r="E219" s="171" t="s">
        <v>401</v>
      </c>
      <c r="F219" s="188">
        <f>+F15-F77</f>
        <v>19718449.43</v>
      </c>
      <c r="G219" s="189">
        <f>+G15-G77</f>
        <v>23456727.62</v>
      </c>
      <c r="H219" s="189">
        <f>+H15-H77</f>
        <v>13633574.46</v>
      </c>
      <c r="I219" s="190">
        <f>+I15-I77</f>
        <v>24685519.84</v>
      </c>
      <c r="J219" s="184">
        <f>+J15-J77</f>
        <v>27190290.66</v>
      </c>
      <c r="K219" s="185">
        <f aca="true" t="shared" si="100" ref="K219:X219">+K15-K77</f>
        <v>1000000</v>
      </c>
      <c r="L219" s="185">
        <f t="shared" si="100"/>
        <v>1000000</v>
      </c>
      <c r="M219" s="185">
        <f t="shared" si="100"/>
        <v>1000000</v>
      </c>
      <c r="N219" s="185">
        <f t="shared" si="100"/>
        <v>1000000</v>
      </c>
      <c r="O219" s="185">
        <f t="shared" si="100"/>
        <v>0</v>
      </c>
      <c r="P219" s="185">
        <f t="shared" si="100"/>
        <v>0</v>
      </c>
      <c r="Q219" s="185">
        <f t="shared" si="100"/>
        <v>0</v>
      </c>
      <c r="R219" s="185">
        <f t="shared" si="100"/>
        <v>0</v>
      </c>
      <c r="S219" s="185">
        <f t="shared" si="100"/>
        <v>0</v>
      </c>
      <c r="T219" s="185">
        <f t="shared" si="100"/>
        <v>0</v>
      </c>
      <c r="U219" s="185">
        <f t="shared" si="100"/>
        <v>0</v>
      </c>
      <c r="V219" s="185">
        <f t="shared" si="100"/>
        <v>0</v>
      </c>
      <c r="W219" s="185">
        <f t="shared" si="100"/>
        <v>0</v>
      </c>
      <c r="X219" s="185">
        <f t="shared" si="100"/>
        <v>0</v>
      </c>
    </row>
    <row r="220" spans="1:24" ht="24" outlineLevel="2">
      <c r="A220" s="163"/>
      <c r="B220" s="163"/>
      <c r="C220" s="163"/>
      <c r="D220" s="163"/>
      <c r="E220" s="171" t="s">
        <v>402</v>
      </c>
      <c r="F220" s="188">
        <f>+F15-F77-F16</f>
        <v>17226628.3</v>
      </c>
      <c r="G220" s="189">
        <f>+G15-G77-G16</f>
        <v>21765521.09</v>
      </c>
      <c r="H220" s="189">
        <f>+H15-H77-H16</f>
        <v>9987574.46</v>
      </c>
      <c r="I220" s="190">
        <f>+I15-I77-I16</f>
        <v>20758906.84</v>
      </c>
      <c r="J220" s="184">
        <f>+J15-J77-J16</f>
        <v>17004090.66</v>
      </c>
      <c r="K220" s="185">
        <f aca="true" t="shared" si="101" ref="K220:X220">+K15-K77-K16</f>
        <v>0</v>
      </c>
      <c r="L220" s="185">
        <f t="shared" si="101"/>
        <v>0</v>
      </c>
      <c r="M220" s="185">
        <f t="shared" si="101"/>
        <v>0</v>
      </c>
      <c r="N220" s="185">
        <f t="shared" si="101"/>
        <v>0</v>
      </c>
      <c r="O220" s="185">
        <f t="shared" si="101"/>
        <v>0</v>
      </c>
      <c r="P220" s="185">
        <f t="shared" si="101"/>
        <v>0</v>
      </c>
      <c r="Q220" s="185">
        <f t="shared" si="101"/>
        <v>0</v>
      </c>
      <c r="R220" s="185">
        <f t="shared" si="101"/>
        <v>0</v>
      </c>
      <c r="S220" s="185">
        <f t="shared" si="101"/>
        <v>0</v>
      </c>
      <c r="T220" s="185">
        <f t="shared" si="101"/>
        <v>0</v>
      </c>
      <c r="U220" s="185">
        <f t="shared" si="101"/>
        <v>0</v>
      </c>
      <c r="V220" s="185">
        <f t="shared" si="101"/>
        <v>0</v>
      </c>
      <c r="W220" s="185">
        <f t="shared" si="101"/>
        <v>0</v>
      </c>
      <c r="X220" s="185">
        <f t="shared" si="101"/>
        <v>0</v>
      </c>
    </row>
    <row r="221" spans="1:24" ht="14.25" outlineLevel="2">
      <c r="A221" s="163"/>
      <c r="B221" s="163"/>
      <c r="C221" s="163"/>
      <c r="D221" s="163"/>
      <c r="E221" s="172" t="s">
        <v>33</v>
      </c>
      <c r="F221" s="191">
        <f>+F16</f>
        <v>2491821.13</v>
      </c>
      <c r="G221" s="192">
        <f>+G16</f>
        <v>1691206.53</v>
      </c>
      <c r="H221" s="192">
        <f>+H16</f>
        <v>3646000</v>
      </c>
      <c r="I221" s="193">
        <f>+I16</f>
        <v>3926613</v>
      </c>
      <c r="J221" s="186">
        <f>+J16</f>
        <v>10186200</v>
      </c>
      <c r="K221" s="187">
        <f aca="true" t="shared" si="102" ref="K221:X221">+K16</f>
        <v>1000000</v>
      </c>
      <c r="L221" s="187">
        <f t="shared" si="102"/>
        <v>1000000</v>
      </c>
      <c r="M221" s="187">
        <f t="shared" si="102"/>
        <v>1000000</v>
      </c>
      <c r="N221" s="187">
        <f t="shared" si="102"/>
        <v>1000000</v>
      </c>
      <c r="O221" s="187">
        <f t="shared" si="102"/>
        <v>0</v>
      </c>
      <c r="P221" s="187">
        <f t="shared" si="102"/>
        <v>0</v>
      </c>
      <c r="Q221" s="187">
        <f t="shared" si="102"/>
        <v>0</v>
      </c>
      <c r="R221" s="187">
        <f t="shared" si="102"/>
        <v>0</v>
      </c>
      <c r="S221" s="187">
        <f t="shared" si="102"/>
        <v>0</v>
      </c>
      <c r="T221" s="187">
        <f t="shared" si="102"/>
        <v>0</v>
      </c>
      <c r="U221" s="187">
        <f t="shared" si="102"/>
        <v>0</v>
      </c>
      <c r="V221" s="187">
        <f t="shared" si="102"/>
        <v>0</v>
      </c>
      <c r="W221" s="187">
        <f t="shared" si="102"/>
        <v>0</v>
      </c>
      <c r="X221" s="187">
        <f t="shared" si="102"/>
        <v>0</v>
      </c>
    </row>
    <row r="222" spans="1:24" ht="14.25" outlineLevel="2">
      <c r="A222" s="238"/>
      <c r="B222" s="238"/>
      <c r="C222" s="238"/>
      <c r="D222" s="238"/>
      <c r="E222" s="164" t="s">
        <v>19</v>
      </c>
      <c r="F222" s="181">
        <f>+F18</f>
        <v>370539191.17</v>
      </c>
      <c r="G222" s="182">
        <f>+G18</f>
        <v>378530806.79</v>
      </c>
      <c r="H222" s="182">
        <f>+H18</f>
        <v>405455981.22</v>
      </c>
      <c r="I222" s="183">
        <f>+I18</f>
        <v>396396539.83</v>
      </c>
      <c r="J222" s="243">
        <f>+J18</f>
        <v>416900063.22</v>
      </c>
      <c r="K222" s="244">
        <f aca="true" t="shared" si="103" ref="K222:X222">+K18</f>
        <v>379440475.08</v>
      </c>
      <c r="L222" s="244">
        <f t="shared" si="103"/>
        <v>385642774.28</v>
      </c>
      <c r="M222" s="244">
        <f t="shared" si="103"/>
        <v>387076292</v>
      </c>
      <c r="N222" s="244">
        <f t="shared" si="103"/>
        <v>388876292</v>
      </c>
      <c r="O222" s="244">
        <f t="shared" si="103"/>
        <v>390604872</v>
      </c>
      <c r="P222" s="244">
        <f t="shared" si="103"/>
        <v>391104872</v>
      </c>
      <c r="Q222" s="244">
        <f t="shared" si="103"/>
        <v>388674872</v>
      </c>
      <c r="R222" s="244">
        <f t="shared" si="103"/>
        <v>392698872</v>
      </c>
      <c r="S222" s="244">
        <f t="shared" si="103"/>
        <v>399278872</v>
      </c>
      <c r="T222" s="244">
        <f t="shared" si="103"/>
        <v>406004872</v>
      </c>
      <c r="U222" s="244">
        <f t="shared" si="103"/>
        <v>406594872</v>
      </c>
      <c r="V222" s="244">
        <f t="shared" si="103"/>
        <v>406594872</v>
      </c>
      <c r="W222" s="244">
        <f t="shared" si="103"/>
        <v>406594872</v>
      </c>
      <c r="X222" s="244">
        <f t="shared" si="103"/>
        <v>406628472</v>
      </c>
    </row>
    <row r="223" spans="1:24" ht="14.25" outlineLevel="2">
      <c r="A223" s="163"/>
      <c r="B223" s="163"/>
      <c r="C223" s="163"/>
      <c r="D223" s="163"/>
      <c r="E223" s="175" t="s">
        <v>398</v>
      </c>
      <c r="F223" s="188">
        <f>+F18-F80-F83</f>
        <v>370539191.17</v>
      </c>
      <c r="G223" s="189">
        <f>+G18-G80-G83</f>
        <v>378530806.79</v>
      </c>
      <c r="H223" s="189">
        <f>+H18-H80-H83</f>
        <v>405455981.22</v>
      </c>
      <c r="I223" s="190">
        <f>+I18-I80-I83</f>
        <v>396396539.83</v>
      </c>
      <c r="J223" s="184">
        <f>+J18-J80-J83</f>
        <v>405502960.43</v>
      </c>
      <c r="K223" s="185">
        <f aca="true" t="shared" si="104" ref="K223:X223">+K18-K80-K83</f>
        <v>376390203.40999997</v>
      </c>
      <c r="L223" s="185">
        <f t="shared" si="104"/>
        <v>385642774.28</v>
      </c>
      <c r="M223" s="185">
        <f t="shared" si="104"/>
        <v>387076292</v>
      </c>
      <c r="N223" s="185">
        <f t="shared" si="104"/>
        <v>388876292</v>
      </c>
      <c r="O223" s="185">
        <f t="shared" si="104"/>
        <v>390604872</v>
      </c>
      <c r="P223" s="185">
        <f t="shared" si="104"/>
        <v>391104872</v>
      </c>
      <c r="Q223" s="185">
        <f t="shared" si="104"/>
        <v>388674872</v>
      </c>
      <c r="R223" s="185">
        <f t="shared" si="104"/>
        <v>392698872</v>
      </c>
      <c r="S223" s="185">
        <f t="shared" si="104"/>
        <v>399278872</v>
      </c>
      <c r="T223" s="185">
        <f t="shared" si="104"/>
        <v>406004872</v>
      </c>
      <c r="U223" s="185">
        <f t="shared" si="104"/>
        <v>406594872</v>
      </c>
      <c r="V223" s="185">
        <f t="shared" si="104"/>
        <v>406594872</v>
      </c>
      <c r="W223" s="185">
        <f t="shared" si="104"/>
        <v>406594872</v>
      </c>
      <c r="X223" s="185">
        <f t="shared" si="104"/>
        <v>406628472</v>
      </c>
    </row>
    <row r="224" spans="1:24" ht="14.25" outlineLevel="2">
      <c r="A224" s="238"/>
      <c r="B224" s="238"/>
      <c r="C224" s="238"/>
      <c r="D224" s="238"/>
      <c r="E224" s="176" t="s">
        <v>34</v>
      </c>
      <c r="F224" s="223">
        <f>+F19</f>
        <v>305713347.46</v>
      </c>
      <c r="G224" s="224">
        <f>+G19</f>
        <v>325716535.71</v>
      </c>
      <c r="H224" s="224">
        <f>+H19</f>
        <v>351140279.76</v>
      </c>
      <c r="I224" s="225">
        <f>+I19</f>
        <v>349095431.95</v>
      </c>
      <c r="J224" s="245">
        <f>+J19</f>
        <v>367276007.87</v>
      </c>
      <c r="K224" s="246">
        <f aca="true" t="shared" si="105" ref="K224:X224">+K19</f>
        <v>354200000</v>
      </c>
      <c r="L224" s="246">
        <f t="shared" si="105"/>
        <v>354287320.16</v>
      </c>
      <c r="M224" s="246">
        <f t="shared" si="105"/>
        <v>354507492</v>
      </c>
      <c r="N224" s="246">
        <f t="shared" si="105"/>
        <v>354507492</v>
      </c>
      <c r="O224" s="246">
        <f t="shared" si="105"/>
        <v>355007492</v>
      </c>
      <c r="P224" s="246">
        <f t="shared" si="105"/>
        <v>355607492</v>
      </c>
      <c r="Q224" s="246">
        <f t="shared" si="105"/>
        <v>355627492</v>
      </c>
      <c r="R224" s="246">
        <f t="shared" si="105"/>
        <v>355507492</v>
      </c>
      <c r="S224" s="246">
        <f t="shared" si="105"/>
        <v>355481492</v>
      </c>
      <c r="T224" s="246">
        <f t="shared" si="105"/>
        <v>355207492</v>
      </c>
      <c r="U224" s="246">
        <f t="shared" si="105"/>
        <v>355207492</v>
      </c>
      <c r="V224" s="246">
        <f t="shared" si="105"/>
        <v>355207492</v>
      </c>
      <c r="W224" s="246">
        <f t="shared" si="105"/>
        <v>355207492</v>
      </c>
      <c r="X224" s="246">
        <f t="shared" si="105"/>
        <v>355107492</v>
      </c>
    </row>
    <row r="225" spans="1:24" ht="14.25" outlineLevel="2">
      <c r="A225" s="163"/>
      <c r="B225" s="163"/>
      <c r="C225" s="163"/>
      <c r="D225" s="163"/>
      <c r="E225" s="171" t="s">
        <v>36</v>
      </c>
      <c r="F225" s="188">
        <f>+F19-F80</f>
        <v>305713347.46</v>
      </c>
      <c r="G225" s="189">
        <f>+G19-G80</f>
        <v>325716535.71</v>
      </c>
      <c r="H225" s="189">
        <f>+H19-H80</f>
        <v>351140279.76</v>
      </c>
      <c r="I225" s="190">
        <f>+I19-I80</f>
        <v>349095431.95</v>
      </c>
      <c r="J225" s="184">
        <f>+J19-J80</f>
        <v>358700865.08</v>
      </c>
      <c r="K225" s="185">
        <f aca="true" t="shared" si="106" ref="K225:X225">+K19-K80</f>
        <v>351949728.33</v>
      </c>
      <c r="L225" s="185">
        <f t="shared" si="106"/>
        <v>354287320.16</v>
      </c>
      <c r="M225" s="185">
        <f t="shared" si="106"/>
        <v>354507492</v>
      </c>
      <c r="N225" s="185">
        <f t="shared" si="106"/>
        <v>354507492</v>
      </c>
      <c r="O225" s="185">
        <f t="shared" si="106"/>
        <v>355007492</v>
      </c>
      <c r="P225" s="185">
        <f t="shared" si="106"/>
        <v>355607492</v>
      </c>
      <c r="Q225" s="185">
        <f t="shared" si="106"/>
        <v>355627492</v>
      </c>
      <c r="R225" s="185">
        <f t="shared" si="106"/>
        <v>355507492</v>
      </c>
      <c r="S225" s="185">
        <f t="shared" si="106"/>
        <v>355481492</v>
      </c>
      <c r="T225" s="185">
        <f t="shared" si="106"/>
        <v>355207492</v>
      </c>
      <c r="U225" s="185">
        <f t="shared" si="106"/>
        <v>355207492</v>
      </c>
      <c r="V225" s="185">
        <f t="shared" si="106"/>
        <v>355207492</v>
      </c>
      <c r="W225" s="185">
        <f t="shared" si="106"/>
        <v>355207492</v>
      </c>
      <c r="X225" s="185">
        <f t="shared" si="106"/>
        <v>355107492</v>
      </c>
    </row>
    <row r="226" spans="1:24" ht="14.25" outlineLevel="2">
      <c r="A226" s="163"/>
      <c r="B226" s="163"/>
      <c r="C226" s="163"/>
      <c r="D226" s="163"/>
      <c r="E226" s="171" t="s">
        <v>35</v>
      </c>
      <c r="F226" s="188">
        <f>+F65</f>
        <v>147511239.58</v>
      </c>
      <c r="G226" s="189">
        <f>+G65</f>
        <v>172499788.22</v>
      </c>
      <c r="H226" s="189">
        <f>+H65</f>
        <v>179180554.16</v>
      </c>
      <c r="I226" s="190">
        <f>+I65</f>
        <v>179189854.16</v>
      </c>
      <c r="J226" s="184">
        <f>+J65</f>
        <v>184298660.06</v>
      </c>
      <c r="K226" s="185">
        <f aca="true" t="shared" si="107" ref="K226:X226">+K65</f>
        <v>182750000</v>
      </c>
      <c r="L226" s="185">
        <f t="shared" si="107"/>
        <v>182960000</v>
      </c>
      <c r="M226" s="185">
        <f t="shared" si="107"/>
        <v>183150000</v>
      </c>
      <c r="N226" s="185">
        <f t="shared" si="107"/>
        <v>183701000</v>
      </c>
      <c r="O226" s="185">
        <f t="shared" si="107"/>
        <v>0</v>
      </c>
      <c r="P226" s="185">
        <f t="shared" si="107"/>
        <v>0</v>
      </c>
      <c r="Q226" s="185">
        <f t="shared" si="107"/>
        <v>0</v>
      </c>
      <c r="R226" s="185">
        <f t="shared" si="107"/>
        <v>0</v>
      </c>
      <c r="S226" s="185">
        <f t="shared" si="107"/>
        <v>0</v>
      </c>
      <c r="T226" s="185">
        <f t="shared" si="107"/>
        <v>0</v>
      </c>
      <c r="U226" s="185">
        <f t="shared" si="107"/>
        <v>0</v>
      </c>
      <c r="V226" s="185">
        <f t="shared" si="107"/>
        <v>0</v>
      </c>
      <c r="W226" s="185">
        <f t="shared" si="107"/>
        <v>0</v>
      </c>
      <c r="X226" s="185">
        <f t="shared" si="107"/>
        <v>0</v>
      </c>
    </row>
    <row r="227" spans="1:24" ht="36" outlineLevel="2">
      <c r="A227" s="163"/>
      <c r="B227" s="163"/>
      <c r="C227" s="163"/>
      <c r="D227" s="163"/>
      <c r="E227" s="172" t="s">
        <v>397</v>
      </c>
      <c r="F227" s="191">
        <f>+F19-F20-F23-F65-F66</f>
        <v>155494989.76999995</v>
      </c>
      <c r="G227" s="192">
        <f>+G19-G20-G23-G65-G66</f>
        <v>149024309.42</v>
      </c>
      <c r="H227" s="192">
        <f>+H19-H20-H23-H65-H66</f>
        <v>164554725.6</v>
      </c>
      <c r="I227" s="193">
        <f>+I19-I20-I23-I65-I66</f>
        <v>164778012.60999998</v>
      </c>
      <c r="J227" s="186">
        <f>+J19-J20-J23-J65-J66</f>
        <v>145977247.81</v>
      </c>
      <c r="K227" s="187">
        <f aca="true" t="shared" si="108" ref="K227:X227">+K19-K20-K23-K65-K66</f>
        <v>135421700</v>
      </c>
      <c r="L227" s="187">
        <f t="shared" si="108"/>
        <v>135391225.16000003</v>
      </c>
      <c r="M227" s="187">
        <f t="shared" si="108"/>
        <v>135787482</v>
      </c>
      <c r="N227" s="187">
        <f t="shared" si="108"/>
        <v>125054444.32</v>
      </c>
      <c r="O227" s="187">
        <f t="shared" si="108"/>
        <v>340407762.89</v>
      </c>
      <c r="P227" s="187">
        <f t="shared" si="108"/>
        <v>342031922.45</v>
      </c>
      <c r="Q227" s="187">
        <f t="shared" si="108"/>
        <v>343127083</v>
      </c>
      <c r="R227" s="187">
        <f t="shared" si="108"/>
        <v>344281242.57</v>
      </c>
      <c r="S227" s="187">
        <f t="shared" si="108"/>
        <v>345180403.12</v>
      </c>
      <c r="T227" s="187">
        <f t="shared" si="108"/>
        <v>345580562.69</v>
      </c>
      <c r="U227" s="187">
        <f t="shared" si="108"/>
        <v>345805738.24</v>
      </c>
      <c r="V227" s="187">
        <f t="shared" si="108"/>
        <v>346078677.82</v>
      </c>
      <c r="W227" s="187">
        <f t="shared" si="108"/>
        <v>346302883.37</v>
      </c>
      <c r="X227" s="187">
        <f t="shared" si="108"/>
        <v>346478087.94</v>
      </c>
    </row>
    <row r="228" spans="5:24" ht="14.25" outlineLevel="2">
      <c r="E228" s="25"/>
      <c r="F228" s="77"/>
      <c r="G228" s="77"/>
      <c r="H228" s="77"/>
      <c r="I228" s="77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5:9" ht="14.25" outlineLevel="1">
      <c r="E229" s="268" t="s">
        <v>430</v>
      </c>
      <c r="F229" s="74"/>
      <c r="G229" s="74"/>
      <c r="H229" s="74"/>
      <c r="I229" s="74"/>
    </row>
    <row r="230" spans="1:24" ht="14.25" outlineLevel="2">
      <c r="A230" s="247"/>
      <c r="B230" s="247"/>
      <c r="C230" s="247"/>
      <c r="D230" s="247"/>
      <c r="E230" s="8" t="s">
        <v>24</v>
      </c>
      <c r="F230" s="117" t="s">
        <v>415</v>
      </c>
      <c r="G230" s="118">
        <f aca="true" t="shared" si="109" ref="G230:J231">+IF(F7&lt;&gt;0,G7/F7,"-")</f>
        <v>1.0813244568978269</v>
      </c>
      <c r="H230" s="118">
        <f t="shared" si="109"/>
        <v>1.024574537467784</v>
      </c>
      <c r="I230" s="119">
        <f t="shared" si="109"/>
        <v>1.049441275270312</v>
      </c>
      <c r="J230" s="109">
        <f t="shared" si="109"/>
        <v>1.04011423180746</v>
      </c>
      <c r="K230" s="110">
        <f aca="true" t="shared" si="110" ref="K230:X230">+IF(J7&lt;&gt;0,K7/J7,"-")</f>
        <v>0.9329567056713741</v>
      </c>
      <c r="L230" s="110">
        <f t="shared" si="110"/>
        <v>1.026659787620329</v>
      </c>
      <c r="M230" s="110">
        <f t="shared" si="110"/>
        <v>1.0225581046816816</v>
      </c>
      <c r="N230" s="110">
        <f t="shared" si="110"/>
        <v>1.014432309868899</v>
      </c>
      <c r="O230" s="110">
        <f t="shared" si="110"/>
        <v>0.9975470721274021</v>
      </c>
      <c r="P230" s="110">
        <f t="shared" si="110"/>
        <v>1</v>
      </c>
      <c r="Q230" s="110">
        <f t="shared" si="110"/>
        <v>1</v>
      </c>
      <c r="R230" s="110">
        <f t="shared" si="110"/>
        <v>1</v>
      </c>
      <c r="S230" s="110">
        <f t="shared" si="110"/>
        <v>1</v>
      </c>
      <c r="T230" s="110">
        <f t="shared" si="110"/>
        <v>1</v>
      </c>
      <c r="U230" s="110">
        <f t="shared" si="110"/>
        <v>1</v>
      </c>
      <c r="V230" s="110">
        <f t="shared" si="110"/>
        <v>1</v>
      </c>
      <c r="W230" s="110">
        <f t="shared" si="110"/>
        <v>1</v>
      </c>
      <c r="X230" s="110">
        <f t="shared" si="110"/>
        <v>1</v>
      </c>
    </row>
    <row r="231" spans="5:24" ht="14.25" outlineLevel="2">
      <c r="E231" s="9" t="s">
        <v>223</v>
      </c>
      <c r="F231" s="120" t="s">
        <v>415</v>
      </c>
      <c r="G231" s="121">
        <f t="shared" si="109"/>
        <v>1.0746447221480366</v>
      </c>
      <c r="H231" s="121">
        <f t="shared" si="109"/>
        <v>1.0548559814754752</v>
      </c>
      <c r="I231" s="122">
        <f t="shared" si="109"/>
        <v>1.020794486187069</v>
      </c>
      <c r="J231" s="111">
        <f t="shared" si="109"/>
        <v>1.0292640762241314</v>
      </c>
      <c r="K231" s="112">
        <f aca="true" t="shared" si="111" ref="K231:X231">+IF(J8&lt;&gt;0,K8/J8,"-")</f>
        <v>1.0009967786177854</v>
      </c>
      <c r="L231" s="112">
        <f t="shared" si="111"/>
        <v>1.0288854476975369</v>
      </c>
      <c r="M231" s="112">
        <f t="shared" si="111"/>
        <v>1.0226156493257197</v>
      </c>
      <c r="N231" s="112">
        <f t="shared" si="111"/>
        <v>1.0144683117928774</v>
      </c>
      <c r="O231" s="112">
        <f t="shared" si="111"/>
        <v>1</v>
      </c>
      <c r="P231" s="112">
        <f t="shared" si="111"/>
        <v>1</v>
      </c>
      <c r="Q231" s="112">
        <f t="shared" si="111"/>
        <v>1</v>
      </c>
      <c r="R231" s="112">
        <f t="shared" si="111"/>
        <v>1</v>
      </c>
      <c r="S231" s="112">
        <f t="shared" si="111"/>
        <v>1</v>
      </c>
      <c r="T231" s="112">
        <f t="shared" si="111"/>
        <v>1</v>
      </c>
      <c r="U231" s="112">
        <f t="shared" si="111"/>
        <v>1</v>
      </c>
      <c r="V231" s="112">
        <f t="shared" si="111"/>
        <v>1</v>
      </c>
      <c r="W231" s="112">
        <f t="shared" si="111"/>
        <v>1</v>
      </c>
      <c r="X231" s="112">
        <f t="shared" si="111"/>
        <v>1</v>
      </c>
    </row>
    <row r="232" spans="5:24" ht="24" outlineLevel="2">
      <c r="E232" s="10" t="s">
        <v>405</v>
      </c>
      <c r="F232" s="123" t="s">
        <v>415</v>
      </c>
      <c r="G232" s="124" t="str">
        <f>+IF((F74)&lt;&gt;0,(G74)/(F74),"-")</f>
        <v>-</v>
      </c>
      <c r="H232" s="124" t="str">
        <f>+IF((G74)&lt;&gt;0,(H74)/(G74),"-")</f>
        <v>-</v>
      </c>
      <c r="I232" s="125" t="str">
        <f>+IF((H74)&lt;&gt;0,(I74)/(H74),"-")</f>
        <v>-</v>
      </c>
      <c r="J232" s="111" t="str">
        <f>+IF((I74)&lt;&gt;0,(J74)/(I74),"-")</f>
        <v>-</v>
      </c>
      <c r="K232" s="112">
        <f aca="true" t="shared" si="112" ref="K232:X232">+IF((J74)&lt;&gt;0,(K74)/(J74),"-")</f>
        <v>0.2875434768833831</v>
      </c>
      <c r="L232" s="112">
        <f t="shared" si="112"/>
        <v>0</v>
      </c>
      <c r="M232" s="112" t="str">
        <f t="shared" si="112"/>
        <v>-</v>
      </c>
      <c r="N232" s="112" t="str">
        <f t="shared" si="112"/>
        <v>-</v>
      </c>
      <c r="O232" s="112" t="str">
        <f t="shared" si="112"/>
        <v>-</v>
      </c>
      <c r="P232" s="112" t="str">
        <f t="shared" si="112"/>
        <v>-</v>
      </c>
      <c r="Q232" s="112" t="str">
        <f t="shared" si="112"/>
        <v>-</v>
      </c>
      <c r="R232" s="112" t="str">
        <f t="shared" si="112"/>
        <v>-</v>
      </c>
      <c r="S232" s="112" t="str">
        <f t="shared" si="112"/>
        <v>-</v>
      </c>
      <c r="T232" s="112" t="str">
        <f t="shared" si="112"/>
        <v>-</v>
      </c>
      <c r="U232" s="112" t="str">
        <f t="shared" si="112"/>
        <v>-</v>
      </c>
      <c r="V232" s="112" t="str">
        <f t="shared" si="112"/>
        <v>-</v>
      </c>
      <c r="W232" s="112" t="str">
        <f t="shared" si="112"/>
        <v>-</v>
      </c>
      <c r="X232" s="112" t="str">
        <f t="shared" si="112"/>
        <v>-</v>
      </c>
    </row>
    <row r="233" spans="5:24" ht="14.25" outlineLevel="2">
      <c r="E233" s="9" t="s">
        <v>27</v>
      </c>
      <c r="F233" s="120" t="s">
        <v>415</v>
      </c>
      <c r="G233" s="121">
        <f aca="true" t="shared" si="113" ref="G233:J234">+IF(F15&lt;&gt;0,G15/F15,"-")</f>
        <v>1.1895827662956358</v>
      </c>
      <c r="H233" s="121">
        <f t="shared" si="113"/>
        <v>0.5812223546636383</v>
      </c>
      <c r="I233" s="122">
        <f t="shared" si="113"/>
        <v>1.8106418028834383</v>
      </c>
      <c r="J233" s="111">
        <f t="shared" si="113"/>
        <v>1.2026559583279977</v>
      </c>
      <c r="K233" s="112">
        <f aca="true" t="shared" si="114" ref="K233:X233">+IF(J15&lt;&gt;0,K15/J15,"-")</f>
        <v>0.06063017483931603</v>
      </c>
      <c r="L233" s="112">
        <f t="shared" si="114"/>
        <v>0.5555555555555556</v>
      </c>
      <c r="M233" s="112">
        <f t="shared" si="114"/>
        <v>1</v>
      </c>
      <c r="N233" s="112">
        <f t="shared" si="114"/>
        <v>1</v>
      </c>
      <c r="O233" s="112">
        <f t="shared" si="114"/>
        <v>0</v>
      </c>
      <c r="P233" s="112" t="str">
        <f t="shared" si="114"/>
        <v>-</v>
      </c>
      <c r="Q233" s="112" t="str">
        <f t="shared" si="114"/>
        <v>-</v>
      </c>
      <c r="R233" s="112" t="str">
        <f t="shared" si="114"/>
        <v>-</v>
      </c>
      <c r="S233" s="112" t="str">
        <f t="shared" si="114"/>
        <v>-</v>
      </c>
      <c r="T233" s="112" t="str">
        <f t="shared" si="114"/>
        <v>-</v>
      </c>
      <c r="U233" s="112" t="str">
        <f t="shared" si="114"/>
        <v>-</v>
      </c>
      <c r="V233" s="112" t="str">
        <f t="shared" si="114"/>
        <v>-</v>
      </c>
      <c r="W233" s="112" t="str">
        <f t="shared" si="114"/>
        <v>-</v>
      </c>
      <c r="X233" s="112" t="str">
        <f t="shared" si="114"/>
        <v>-</v>
      </c>
    </row>
    <row r="234" spans="5:24" ht="14.25" outlineLevel="2">
      <c r="E234" s="11" t="s">
        <v>28</v>
      </c>
      <c r="F234" s="120" t="s">
        <v>415</v>
      </c>
      <c r="G234" s="121">
        <f t="shared" si="113"/>
        <v>0.6787030215126236</v>
      </c>
      <c r="H234" s="121">
        <f t="shared" si="113"/>
        <v>2.1558573334032713</v>
      </c>
      <c r="I234" s="122">
        <f t="shared" si="113"/>
        <v>1.0769646187602853</v>
      </c>
      <c r="J234" s="111">
        <f t="shared" si="113"/>
        <v>2.5941441135146244</v>
      </c>
      <c r="K234" s="112">
        <f aca="true" t="shared" si="115" ref="K234:X234">+IF(J16&lt;&gt;0,K16/J16,"-")</f>
        <v>0.0981720366770729</v>
      </c>
      <c r="L234" s="112">
        <f t="shared" si="115"/>
        <v>1</v>
      </c>
      <c r="M234" s="112">
        <f t="shared" si="115"/>
        <v>1</v>
      </c>
      <c r="N234" s="112">
        <f t="shared" si="115"/>
        <v>1</v>
      </c>
      <c r="O234" s="112">
        <f t="shared" si="115"/>
        <v>0</v>
      </c>
      <c r="P234" s="112" t="str">
        <f t="shared" si="115"/>
        <v>-</v>
      </c>
      <c r="Q234" s="112" t="str">
        <f t="shared" si="115"/>
        <v>-</v>
      </c>
      <c r="R234" s="112" t="str">
        <f t="shared" si="115"/>
        <v>-</v>
      </c>
      <c r="S234" s="112" t="str">
        <f t="shared" si="115"/>
        <v>-</v>
      </c>
      <c r="T234" s="112" t="str">
        <f t="shared" si="115"/>
        <v>-</v>
      </c>
      <c r="U234" s="112" t="str">
        <f t="shared" si="115"/>
        <v>-</v>
      </c>
      <c r="V234" s="112" t="str">
        <f t="shared" si="115"/>
        <v>-</v>
      </c>
      <c r="W234" s="112" t="str">
        <f t="shared" si="115"/>
        <v>-</v>
      </c>
      <c r="X234" s="112" t="str">
        <f t="shared" si="115"/>
        <v>-</v>
      </c>
    </row>
    <row r="235" spans="5:24" ht="24" outlineLevel="2">
      <c r="E235" s="14" t="s">
        <v>405</v>
      </c>
      <c r="F235" s="126" t="s">
        <v>415</v>
      </c>
      <c r="G235" s="127" t="str">
        <f>+IF((F77)&lt;&gt;0,(G77)/(F77),"-")</f>
        <v>-</v>
      </c>
      <c r="H235" s="127" t="str">
        <f>+IF((G77)&lt;&gt;0,(H77)/(G77),"-")</f>
        <v>-</v>
      </c>
      <c r="I235" s="128" t="str">
        <f>+IF((H77)&lt;&gt;0,(I77)/(H77),"-")</f>
        <v>-</v>
      </c>
      <c r="J235" s="113" t="str">
        <f>+IF((I77)&lt;&gt;0,(J77)/(I77),"-")</f>
        <v>-</v>
      </c>
      <c r="K235" s="114">
        <f aca="true" t="shared" si="116" ref="K235:X235">+IF((J77)&lt;&gt;0,(K77)/(J77),"-")</f>
        <v>0.3202694285784082</v>
      </c>
      <c r="L235" s="114">
        <f t="shared" si="116"/>
        <v>0</v>
      </c>
      <c r="M235" s="114" t="str">
        <f t="shared" si="116"/>
        <v>-</v>
      </c>
      <c r="N235" s="114" t="str">
        <f t="shared" si="116"/>
        <v>-</v>
      </c>
      <c r="O235" s="114" t="str">
        <f t="shared" si="116"/>
        <v>-</v>
      </c>
      <c r="P235" s="114" t="str">
        <f t="shared" si="116"/>
        <v>-</v>
      </c>
      <c r="Q235" s="114" t="str">
        <f t="shared" si="116"/>
        <v>-</v>
      </c>
      <c r="R235" s="114" t="str">
        <f t="shared" si="116"/>
        <v>-</v>
      </c>
      <c r="S235" s="114" t="str">
        <f t="shared" si="116"/>
        <v>-</v>
      </c>
      <c r="T235" s="114" t="str">
        <f t="shared" si="116"/>
        <v>-</v>
      </c>
      <c r="U235" s="114" t="str">
        <f t="shared" si="116"/>
        <v>-</v>
      </c>
      <c r="V235" s="114" t="str">
        <f t="shared" si="116"/>
        <v>-</v>
      </c>
      <c r="W235" s="114" t="str">
        <f t="shared" si="116"/>
        <v>-</v>
      </c>
      <c r="X235" s="114" t="str">
        <f t="shared" si="116"/>
        <v>-</v>
      </c>
    </row>
    <row r="236" spans="1:24" ht="14.25" outlineLevel="2">
      <c r="A236" s="247"/>
      <c r="B236" s="247"/>
      <c r="C236" s="247"/>
      <c r="D236" s="247"/>
      <c r="E236" s="8" t="s">
        <v>19</v>
      </c>
      <c r="F236" s="117" t="s">
        <v>415</v>
      </c>
      <c r="G236" s="118">
        <f aca="true" t="shared" si="117" ref="G236:J237">+IF(F18&lt;&gt;0,G18/F18,"-")</f>
        <v>1.0215675313447035</v>
      </c>
      <c r="H236" s="118">
        <f t="shared" si="117"/>
        <v>1.0711307347962764</v>
      </c>
      <c r="I236" s="119">
        <f t="shared" si="117"/>
        <v>0.9776561653801713</v>
      </c>
      <c r="J236" s="109">
        <f t="shared" si="117"/>
        <v>1.0517247789266608</v>
      </c>
      <c r="K236" s="110">
        <f aca="true" t="shared" si="118" ref="K236:X236">+IF(J18&lt;&gt;0,K18/J18,"-")</f>
        <v>0.9101473195981924</v>
      </c>
      <c r="L236" s="110">
        <f t="shared" si="118"/>
        <v>1.0163459082710993</v>
      </c>
      <c r="M236" s="110">
        <f t="shared" si="118"/>
        <v>1.0037172165942339</v>
      </c>
      <c r="N236" s="110">
        <f t="shared" si="118"/>
        <v>1.0046502460553695</v>
      </c>
      <c r="O236" s="110">
        <f t="shared" si="118"/>
        <v>1.0044450639845126</v>
      </c>
      <c r="P236" s="110">
        <f t="shared" si="118"/>
        <v>1.001280065958829</v>
      </c>
      <c r="Q236" s="110">
        <f t="shared" si="118"/>
        <v>0.9937868327040427</v>
      </c>
      <c r="R236" s="110">
        <f t="shared" si="118"/>
        <v>1.0103531261984953</v>
      </c>
      <c r="S236" s="110">
        <f t="shared" si="118"/>
        <v>1.0167558413562237</v>
      </c>
      <c r="T236" s="110">
        <f t="shared" si="118"/>
        <v>1.0168453691684443</v>
      </c>
      <c r="U236" s="110">
        <f t="shared" si="118"/>
        <v>1.001453184532229</v>
      </c>
      <c r="V236" s="110">
        <f t="shared" si="118"/>
        <v>1</v>
      </c>
      <c r="W236" s="110">
        <f t="shared" si="118"/>
        <v>1</v>
      </c>
      <c r="X236" s="110">
        <f t="shared" si="118"/>
        <v>1.0000826375400031</v>
      </c>
    </row>
    <row r="237" spans="5:24" ht="14.25" outlineLevel="2">
      <c r="E237" s="9" t="s">
        <v>217</v>
      </c>
      <c r="F237" s="120" t="s">
        <v>415</v>
      </c>
      <c r="G237" s="121">
        <f t="shared" si="117"/>
        <v>1.0654311904147962</v>
      </c>
      <c r="H237" s="121">
        <f t="shared" si="117"/>
        <v>1.0780548153460527</v>
      </c>
      <c r="I237" s="122">
        <f t="shared" si="117"/>
        <v>0.9941765501485684</v>
      </c>
      <c r="J237" s="111">
        <f t="shared" si="117"/>
        <v>1.0520791000284528</v>
      </c>
      <c r="K237" s="112">
        <f aca="true" t="shared" si="119" ref="K237:X237">+IF(J19&lt;&gt;0,K19/J19,"-")</f>
        <v>0.9643973262892023</v>
      </c>
      <c r="L237" s="112">
        <f t="shared" si="119"/>
        <v>1.00024652783738</v>
      </c>
      <c r="M237" s="112">
        <f t="shared" si="119"/>
        <v>1.0006214499573411</v>
      </c>
      <c r="N237" s="112">
        <f t="shared" si="119"/>
        <v>1</v>
      </c>
      <c r="O237" s="112">
        <f t="shared" si="119"/>
        <v>1.0014104074280044</v>
      </c>
      <c r="P237" s="112">
        <f t="shared" si="119"/>
        <v>1.00169010517671</v>
      </c>
      <c r="Q237" s="112">
        <f t="shared" si="119"/>
        <v>1.000056241784692</v>
      </c>
      <c r="R237" s="112">
        <f t="shared" si="119"/>
        <v>0.9996625682696095</v>
      </c>
      <c r="S237" s="112">
        <f t="shared" si="119"/>
        <v>0.9999268651137175</v>
      </c>
      <c r="T237" s="112">
        <f t="shared" si="119"/>
        <v>0.9992292144424779</v>
      </c>
      <c r="U237" s="112">
        <f t="shared" si="119"/>
        <v>1</v>
      </c>
      <c r="V237" s="112">
        <f t="shared" si="119"/>
        <v>1</v>
      </c>
      <c r="W237" s="112">
        <f t="shared" si="119"/>
        <v>1</v>
      </c>
      <c r="X237" s="112">
        <f t="shared" si="119"/>
        <v>0.9997184744065026</v>
      </c>
    </row>
    <row r="238" spans="5:24" ht="14.25" outlineLevel="2">
      <c r="E238" s="10" t="s">
        <v>403</v>
      </c>
      <c r="F238" s="120" t="s">
        <v>415</v>
      </c>
      <c r="G238" s="121">
        <f>+IF((F19-F23)&lt;&gt;0,(G19-G23)/(F19-F23),"-")</f>
        <v>1.0611138204310981</v>
      </c>
      <c r="H238" s="121">
        <f>+IF((G19-G23)&lt;&gt;0,(H19-H23)/(G19-G23),"-")</f>
        <v>1.0690809251407</v>
      </c>
      <c r="I238" s="122">
        <f>+IF((H19-H23)&lt;&gt;0,(I19-I23)/(H19-H23),"-")</f>
        <v>1.0006766457320366</v>
      </c>
      <c r="J238" s="111">
        <f>+IF((I19-I23)&lt;&gt;0,(J19-J23)/(I19-I23),"-")</f>
        <v>1.0466850036045303</v>
      </c>
      <c r="K238" s="112">
        <f aca="true" t="shared" si="120" ref="K238:X238">+IF((J19-J23)&lt;&gt;0,(K19-K23)/(J19-J23),"-")</f>
        <v>0.9657635626300344</v>
      </c>
      <c r="L238" s="112">
        <f t="shared" si="120"/>
        <v>1.0010276679896464</v>
      </c>
      <c r="M238" s="112">
        <f t="shared" si="120"/>
        <v>1.0020116566997588</v>
      </c>
      <c r="N238" s="112">
        <f t="shared" si="120"/>
        <v>1.0021504914366113</v>
      </c>
      <c r="O238" s="112">
        <f t="shared" si="120"/>
        <v>1.0042917534940854</v>
      </c>
      <c r="P238" s="112">
        <f t="shared" si="120"/>
        <v>1.0039885188547486</v>
      </c>
      <c r="Q238" s="112">
        <f t="shared" si="120"/>
        <v>1.0024687329859605</v>
      </c>
      <c r="R238" s="112">
        <f t="shared" si="120"/>
        <v>1.0026324915146307</v>
      </c>
      <c r="S238" s="112">
        <f t="shared" si="120"/>
        <v>1.0019028394803122</v>
      </c>
      <c r="T238" s="112">
        <f t="shared" si="120"/>
        <v>1.000495940205301</v>
      </c>
      <c r="U238" s="112">
        <f t="shared" si="120"/>
        <v>1</v>
      </c>
      <c r="V238" s="112">
        <f t="shared" si="120"/>
        <v>1.000140822264356</v>
      </c>
      <c r="W238" s="112">
        <f t="shared" si="120"/>
        <v>1</v>
      </c>
      <c r="X238" s="112">
        <f t="shared" si="120"/>
        <v>0.999859197563762</v>
      </c>
    </row>
    <row r="239" spans="5:24" ht="24" outlineLevel="2">
      <c r="E239" s="10" t="s">
        <v>405</v>
      </c>
      <c r="F239" s="120" t="s">
        <v>415</v>
      </c>
      <c r="G239" s="121" t="str">
        <f>+IF(F80&lt;&gt;0,G80/F80,"-")</f>
        <v>-</v>
      </c>
      <c r="H239" s="121" t="str">
        <f>+IF(G80&lt;&gt;0,H80/G80,"-")</f>
        <v>-</v>
      </c>
      <c r="I239" s="122" t="str">
        <f>+IF(H80&lt;&gt;0,I80/H80,"-")</f>
        <v>-</v>
      </c>
      <c r="J239" s="111" t="str">
        <f>+IF(I80&lt;&gt;0,J80/I80,"-")</f>
        <v>-</v>
      </c>
      <c r="K239" s="112">
        <f aca="true" t="shared" si="121" ref="K239:X239">+IF(J80&lt;&gt;0,K80/J80,"-")</f>
        <v>0.26241798242988795</v>
      </c>
      <c r="L239" s="112">
        <f t="shared" si="121"/>
        <v>0</v>
      </c>
      <c r="M239" s="112" t="str">
        <f t="shared" si="121"/>
        <v>-</v>
      </c>
      <c r="N239" s="112" t="str">
        <f t="shared" si="121"/>
        <v>-</v>
      </c>
      <c r="O239" s="112" t="str">
        <f t="shared" si="121"/>
        <v>-</v>
      </c>
      <c r="P239" s="112" t="str">
        <f t="shared" si="121"/>
        <v>-</v>
      </c>
      <c r="Q239" s="112" t="str">
        <f t="shared" si="121"/>
        <v>-</v>
      </c>
      <c r="R239" s="112" t="str">
        <f t="shared" si="121"/>
        <v>-</v>
      </c>
      <c r="S239" s="112" t="str">
        <f t="shared" si="121"/>
        <v>-</v>
      </c>
      <c r="T239" s="112" t="str">
        <f t="shared" si="121"/>
        <v>-</v>
      </c>
      <c r="U239" s="112" t="str">
        <f t="shared" si="121"/>
        <v>-</v>
      </c>
      <c r="V239" s="112" t="str">
        <f t="shared" si="121"/>
        <v>-</v>
      </c>
      <c r="W239" s="112" t="str">
        <f t="shared" si="121"/>
        <v>-</v>
      </c>
      <c r="X239" s="112" t="str">
        <f t="shared" si="121"/>
        <v>-</v>
      </c>
    </row>
    <row r="240" spans="5:24" ht="14.25" outlineLevel="2">
      <c r="E240" s="10" t="s">
        <v>220</v>
      </c>
      <c r="F240" s="120" t="s">
        <v>415</v>
      </c>
      <c r="G240" s="121" t="str">
        <f aca="true" t="shared" si="122" ref="G240:J241">+IF(F20&lt;&gt;0,G20/F20,"-")</f>
        <v>-</v>
      </c>
      <c r="H240" s="121" t="str">
        <f t="shared" si="122"/>
        <v>-</v>
      </c>
      <c r="I240" s="122" t="str">
        <f t="shared" si="122"/>
        <v>-</v>
      </c>
      <c r="J240" s="111" t="str">
        <f t="shared" si="122"/>
        <v>-</v>
      </c>
      <c r="K240" s="112" t="str">
        <f aca="true" t="shared" si="123" ref="K240:X240">+IF(J20&lt;&gt;0,K20/J20,"-")</f>
        <v>-</v>
      </c>
      <c r="L240" s="112" t="str">
        <f t="shared" si="123"/>
        <v>-</v>
      </c>
      <c r="M240" s="112" t="str">
        <f t="shared" si="123"/>
        <v>-</v>
      </c>
      <c r="N240" s="112" t="str">
        <f t="shared" si="123"/>
        <v>-</v>
      </c>
      <c r="O240" s="112">
        <f t="shared" si="123"/>
        <v>0.9792867638598265</v>
      </c>
      <c r="P240" s="112">
        <f t="shared" si="123"/>
        <v>0.9788523312554731</v>
      </c>
      <c r="Q240" s="112">
        <f t="shared" si="123"/>
        <v>0.9782989696213833</v>
      </c>
      <c r="R240" s="112">
        <f t="shared" si="123"/>
        <v>0.9779162031795959</v>
      </c>
      <c r="S240" s="112">
        <f t="shared" si="123"/>
        <v>0.9773166540305245</v>
      </c>
      <c r="T240" s="112">
        <f t="shared" si="123"/>
        <v>0.9768933598307574</v>
      </c>
      <c r="U240" s="112">
        <f t="shared" si="123"/>
        <v>0.9762396085657834</v>
      </c>
      <c r="V240" s="112">
        <f t="shared" si="123"/>
        <v>0.9759029924722078</v>
      </c>
      <c r="W240" s="112">
        <f t="shared" si="123"/>
        <v>0.9751677744684741</v>
      </c>
      <c r="X240" s="112">
        <f t="shared" si="123"/>
        <v>0.9744219670102474</v>
      </c>
    </row>
    <row r="241" spans="5:24" ht="24" outlineLevel="2">
      <c r="E241" s="12" t="s">
        <v>404</v>
      </c>
      <c r="F241" s="120" t="s">
        <v>415</v>
      </c>
      <c r="G241" s="121" t="str">
        <f t="shared" si="122"/>
        <v>-</v>
      </c>
      <c r="H241" s="121" t="str">
        <f t="shared" si="122"/>
        <v>-</v>
      </c>
      <c r="I241" s="122" t="str">
        <f t="shared" si="122"/>
        <v>-</v>
      </c>
      <c r="J241" s="111" t="str">
        <f t="shared" si="122"/>
        <v>-</v>
      </c>
      <c r="K241" s="112" t="str">
        <f aca="true" t="shared" si="124" ref="K241:X241">+IF(J21&lt;&gt;0,K21/J21,"-")</f>
        <v>-</v>
      </c>
      <c r="L241" s="112" t="str">
        <f t="shared" si="124"/>
        <v>-</v>
      </c>
      <c r="M241" s="112" t="str">
        <f t="shared" si="124"/>
        <v>-</v>
      </c>
      <c r="N241" s="112" t="str">
        <f t="shared" si="124"/>
        <v>-</v>
      </c>
      <c r="O241" s="112" t="str">
        <f t="shared" si="124"/>
        <v>-</v>
      </c>
      <c r="P241" s="112" t="str">
        <f t="shared" si="124"/>
        <v>-</v>
      </c>
      <c r="Q241" s="112" t="str">
        <f t="shared" si="124"/>
        <v>-</v>
      </c>
      <c r="R241" s="112" t="str">
        <f t="shared" si="124"/>
        <v>-</v>
      </c>
      <c r="S241" s="112" t="str">
        <f t="shared" si="124"/>
        <v>-</v>
      </c>
      <c r="T241" s="112" t="str">
        <f t="shared" si="124"/>
        <v>-</v>
      </c>
      <c r="U241" s="112" t="str">
        <f t="shared" si="124"/>
        <v>-</v>
      </c>
      <c r="V241" s="112" t="str">
        <f t="shared" si="124"/>
        <v>-</v>
      </c>
      <c r="W241" s="112" t="str">
        <f t="shared" si="124"/>
        <v>-</v>
      </c>
      <c r="X241" s="112" t="str">
        <f t="shared" si="124"/>
        <v>-</v>
      </c>
    </row>
    <row r="242" spans="5:24" ht="14.25" outlineLevel="2">
      <c r="E242" s="10" t="s">
        <v>406</v>
      </c>
      <c r="F242" s="120" t="s">
        <v>415</v>
      </c>
      <c r="G242" s="121">
        <f aca="true" t="shared" si="125" ref="G242:J244">+IF(F23&lt;&gt;0,G23/F23,"-")</f>
        <v>1.5486720193379373</v>
      </c>
      <c r="H242" s="121">
        <f t="shared" si="125"/>
        <v>1.766275345362466</v>
      </c>
      <c r="I242" s="122">
        <f t="shared" si="125"/>
        <v>0.6924463443619175</v>
      </c>
      <c r="J242" s="111">
        <f t="shared" si="125"/>
        <v>1.4139264437395216</v>
      </c>
      <c r="K242" s="112">
        <f aca="true" t="shared" si="126" ref="K242:X242">+IF(J23&lt;&gt;0,K23/J23,"-")</f>
        <v>0.896551724137931</v>
      </c>
      <c r="L242" s="112">
        <f t="shared" si="126"/>
        <v>0.9584615384615385</v>
      </c>
      <c r="M242" s="112">
        <f t="shared" si="126"/>
        <v>0.9229534510433387</v>
      </c>
      <c r="N242" s="112">
        <f t="shared" si="126"/>
        <v>0.8695652173913043</v>
      </c>
      <c r="O242" s="112">
        <f t="shared" si="126"/>
        <v>0.8</v>
      </c>
      <c r="P242" s="112">
        <f t="shared" si="126"/>
        <v>0.8</v>
      </c>
      <c r="Q242" s="112">
        <f t="shared" si="126"/>
        <v>0.734375</v>
      </c>
      <c r="R242" s="112">
        <f t="shared" si="126"/>
        <v>0.5531914893617021</v>
      </c>
      <c r="S242" s="112">
        <f t="shared" si="126"/>
        <v>0.46153846153846156</v>
      </c>
      <c r="T242" s="112">
        <f t="shared" si="126"/>
        <v>0.25</v>
      </c>
      <c r="U242" s="112">
        <f t="shared" si="126"/>
        <v>1</v>
      </c>
      <c r="V242" s="112">
        <f t="shared" si="126"/>
        <v>0.6666666666666666</v>
      </c>
      <c r="W242" s="112">
        <f t="shared" si="126"/>
        <v>1</v>
      </c>
      <c r="X242" s="112">
        <f t="shared" si="126"/>
        <v>0.5</v>
      </c>
    </row>
    <row r="243" spans="5:24" ht="14.25" outlineLevel="2">
      <c r="E243" s="12" t="s">
        <v>407</v>
      </c>
      <c r="F243" s="120" t="s">
        <v>415</v>
      </c>
      <c r="G243" s="121">
        <f t="shared" si="125"/>
        <v>1.5520012184179237</v>
      </c>
      <c r="H243" s="121">
        <f t="shared" si="125"/>
        <v>1.718613132358165</v>
      </c>
      <c r="I243" s="122">
        <f t="shared" si="125"/>
        <v>0.7162767859154929</v>
      </c>
      <c r="J243" s="111">
        <f t="shared" si="125"/>
        <v>1.405940096514504</v>
      </c>
      <c r="K243" s="112">
        <f aca="true" t="shared" si="127" ref="K243:X243">+IF(J24&lt;&gt;0,K24/J24,"-")</f>
        <v>0.8936802895104895</v>
      </c>
      <c r="L243" s="112">
        <f t="shared" si="127"/>
        <v>0.9661453185288066</v>
      </c>
      <c r="M243" s="112">
        <f t="shared" si="127"/>
        <v>0.9314020072879534</v>
      </c>
      <c r="N243" s="112">
        <f t="shared" si="127"/>
        <v>0.8695652173913043</v>
      </c>
      <c r="O243" s="112">
        <f t="shared" si="127"/>
        <v>0.8</v>
      </c>
      <c r="P243" s="112">
        <f t="shared" si="127"/>
        <v>0.8</v>
      </c>
      <c r="Q243" s="112">
        <f t="shared" si="127"/>
        <v>0.734375</v>
      </c>
      <c r="R243" s="112">
        <f t="shared" si="127"/>
        <v>0.5531914893617021</v>
      </c>
      <c r="S243" s="112">
        <f t="shared" si="127"/>
        <v>0.46153846153846156</v>
      </c>
      <c r="T243" s="112">
        <f t="shared" si="127"/>
        <v>0.25</v>
      </c>
      <c r="U243" s="112">
        <f t="shared" si="127"/>
        <v>1</v>
      </c>
      <c r="V243" s="112">
        <f t="shared" si="127"/>
        <v>0.6666666666666666</v>
      </c>
      <c r="W243" s="112">
        <f t="shared" si="127"/>
        <v>1</v>
      </c>
      <c r="X243" s="112">
        <f t="shared" si="127"/>
        <v>0.5</v>
      </c>
    </row>
    <row r="244" spans="5:24" ht="14.25" outlineLevel="2">
      <c r="E244" s="9" t="s">
        <v>408</v>
      </c>
      <c r="F244" s="120" t="s">
        <v>415</v>
      </c>
      <c r="G244" s="121">
        <f t="shared" si="125"/>
        <v>0.8147101226521005</v>
      </c>
      <c r="H244" s="121">
        <f t="shared" si="125"/>
        <v>1.028428497625684</v>
      </c>
      <c r="I244" s="122">
        <f t="shared" si="125"/>
        <v>0.8708551414885842</v>
      </c>
      <c r="J244" s="111">
        <f t="shared" si="125"/>
        <v>1.0491097898994919</v>
      </c>
      <c r="K244" s="112">
        <f aca="true" t="shared" si="128" ref="K244:X244">+IF(J25&lt;&gt;0,K25/J25,"-")</f>
        <v>0.5086338652086805</v>
      </c>
      <c r="L244" s="112">
        <f t="shared" si="128"/>
        <v>1.2422687774544061</v>
      </c>
      <c r="M244" s="112">
        <f t="shared" si="128"/>
        <v>1.0386964856371215</v>
      </c>
      <c r="N244" s="112">
        <f t="shared" si="128"/>
        <v>1.0552676180884772</v>
      </c>
      <c r="O244" s="112">
        <f t="shared" si="128"/>
        <v>1.03574695654198</v>
      </c>
      <c r="P244" s="112">
        <f t="shared" si="128"/>
        <v>0.9971908044917912</v>
      </c>
      <c r="Q244" s="112">
        <f t="shared" si="128"/>
        <v>0.9309808216831778</v>
      </c>
      <c r="R244" s="112">
        <f t="shared" si="128"/>
        <v>1.1253957197212003</v>
      </c>
      <c r="S244" s="112">
        <f t="shared" si="128"/>
        <v>1.1776218037620545</v>
      </c>
      <c r="T244" s="112">
        <f t="shared" si="128"/>
        <v>1.1598269120207647</v>
      </c>
      <c r="U244" s="112">
        <f t="shared" si="128"/>
        <v>1.0116147722579394</v>
      </c>
      <c r="V244" s="112">
        <f t="shared" si="128"/>
        <v>1</v>
      </c>
      <c r="W244" s="112">
        <f t="shared" si="128"/>
        <v>1</v>
      </c>
      <c r="X244" s="112">
        <f t="shared" si="128"/>
        <v>1.0025998601212982</v>
      </c>
    </row>
    <row r="245" spans="5:24" ht="24" outlineLevel="2">
      <c r="E245" s="14" t="s">
        <v>405</v>
      </c>
      <c r="F245" s="129" t="s">
        <v>415</v>
      </c>
      <c r="G245" s="130" t="str">
        <f>+IF(F83&lt;&gt;0,G83/F83,"-")</f>
        <v>-</v>
      </c>
      <c r="H245" s="130" t="str">
        <f>+IF(G83&lt;&gt;0,H83/G83,"-")</f>
        <v>-</v>
      </c>
      <c r="I245" s="131" t="str">
        <f>+IF(H83&lt;&gt;0,I83/H83,"-")</f>
        <v>-</v>
      </c>
      <c r="J245" s="113" t="str">
        <f>+IF(I83&lt;&gt;0,J83/I83,"-")</f>
        <v>-</v>
      </c>
      <c r="K245" s="114">
        <f aca="true" t="shared" si="129" ref="K245:X245">+IF(J83&lt;&gt;0,K83/J83,"-")</f>
        <v>0.283490907029157</v>
      </c>
      <c r="L245" s="114">
        <f t="shared" si="129"/>
        <v>0</v>
      </c>
      <c r="M245" s="114" t="str">
        <f t="shared" si="129"/>
        <v>-</v>
      </c>
      <c r="N245" s="114" t="str">
        <f t="shared" si="129"/>
        <v>-</v>
      </c>
      <c r="O245" s="114" t="str">
        <f t="shared" si="129"/>
        <v>-</v>
      </c>
      <c r="P245" s="114" t="str">
        <f t="shared" si="129"/>
        <v>-</v>
      </c>
      <c r="Q245" s="114" t="str">
        <f t="shared" si="129"/>
        <v>-</v>
      </c>
      <c r="R245" s="114" t="str">
        <f t="shared" si="129"/>
        <v>-</v>
      </c>
      <c r="S245" s="114" t="str">
        <f t="shared" si="129"/>
        <v>-</v>
      </c>
      <c r="T245" s="114" t="str">
        <f t="shared" si="129"/>
        <v>-</v>
      </c>
      <c r="U245" s="114" t="str">
        <f t="shared" si="129"/>
        <v>-</v>
      </c>
      <c r="V245" s="114" t="str">
        <f t="shared" si="129"/>
        <v>-</v>
      </c>
      <c r="W245" s="114" t="str">
        <f t="shared" si="129"/>
        <v>-</v>
      </c>
      <c r="X245" s="114" t="str">
        <f t="shared" si="129"/>
        <v>-</v>
      </c>
    </row>
    <row r="246" spans="5:24" ht="14.25" outlineLevel="2">
      <c r="E246" s="35" t="s">
        <v>409</v>
      </c>
      <c r="F246" s="38"/>
      <c r="G246" s="38"/>
      <c r="H246" s="38"/>
      <c r="I246" s="38"/>
      <c r="J246" s="260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</row>
    <row r="247" spans="5:24" ht="14.25" outlineLevel="2">
      <c r="E247" s="34" t="s">
        <v>2</v>
      </c>
      <c r="F247" s="217" t="str">
        <f aca="true" t="shared" si="130" ref="F247:J248">+IF(E65&lt;&gt;0,F65/E65,"-")</f>
        <v>-</v>
      </c>
      <c r="G247" s="218">
        <f t="shared" si="130"/>
        <v>1.1694009806381425</v>
      </c>
      <c r="H247" s="218">
        <f t="shared" si="130"/>
        <v>1.0387291254611837</v>
      </c>
      <c r="I247" s="219">
        <f t="shared" si="130"/>
        <v>1.0000519029536636</v>
      </c>
      <c r="J247" s="115">
        <f t="shared" si="130"/>
        <v>1.0285105756905093</v>
      </c>
      <c r="K247" s="116">
        <f aca="true" t="shared" si="131" ref="K247:X247">+IF(J65&lt;&gt;0,K65/J65,"-")</f>
        <v>0.9915970085756683</v>
      </c>
      <c r="L247" s="116">
        <f t="shared" si="131"/>
        <v>1.0011491108071136</v>
      </c>
      <c r="M247" s="116">
        <f t="shared" si="131"/>
        <v>1.0010384783559247</v>
      </c>
      <c r="N247" s="116">
        <f t="shared" si="131"/>
        <v>1.003008463008463</v>
      </c>
      <c r="O247" s="116">
        <f t="shared" si="131"/>
        <v>0</v>
      </c>
      <c r="P247" s="116" t="str">
        <f t="shared" si="131"/>
        <v>-</v>
      </c>
      <c r="Q247" s="116" t="str">
        <f t="shared" si="131"/>
        <v>-</v>
      </c>
      <c r="R247" s="116" t="str">
        <f t="shared" si="131"/>
        <v>-</v>
      </c>
      <c r="S247" s="116" t="str">
        <f t="shared" si="131"/>
        <v>-</v>
      </c>
      <c r="T247" s="116" t="str">
        <f t="shared" si="131"/>
        <v>-</v>
      </c>
      <c r="U247" s="116" t="str">
        <f t="shared" si="131"/>
        <v>-</v>
      </c>
      <c r="V247" s="116" t="str">
        <f t="shared" si="131"/>
        <v>-</v>
      </c>
      <c r="W247" s="116" t="str">
        <f t="shared" si="131"/>
        <v>-</v>
      </c>
      <c r="X247" s="116" t="str">
        <f t="shared" si="131"/>
        <v>-</v>
      </c>
    </row>
    <row r="248" spans="5:24" ht="14.25" outlineLevel="2">
      <c r="E248" s="9" t="s">
        <v>3</v>
      </c>
      <c r="F248" s="120" t="str">
        <f t="shared" si="130"/>
        <v>-</v>
      </c>
      <c r="G248" s="121" t="str">
        <f t="shared" si="130"/>
        <v>-</v>
      </c>
      <c r="H248" s="121" t="str">
        <f t="shared" si="130"/>
        <v>-</v>
      </c>
      <c r="I248" s="122" t="str">
        <f t="shared" si="130"/>
        <v>-</v>
      </c>
      <c r="J248" s="111" t="str">
        <f t="shared" si="130"/>
        <v>-</v>
      </c>
      <c r="K248" s="112">
        <f aca="true" t="shared" si="132" ref="K248:X248">+IF(J66&lt;&gt;0,K66/J66,"-")</f>
        <v>0.9925445628754189</v>
      </c>
      <c r="L248" s="112">
        <f t="shared" si="132"/>
        <v>1.0060211729087012</v>
      </c>
      <c r="M248" s="112">
        <f t="shared" si="132"/>
        <v>1.0038347349256105</v>
      </c>
      <c r="N248" s="112">
        <f t="shared" si="132"/>
        <v>1.00362541796599</v>
      </c>
      <c r="O248" s="112">
        <f t="shared" si="132"/>
        <v>0</v>
      </c>
      <c r="P248" s="112" t="str">
        <f t="shared" si="132"/>
        <v>-</v>
      </c>
      <c r="Q248" s="112" t="str">
        <f t="shared" si="132"/>
        <v>-</v>
      </c>
      <c r="R248" s="112" t="str">
        <f t="shared" si="132"/>
        <v>-</v>
      </c>
      <c r="S248" s="112" t="str">
        <f t="shared" si="132"/>
        <v>-</v>
      </c>
      <c r="T248" s="112" t="str">
        <f t="shared" si="132"/>
        <v>-</v>
      </c>
      <c r="U248" s="112" t="str">
        <f t="shared" si="132"/>
        <v>-</v>
      </c>
      <c r="V248" s="112" t="str">
        <f t="shared" si="132"/>
        <v>-</v>
      </c>
      <c r="W248" s="112" t="str">
        <f t="shared" si="132"/>
        <v>-</v>
      </c>
      <c r="X248" s="112" t="str">
        <f t="shared" si="132"/>
        <v>-</v>
      </c>
    </row>
    <row r="249" spans="5:24" ht="14.25" outlineLevel="2">
      <c r="E249" s="9" t="s">
        <v>410</v>
      </c>
      <c r="F249" s="120" t="str">
        <f aca="true" t="shared" si="133" ref="F249:J250">+IF(E68&lt;&gt;0,F68/E68,"-")</f>
        <v>-</v>
      </c>
      <c r="G249" s="121" t="str">
        <f t="shared" si="133"/>
        <v>-</v>
      </c>
      <c r="H249" s="121">
        <f t="shared" si="133"/>
        <v>1.3662469486320474</v>
      </c>
      <c r="I249" s="122">
        <f t="shared" si="133"/>
        <v>1</v>
      </c>
      <c r="J249" s="111">
        <f t="shared" si="133"/>
        <v>1.240898574253163</v>
      </c>
      <c r="K249" s="112">
        <f aca="true" t="shared" si="134" ref="K249:X249">+IF(J68&lt;&gt;0,K68/J68,"-")</f>
        <v>2.1255745715306364</v>
      </c>
      <c r="L249" s="112">
        <f t="shared" si="134"/>
        <v>0.40665980488360376</v>
      </c>
      <c r="M249" s="112">
        <f t="shared" si="134"/>
        <v>0.18423125571779653</v>
      </c>
      <c r="N249" s="112">
        <f t="shared" si="134"/>
        <v>0.5246213228299433</v>
      </c>
      <c r="O249" s="112">
        <f t="shared" si="134"/>
        <v>0</v>
      </c>
      <c r="P249" s="112" t="str">
        <f t="shared" si="134"/>
        <v>-</v>
      </c>
      <c r="Q249" s="112" t="str">
        <f t="shared" si="134"/>
        <v>-</v>
      </c>
      <c r="R249" s="112" t="str">
        <f t="shared" si="134"/>
        <v>-</v>
      </c>
      <c r="S249" s="112" t="str">
        <f t="shared" si="134"/>
        <v>-</v>
      </c>
      <c r="T249" s="112" t="str">
        <f t="shared" si="134"/>
        <v>-</v>
      </c>
      <c r="U249" s="112" t="str">
        <f t="shared" si="134"/>
        <v>-</v>
      </c>
      <c r="V249" s="112" t="str">
        <f t="shared" si="134"/>
        <v>-</v>
      </c>
      <c r="W249" s="112" t="str">
        <f t="shared" si="134"/>
        <v>-</v>
      </c>
      <c r="X249" s="112" t="str">
        <f t="shared" si="134"/>
        <v>-</v>
      </c>
    </row>
    <row r="250" spans="5:24" ht="14.25" outlineLevel="2">
      <c r="E250" s="13" t="s">
        <v>411</v>
      </c>
      <c r="F250" s="129" t="str">
        <f t="shared" si="133"/>
        <v>-</v>
      </c>
      <c r="G250" s="130" t="str">
        <f t="shared" si="133"/>
        <v>-</v>
      </c>
      <c r="H250" s="130">
        <f t="shared" si="133"/>
        <v>3.1142917020335092</v>
      </c>
      <c r="I250" s="131">
        <f t="shared" si="133"/>
        <v>1</v>
      </c>
      <c r="J250" s="113">
        <f t="shared" si="133"/>
        <v>0.3839637891723955</v>
      </c>
      <c r="K250" s="114">
        <f aca="true" t="shared" si="135" ref="K250:X250">+IF(J69&lt;&gt;0,K69/J69,"-")</f>
        <v>1.9809931223452497</v>
      </c>
      <c r="L250" s="114">
        <f t="shared" si="135"/>
        <v>0.4817659223809716</v>
      </c>
      <c r="M250" s="114">
        <f t="shared" si="135"/>
        <v>0.012151215121512151</v>
      </c>
      <c r="N250" s="114">
        <f t="shared" si="135"/>
        <v>0</v>
      </c>
      <c r="O250" s="114" t="str">
        <f t="shared" si="135"/>
        <v>-</v>
      </c>
      <c r="P250" s="114" t="str">
        <f t="shared" si="135"/>
        <v>-</v>
      </c>
      <c r="Q250" s="114" t="str">
        <f t="shared" si="135"/>
        <v>-</v>
      </c>
      <c r="R250" s="114" t="str">
        <f t="shared" si="135"/>
        <v>-</v>
      </c>
      <c r="S250" s="114" t="str">
        <f t="shared" si="135"/>
        <v>-</v>
      </c>
      <c r="T250" s="114" t="str">
        <f t="shared" si="135"/>
        <v>-</v>
      </c>
      <c r="U250" s="114" t="str">
        <f t="shared" si="135"/>
        <v>-</v>
      </c>
      <c r="V250" s="114" t="str">
        <f t="shared" si="135"/>
        <v>-</v>
      </c>
      <c r="W250" s="114" t="str">
        <f t="shared" si="135"/>
        <v>-</v>
      </c>
      <c r="X250" s="114" t="str">
        <f t="shared" si="135"/>
        <v>-</v>
      </c>
    </row>
  </sheetData>
  <sheetProtection formatCells="0" formatColumns="0" formatRows="0" insertColumns="0" deleteColumns="0"/>
  <mergeCells count="147">
    <mergeCell ref="F5:G5"/>
    <mergeCell ref="D98:E98"/>
    <mergeCell ref="D99:E99"/>
    <mergeCell ref="D100:E100"/>
    <mergeCell ref="C101:E101"/>
    <mergeCell ref="C92:E92"/>
    <mergeCell ref="C93:E93"/>
    <mergeCell ref="B94:E94"/>
    <mergeCell ref="C95:E95"/>
    <mergeCell ref="C96:E96"/>
    <mergeCell ref="C97:E97"/>
    <mergeCell ref="B86:E86"/>
    <mergeCell ref="C87:E87"/>
    <mergeCell ref="C88:E88"/>
    <mergeCell ref="C89:E89"/>
    <mergeCell ref="C90:E90"/>
    <mergeCell ref="C91:E91"/>
    <mergeCell ref="C80:E80"/>
    <mergeCell ref="D81:E81"/>
    <mergeCell ref="D82:E82"/>
    <mergeCell ref="C83:E83"/>
    <mergeCell ref="D84:E84"/>
    <mergeCell ref="D85:E85"/>
    <mergeCell ref="C72:E72"/>
    <mergeCell ref="B73:E73"/>
    <mergeCell ref="C74:E74"/>
    <mergeCell ref="D75:E75"/>
    <mergeCell ref="C77:E77"/>
    <mergeCell ref="D78:E78"/>
    <mergeCell ref="C66:E66"/>
    <mergeCell ref="C67:E67"/>
    <mergeCell ref="D68:E68"/>
    <mergeCell ref="D69:E69"/>
    <mergeCell ref="C70:E70"/>
    <mergeCell ref="C71:E71"/>
    <mergeCell ref="C60:E60"/>
    <mergeCell ref="D61:E61"/>
    <mergeCell ref="B62:E62"/>
    <mergeCell ref="C63:E63"/>
    <mergeCell ref="B64:E64"/>
    <mergeCell ref="C65:E65"/>
    <mergeCell ref="C54:E54"/>
    <mergeCell ref="C55:E55"/>
    <mergeCell ref="C56:E56"/>
    <mergeCell ref="C58:E58"/>
    <mergeCell ref="D59:E59"/>
    <mergeCell ref="C48:E48"/>
    <mergeCell ref="C49:E49"/>
    <mergeCell ref="B50:E50"/>
    <mergeCell ref="C51:E51"/>
    <mergeCell ref="C52:E52"/>
    <mergeCell ref="C53:E53"/>
    <mergeCell ref="C42:E42"/>
    <mergeCell ref="D43:E43"/>
    <mergeCell ref="C44:E44"/>
    <mergeCell ref="C45:E45"/>
    <mergeCell ref="B46:E46"/>
    <mergeCell ref="B47:E47"/>
    <mergeCell ref="B36:E36"/>
    <mergeCell ref="C37:E37"/>
    <mergeCell ref="D38:E38"/>
    <mergeCell ref="C40:E40"/>
    <mergeCell ref="B41:E41"/>
    <mergeCell ref="C30:E30"/>
    <mergeCell ref="D31:E31"/>
    <mergeCell ref="C32:E32"/>
    <mergeCell ref="D33:E33"/>
    <mergeCell ref="C34:E34"/>
    <mergeCell ref="D35:E35"/>
    <mergeCell ref="C25:E25"/>
    <mergeCell ref="B26:E26"/>
    <mergeCell ref="B27:E27"/>
    <mergeCell ref="C28:E28"/>
    <mergeCell ref="D29:E29"/>
    <mergeCell ref="B18:E18"/>
    <mergeCell ref="C19:E19"/>
    <mergeCell ref="D20:E20"/>
    <mergeCell ref="D22:E22"/>
    <mergeCell ref="D23:E23"/>
    <mergeCell ref="D13:E13"/>
    <mergeCell ref="D14:E14"/>
    <mergeCell ref="C15:E15"/>
    <mergeCell ref="D16:E16"/>
    <mergeCell ref="D17:E17"/>
    <mergeCell ref="B6:E6"/>
    <mergeCell ref="B7:E7"/>
    <mergeCell ref="C8:E8"/>
    <mergeCell ref="D9:E9"/>
    <mergeCell ref="D10:E10"/>
    <mergeCell ref="D11:E11"/>
    <mergeCell ref="A137:D137"/>
    <mergeCell ref="A118:D118"/>
    <mergeCell ref="A112:D112"/>
    <mergeCell ref="A113:D113"/>
    <mergeCell ref="A114:D114"/>
    <mergeCell ref="A115:D115"/>
    <mergeCell ref="A116:D116"/>
    <mergeCell ref="A117:D117"/>
    <mergeCell ref="A119:D119"/>
    <mergeCell ref="A120:D120"/>
    <mergeCell ref="A136:D136"/>
    <mergeCell ref="A130:D130"/>
    <mergeCell ref="A129:D129"/>
    <mergeCell ref="A131:D131"/>
    <mergeCell ref="A132:D132"/>
    <mergeCell ref="A133:D133"/>
    <mergeCell ref="A134:D134"/>
    <mergeCell ref="A135:D135"/>
    <mergeCell ref="A121:D121"/>
    <mergeCell ref="A122:D122"/>
    <mergeCell ref="A123:D123"/>
    <mergeCell ref="A126:D126"/>
    <mergeCell ref="A127:D127"/>
    <mergeCell ref="A128:D128"/>
    <mergeCell ref="A125:D125"/>
    <mergeCell ref="A124:D124"/>
    <mergeCell ref="A138:D138"/>
    <mergeCell ref="A139:D139"/>
    <mergeCell ref="A140:D140"/>
    <mergeCell ref="A141:D141"/>
    <mergeCell ref="A143:D143"/>
    <mergeCell ref="A144:D144"/>
    <mergeCell ref="A142:D142"/>
    <mergeCell ref="A145:D145"/>
    <mergeCell ref="A146:D146"/>
    <mergeCell ref="A147:D147"/>
    <mergeCell ref="A149:D149"/>
    <mergeCell ref="A148:D148"/>
    <mergeCell ref="A150:D150"/>
    <mergeCell ref="A151:D151"/>
    <mergeCell ref="A152:D152"/>
    <mergeCell ref="A153:D153"/>
    <mergeCell ref="A155:D155"/>
    <mergeCell ref="A156:D156"/>
    <mergeCell ref="A154:D154"/>
    <mergeCell ref="A157:D157"/>
    <mergeCell ref="A158:D158"/>
    <mergeCell ref="A159:D159"/>
    <mergeCell ref="A161:D161"/>
    <mergeCell ref="A160:D160"/>
    <mergeCell ref="A162:D162"/>
    <mergeCell ref="A163:D163"/>
    <mergeCell ref="A164:D164"/>
    <mergeCell ref="A165:D165"/>
    <mergeCell ref="A167:D167"/>
    <mergeCell ref="A168:D168"/>
    <mergeCell ref="A166:D166"/>
  </mergeCells>
  <conditionalFormatting sqref="J182:X185">
    <cfRule type="cellIs" priority="50" dxfId="14" operator="lessThan" stopIfTrue="1">
      <formula>$E$179</formula>
    </cfRule>
    <cfRule type="cellIs" priority="51" dxfId="1" operator="lessThan" stopIfTrue="1">
      <formula>$E$180</formula>
    </cfRule>
    <cfRule type="cellIs" priority="52" dxfId="11" operator="lessThan" stopIfTrue="1">
      <formula>$E$181</formula>
    </cfRule>
  </conditionalFormatting>
  <conditionalFormatting sqref="J230:X245 J247:X250">
    <cfRule type="cellIs" priority="6" dxfId="7" operator="equal" stopIfTrue="1">
      <formula>"-"</formula>
    </cfRule>
    <cfRule type="cellIs" priority="81" dxfId="9" operator="between" stopIfTrue="1">
      <formula>0.00000001</formula>
      <formula>1</formula>
    </cfRule>
    <cfRule type="cellIs" priority="82" dxfId="8" operator="greaterThan" stopIfTrue="1">
      <formula>1</formula>
    </cfRule>
  </conditionalFormatting>
  <conditionalFormatting sqref="J60:X61">
    <cfRule type="expression" priority="30" dxfId="15" stopIfTrue="1">
      <formula>LEFT(J60,3)="Nie"</formula>
    </cfRule>
  </conditionalFormatting>
  <conditionalFormatting sqref="J190:X201">
    <cfRule type="cellIs" priority="7" dxfId="16" operator="notBetween" stopIfTrue="1">
      <formula>-$E$189</formula>
      <formula>$E$189</formula>
    </cfRule>
    <cfRule type="cellIs" priority="91" dxfId="5" operator="notBetween" stopIfTrue="1">
      <formula>-$E$188</formula>
      <formula>$E$188</formula>
    </cfRule>
    <cfRule type="cellIs" priority="92" dxfId="4" operator="notBetween" stopIfTrue="1">
      <formula>-$E$187</formula>
      <formula>$E$187</formula>
    </cfRule>
  </conditionalFormatting>
  <conditionalFormatting sqref="J120:X120">
    <cfRule type="cellIs" priority="4" dxfId="17" operator="between" stopIfTrue="1">
      <formula>0</formula>
      <formula>1000000000000</formula>
    </cfRule>
  </conditionalFormatting>
  <conditionalFormatting sqref="J121:X123">
    <cfRule type="cellIs" priority="3" dxfId="17" operator="between" stopIfTrue="1">
      <formula>-1000000000000</formula>
      <formula>1000000000000</formula>
    </cfRule>
  </conditionalFormatting>
  <conditionalFormatting sqref="J118:X119">
    <cfRule type="cellIs" priority="2" dxfId="18" operator="between" stopIfTrue="1">
      <formula>-1000000000000</formula>
      <formula>1000000000000</formula>
    </cfRule>
  </conditionalFormatting>
  <conditionalFormatting sqref="J124:X168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5" max="38" man="1"/>
    <brk id="7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24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38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39</v>
      </c>
      <c r="C12" s="37" t="s">
        <v>40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41</v>
      </c>
      <c r="C13" s="37" t="s">
        <v>42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43</v>
      </c>
      <c r="C14" s="37" t="s">
        <v>44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45</v>
      </c>
      <c r="C15" s="37" t="s">
        <v>46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47</v>
      </c>
      <c r="C16" s="37" t="s">
        <v>48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49</v>
      </c>
      <c r="C17" s="37" t="s">
        <v>50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51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52</v>
      </c>
      <c r="C19" s="37" t="s">
        <v>53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54</v>
      </c>
      <c r="C20" s="37" t="s">
        <v>55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19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56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57</v>
      </c>
      <c r="C23" s="37" t="s">
        <v>58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59</v>
      </c>
      <c r="C24" s="37" t="s">
        <v>60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61</v>
      </c>
      <c r="C25" s="37" t="s">
        <v>62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63</v>
      </c>
      <c r="C26" s="37" t="s">
        <v>64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65</v>
      </c>
      <c r="C27" s="37" t="s">
        <v>66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67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21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22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68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69</v>
      </c>
      <c r="C32" s="37" t="s">
        <v>70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71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72</v>
      </c>
      <c r="C34" s="37" t="s">
        <v>73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74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75</v>
      </c>
      <c r="C36" s="37" t="s">
        <v>73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76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77</v>
      </c>
      <c r="C38" s="37" t="s">
        <v>73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78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79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80</v>
      </c>
      <c r="C41" s="37" t="s">
        <v>81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82</v>
      </c>
      <c r="C42" s="37" t="s">
        <v>83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84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25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85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86</v>
      </c>
      <c r="C46" s="37" t="s">
        <v>87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88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89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90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91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92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93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94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238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95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96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97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98</v>
      </c>
      <c r="C60" s="37" t="s">
        <v>99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100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101</v>
      </c>
      <c r="C62" s="37" t="s">
        <v>102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103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104</v>
      </c>
      <c r="C64" s="37" t="s">
        <v>105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106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107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108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109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110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111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112</v>
      </c>
      <c r="C71" s="37" t="s">
        <v>113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114</v>
      </c>
      <c r="C72" s="37" t="s">
        <v>115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116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117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118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119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120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121</v>
      </c>
      <c r="C78" s="37" t="s">
        <v>122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123</v>
      </c>
      <c r="C79" s="37" t="s">
        <v>124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125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126</v>
      </c>
      <c r="C81" s="37" t="s">
        <v>127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128</v>
      </c>
      <c r="C82" s="37" t="s">
        <v>129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130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131</v>
      </c>
      <c r="C84" s="37" t="s">
        <v>132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133</v>
      </c>
      <c r="C85" s="37" t="s">
        <v>134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135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136</v>
      </c>
      <c r="C87" s="37" t="s">
        <v>137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138</v>
      </c>
      <c r="C88" s="37" t="s">
        <v>139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140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141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142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143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144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145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146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147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148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149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150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151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152</v>
      </c>
      <c r="C101" s="37" t="s">
        <v>153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154</v>
      </c>
      <c r="C102" s="37" t="s">
        <v>155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156</v>
      </c>
      <c r="C103" s="37" t="s">
        <v>157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158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33"/>
  <sheetViews>
    <sheetView zoomScalePageLayoutView="0" workbookViewId="0" topLeftCell="A1">
      <selection activeCell="O4" sqref="O4:O53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23</v>
      </c>
      <c r="L1" s="7" t="s">
        <v>26</v>
      </c>
      <c r="M1" s="21">
        <f>MIN(L:L)</f>
        <v>2013</v>
      </c>
      <c r="O1" t="s">
        <v>280</v>
      </c>
      <c r="P1">
        <f>MAX(L:L)</f>
        <v>2027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</row>
    <row r="4" spans="1:15" ht="14.25">
      <c r="A4" s="17">
        <v>2013</v>
      </c>
      <c r="B4" s="18" t="s">
        <v>437</v>
      </c>
      <c r="C4" s="18" t="s">
        <v>438</v>
      </c>
      <c r="D4" s="19">
        <v>3062000</v>
      </c>
      <c r="E4" s="19">
        <v>0</v>
      </c>
      <c r="F4" s="19"/>
      <c r="G4" s="19">
        <v>600</v>
      </c>
      <c r="H4" s="19">
        <v>11.3</v>
      </c>
      <c r="I4" s="19" t="s">
        <v>439</v>
      </c>
      <c r="J4" s="19" t="s">
        <v>111</v>
      </c>
      <c r="K4" s="19" t="b">
        <v>1</v>
      </c>
      <c r="L4" s="15">
        <v>2016</v>
      </c>
      <c r="M4" s="16">
        <v>2820863</v>
      </c>
      <c r="N4" s="20">
        <v>41550</v>
      </c>
      <c r="O4" s="20">
        <v>41550</v>
      </c>
    </row>
    <row r="5" spans="1:15" ht="14.25">
      <c r="A5" s="17">
        <v>2013</v>
      </c>
      <c r="B5" s="18" t="s">
        <v>437</v>
      </c>
      <c r="C5" s="18" t="s">
        <v>438</v>
      </c>
      <c r="D5" s="19">
        <v>3062000</v>
      </c>
      <c r="E5" s="19">
        <v>0</v>
      </c>
      <c r="F5" s="19"/>
      <c r="G5" s="19">
        <v>560</v>
      </c>
      <c r="H5" s="19">
        <v>10.1</v>
      </c>
      <c r="I5" s="19"/>
      <c r="J5" s="19" t="s">
        <v>107</v>
      </c>
      <c r="K5" s="19" t="b">
        <v>0</v>
      </c>
      <c r="L5" s="15">
        <v>2015</v>
      </c>
      <c r="M5" s="16">
        <v>7367725.72</v>
      </c>
      <c r="N5" s="20">
        <v>41550</v>
      </c>
      <c r="O5" s="20">
        <v>41550</v>
      </c>
    </row>
    <row r="6" spans="1:15" ht="14.25">
      <c r="A6" s="17">
        <v>2013</v>
      </c>
      <c r="B6" s="18" t="s">
        <v>437</v>
      </c>
      <c r="C6" s="18" t="s">
        <v>438</v>
      </c>
      <c r="D6" s="19">
        <v>3062000</v>
      </c>
      <c r="E6" s="19">
        <v>0</v>
      </c>
      <c r="F6" s="19"/>
      <c r="G6" s="19">
        <v>420</v>
      </c>
      <c r="H6" s="19">
        <v>8.1</v>
      </c>
      <c r="I6" s="19" t="s">
        <v>440</v>
      </c>
      <c r="J6" s="19" t="s">
        <v>91</v>
      </c>
      <c r="K6" s="19" t="b">
        <v>0</v>
      </c>
      <c r="L6" s="15">
        <v>2026</v>
      </c>
      <c r="M6" s="16">
        <v>51468580</v>
      </c>
      <c r="N6" s="20">
        <v>41550</v>
      </c>
      <c r="O6" s="20">
        <v>41550</v>
      </c>
    </row>
    <row r="7" spans="1:15" ht="14.25">
      <c r="A7" s="17">
        <v>2013</v>
      </c>
      <c r="B7" s="18" t="s">
        <v>437</v>
      </c>
      <c r="C7" s="18" t="s">
        <v>438</v>
      </c>
      <c r="D7" s="19">
        <v>3062000</v>
      </c>
      <c r="E7" s="19">
        <v>0</v>
      </c>
      <c r="F7" s="19"/>
      <c r="G7" s="19">
        <v>505</v>
      </c>
      <c r="H7" s="19" t="s">
        <v>98</v>
      </c>
      <c r="I7" s="19" t="s">
        <v>441</v>
      </c>
      <c r="J7" s="19" t="s">
        <v>99</v>
      </c>
      <c r="K7" s="19" t="b">
        <v>0</v>
      </c>
      <c r="L7" s="15">
        <v>2022</v>
      </c>
      <c r="M7" s="16">
        <v>0.1259</v>
      </c>
      <c r="N7" s="20">
        <v>41550</v>
      </c>
      <c r="O7" s="20">
        <v>41550</v>
      </c>
    </row>
    <row r="8" spans="1:15" ht="14.25">
      <c r="A8" s="17">
        <v>2013</v>
      </c>
      <c r="B8" s="18" t="s">
        <v>437</v>
      </c>
      <c r="C8" s="18" t="s">
        <v>438</v>
      </c>
      <c r="D8" s="19">
        <v>3062000</v>
      </c>
      <c r="E8" s="19">
        <v>0</v>
      </c>
      <c r="F8" s="19"/>
      <c r="G8" s="19">
        <v>390</v>
      </c>
      <c r="H8" s="19">
        <v>6.3</v>
      </c>
      <c r="I8" s="19" t="s">
        <v>442</v>
      </c>
      <c r="J8" s="19" t="s">
        <v>89</v>
      </c>
      <c r="K8" s="19" t="b">
        <v>0</v>
      </c>
      <c r="L8" s="15">
        <v>2013</v>
      </c>
      <c r="M8" s="16">
        <v>0.2835</v>
      </c>
      <c r="N8" s="20">
        <v>41550</v>
      </c>
      <c r="O8" s="20">
        <v>41550</v>
      </c>
    </row>
    <row r="9" spans="1:15" ht="14.25">
      <c r="A9" s="17">
        <v>2013</v>
      </c>
      <c r="B9" s="18" t="s">
        <v>437</v>
      </c>
      <c r="C9" s="18" t="s">
        <v>438</v>
      </c>
      <c r="D9" s="19">
        <v>3062000</v>
      </c>
      <c r="E9" s="19">
        <v>0</v>
      </c>
      <c r="F9" s="19"/>
      <c r="G9" s="19">
        <v>120</v>
      </c>
      <c r="H9" s="19">
        <v>2</v>
      </c>
      <c r="I9" s="19" t="s">
        <v>443</v>
      </c>
      <c r="J9" s="19" t="s">
        <v>19</v>
      </c>
      <c r="K9" s="19" t="b">
        <v>0</v>
      </c>
      <c r="L9" s="15">
        <v>2026</v>
      </c>
      <c r="M9" s="16">
        <v>406594872</v>
      </c>
      <c r="N9" s="20">
        <v>41550</v>
      </c>
      <c r="O9" s="20">
        <v>41550</v>
      </c>
    </row>
    <row r="10" spans="1:15" ht="14.25">
      <c r="A10" s="17">
        <v>2013</v>
      </c>
      <c r="B10" s="18" t="s">
        <v>437</v>
      </c>
      <c r="C10" s="18" t="s">
        <v>438</v>
      </c>
      <c r="D10" s="19">
        <v>3062000</v>
      </c>
      <c r="E10" s="19">
        <v>0</v>
      </c>
      <c r="F10" s="19"/>
      <c r="G10" s="19">
        <v>530</v>
      </c>
      <c r="H10" s="19">
        <v>9.8</v>
      </c>
      <c r="I10" s="19" t="s">
        <v>444</v>
      </c>
      <c r="J10" s="19" t="s">
        <v>103</v>
      </c>
      <c r="K10" s="19" t="b">
        <v>0</v>
      </c>
      <c r="L10" s="15">
        <v>2017</v>
      </c>
      <c r="M10" s="16">
        <v>114</v>
      </c>
      <c r="N10" s="20">
        <v>41550</v>
      </c>
      <c r="O10" s="20">
        <v>41550</v>
      </c>
    </row>
    <row r="11" spans="1:15" ht="14.25">
      <c r="A11" s="17">
        <v>2013</v>
      </c>
      <c r="B11" s="18" t="s">
        <v>437</v>
      </c>
      <c r="C11" s="18" t="s">
        <v>438</v>
      </c>
      <c r="D11" s="19">
        <v>3062000</v>
      </c>
      <c r="E11" s="19">
        <v>0</v>
      </c>
      <c r="F11" s="19"/>
      <c r="G11" s="19">
        <v>670</v>
      </c>
      <c r="H11" s="19">
        <v>12.1</v>
      </c>
      <c r="I11" s="19"/>
      <c r="J11" s="19" t="s">
        <v>120</v>
      </c>
      <c r="K11" s="19" t="b">
        <v>1</v>
      </c>
      <c r="L11" s="15">
        <v>2013</v>
      </c>
      <c r="M11" s="16">
        <v>7825848.44</v>
      </c>
      <c r="N11" s="20">
        <v>41550</v>
      </c>
      <c r="O11" s="20">
        <v>41550</v>
      </c>
    </row>
    <row r="12" spans="1:15" ht="14.25">
      <c r="A12" s="17">
        <v>2013</v>
      </c>
      <c r="B12" s="18" t="s">
        <v>437</v>
      </c>
      <c r="C12" s="18" t="s">
        <v>438</v>
      </c>
      <c r="D12" s="19">
        <v>3062000</v>
      </c>
      <c r="E12" s="19">
        <v>0</v>
      </c>
      <c r="F12" s="19"/>
      <c r="G12" s="19">
        <v>380</v>
      </c>
      <c r="H12" s="19">
        <v>6.2</v>
      </c>
      <c r="I12" s="19" t="s">
        <v>445</v>
      </c>
      <c r="J12" s="19" t="s">
        <v>88</v>
      </c>
      <c r="K12" s="19" t="b">
        <v>0</v>
      </c>
      <c r="L12" s="15">
        <v>2020</v>
      </c>
      <c r="M12" s="16">
        <v>0.0549</v>
      </c>
      <c r="N12" s="20">
        <v>41550</v>
      </c>
      <c r="O12" s="20">
        <v>41550</v>
      </c>
    </row>
    <row r="13" spans="1:15" ht="14.25">
      <c r="A13" s="17">
        <v>2013</v>
      </c>
      <c r="B13" s="18" t="s">
        <v>437</v>
      </c>
      <c r="C13" s="18" t="s">
        <v>438</v>
      </c>
      <c r="D13" s="19">
        <v>3062000</v>
      </c>
      <c r="E13" s="19">
        <v>0</v>
      </c>
      <c r="F13" s="19"/>
      <c r="G13" s="19">
        <v>460</v>
      </c>
      <c r="H13" s="19">
        <v>9.2</v>
      </c>
      <c r="I13" s="19" t="s">
        <v>446</v>
      </c>
      <c r="J13" s="19" t="s">
        <v>94</v>
      </c>
      <c r="K13" s="19" t="b">
        <v>0</v>
      </c>
      <c r="L13" s="15">
        <v>2021</v>
      </c>
      <c r="M13" s="16">
        <v>0.062</v>
      </c>
      <c r="N13" s="20">
        <v>41550</v>
      </c>
      <c r="O13" s="20">
        <v>41550</v>
      </c>
    </row>
    <row r="14" spans="1:15" ht="14.25">
      <c r="A14" s="17">
        <v>2013</v>
      </c>
      <c r="B14" s="18" t="s">
        <v>437</v>
      </c>
      <c r="C14" s="18" t="s">
        <v>438</v>
      </c>
      <c r="D14" s="19">
        <v>3062000</v>
      </c>
      <c r="E14" s="19">
        <v>0</v>
      </c>
      <c r="F14" s="19"/>
      <c r="G14" s="19">
        <v>170</v>
      </c>
      <c r="H14" s="19" t="s">
        <v>63</v>
      </c>
      <c r="I14" s="19"/>
      <c r="J14" s="19" t="s">
        <v>64</v>
      </c>
      <c r="K14" s="19" t="b">
        <v>1</v>
      </c>
      <c r="L14" s="15">
        <v>2019</v>
      </c>
      <c r="M14" s="16">
        <v>3200000</v>
      </c>
      <c r="N14" s="20">
        <v>41550</v>
      </c>
      <c r="O14" s="20">
        <v>41550</v>
      </c>
    </row>
    <row r="15" spans="1:15" ht="14.25">
      <c r="A15" s="17">
        <v>2013</v>
      </c>
      <c r="B15" s="18" t="s">
        <v>437</v>
      </c>
      <c r="C15" s="18" t="s">
        <v>438</v>
      </c>
      <c r="D15" s="19">
        <v>3062000</v>
      </c>
      <c r="E15" s="19">
        <v>0</v>
      </c>
      <c r="F15" s="19"/>
      <c r="G15" s="19">
        <v>130</v>
      </c>
      <c r="H15" s="19">
        <v>2.1</v>
      </c>
      <c r="I15" s="19"/>
      <c r="J15" s="19" t="s">
        <v>56</v>
      </c>
      <c r="K15" s="19" t="b">
        <v>1</v>
      </c>
      <c r="L15" s="15">
        <v>2021</v>
      </c>
      <c r="M15" s="16">
        <v>355507492</v>
      </c>
      <c r="N15" s="20">
        <v>41550</v>
      </c>
      <c r="O15" s="20">
        <v>41550</v>
      </c>
    </row>
    <row r="16" spans="1:15" ht="14.25">
      <c r="A16" s="17">
        <v>2013</v>
      </c>
      <c r="B16" s="18" t="s">
        <v>437</v>
      </c>
      <c r="C16" s="18" t="s">
        <v>438</v>
      </c>
      <c r="D16" s="19">
        <v>3062000</v>
      </c>
      <c r="E16" s="19">
        <v>0</v>
      </c>
      <c r="F16" s="19"/>
      <c r="G16" s="19">
        <v>420</v>
      </c>
      <c r="H16" s="19">
        <v>8.1</v>
      </c>
      <c r="I16" s="19" t="s">
        <v>440</v>
      </c>
      <c r="J16" s="19" t="s">
        <v>91</v>
      </c>
      <c r="K16" s="19" t="b">
        <v>0</v>
      </c>
      <c r="L16" s="15">
        <v>2025</v>
      </c>
      <c r="M16" s="16">
        <v>51468580</v>
      </c>
      <c r="N16" s="20">
        <v>41550</v>
      </c>
      <c r="O16" s="20">
        <v>41550</v>
      </c>
    </row>
    <row r="17" spans="1:15" ht="14.25">
      <c r="A17" s="17">
        <v>2013</v>
      </c>
      <c r="B17" s="18" t="s">
        <v>437</v>
      </c>
      <c r="C17" s="18" t="s">
        <v>438</v>
      </c>
      <c r="D17" s="19">
        <v>3062000</v>
      </c>
      <c r="E17" s="19">
        <v>0</v>
      </c>
      <c r="F17" s="19"/>
      <c r="G17" s="19">
        <v>190</v>
      </c>
      <c r="H17" s="19">
        <v>2.2</v>
      </c>
      <c r="I17" s="19"/>
      <c r="J17" s="19" t="s">
        <v>67</v>
      </c>
      <c r="K17" s="19" t="b">
        <v>0</v>
      </c>
      <c r="L17" s="15">
        <v>2027</v>
      </c>
      <c r="M17" s="16">
        <v>51520980</v>
      </c>
      <c r="N17" s="20">
        <v>41550</v>
      </c>
      <c r="O17" s="20">
        <v>41550</v>
      </c>
    </row>
    <row r="18" spans="1:15" ht="14.25">
      <c r="A18" s="17">
        <v>2013</v>
      </c>
      <c r="B18" s="18" t="s">
        <v>437</v>
      </c>
      <c r="C18" s="18" t="s">
        <v>438</v>
      </c>
      <c r="D18" s="19">
        <v>3062000</v>
      </c>
      <c r="E18" s="19">
        <v>0</v>
      </c>
      <c r="F18" s="19"/>
      <c r="G18" s="19">
        <v>180</v>
      </c>
      <c r="H18" s="19" t="s">
        <v>65</v>
      </c>
      <c r="I18" s="19"/>
      <c r="J18" s="19" t="s">
        <v>66</v>
      </c>
      <c r="K18" s="19" t="b">
        <v>0</v>
      </c>
      <c r="L18" s="15">
        <v>2024</v>
      </c>
      <c r="M18" s="16">
        <v>150000</v>
      </c>
      <c r="N18" s="20">
        <v>41550</v>
      </c>
      <c r="O18" s="20">
        <v>41550</v>
      </c>
    </row>
    <row r="19" spans="1:15" ht="14.25">
      <c r="A19" s="17">
        <v>2013</v>
      </c>
      <c r="B19" s="18" t="s">
        <v>437</v>
      </c>
      <c r="C19" s="18" t="s">
        <v>438</v>
      </c>
      <c r="D19" s="19">
        <v>3062000</v>
      </c>
      <c r="E19" s="19">
        <v>0</v>
      </c>
      <c r="F19" s="19"/>
      <c r="G19" s="19">
        <v>180</v>
      </c>
      <c r="H19" s="19" t="s">
        <v>65</v>
      </c>
      <c r="I19" s="19"/>
      <c r="J19" s="19" t="s">
        <v>66</v>
      </c>
      <c r="K19" s="19" t="b">
        <v>0</v>
      </c>
      <c r="L19" s="15">
        <v>2017</v>
      </c>
      <c r="M19" s="16">
        <v>5000000</v>
      </c>
      <c r="N19" s="20">
        <v>41550</v>
      </c>
      <c r="O19" s="20">
        <v>41550</v>
      </c>
    </row>
    <row r="20" spans="1:15" ht="14.25">
      <c r="A20" s="17">
        <v>2013</v>
      </c>
      <c r="B20" s="18" t="s">
        <v>437</v>
      </c>
      <c r="C20" s="18" t="s">
        <v>438</v>
      </c>
      <c r="D20" s="19">
        <v>3062000</v>
      </c>
      <c r="E20" s="19">
        <v>0</v>
      </c>
      <c r="F20" s="19"/>
      <c r="G20" s="19">
        <v>80</v>
      </c>
      <c r="H20" s="19" t="s">
        <v>49</v>
      </c>
      <c r="I20" s="19"/>
      <c r="J20" s="19" t="s">
        <v>50</v>
      </c>
      <c r="K20" s="19" t="b">
        <v>1</v>
      </c>
      <c r="L20" s="15">
        <v>2015</v>
      </c>
      <c r="M20" s="16">
        <v>47295866</v>
      </c>
      <c r="N20" s="20">
        <v>41550</v>
      </c>
      <c r="O20" s="20">
        <v>41550</v>
      </c>
    </row>
    <row r="21" spans="1:15" ht="14.25">
      <c r="A21" s="17">
        <v>2013</v>
      </c>
      <c r="B21" s="18" t="s">
        <v>437</v>
      </c>
      <c r="C21" s="18" t="s">
        <v>438</v>
      </c>
      <c r="D21" s="19">
        <v>3062000</v>
      </c>
      <c r="E21" s="19">
        <v>0</v>
      </c>
      <c r="F21" s="19"/>
      <c r="G21" s="19">
        <v>610</v>
      </c>
      <c r="H21" s="19" t="s">
        <v>112</v>
      </c>
      <c r="I21" s="19"/>
      <c r="J21" s="19" t="s">
        <v>113</v>
      </c>
      <c r="K21" s="19" t="b">
        <v>1</v>
      </c>
      <c r="L21" s="15">
        <v>2014</v>
      </c>
      <c r="M21" s="16">
        <v>35850011.25</v>
      </c>
      <c r="N21" s="20">
        <v>41550</v>
      </c>
      <c r="O21" s="20">
        <v>41550</v>
      </c>
    </row>
    <row r="22" spans="1:15" ht="14.25">
      <c r="A22" s="17">
        <v>2013</v>
      </c>
      <c r="B22" s="18" t="s">
        <v>437</v>
      </c>
      <c r="C22" s="18" t="s">
        <v>438</v>
      </c>
      <c r="D22" s="19">
        <v>3062000</v>
      </c>
      <c r="E22" s="19">
        <v>0</v>
      </c>
      <c r="F22" s="19"/>
      <c r="G22" s="19">
        <v>430</v>
      </c>
      <c r="H22" s="19">
        <v>8.2</v>
      </c>
      <c r="I22" s="19" t="s">
        <v>447</v>
      </c>
      <c r="J22" s="19" t="s">
        <v>92</v>
      </c>
      <c r="K22" s="19" t="b">
        <v>0</v>
      </c>
      <c r="L22" s="15">
        <v>2026</v>
      </c>
      <c r="M22" s="16">
        <v>51468580</v>
      </c>
      <c r="N22" s="20">
        <v>41550</v>
      </c>
      <c r="O22" s="20">
        <v>41550</v>
      </c>
    </row>
    <row r="23" spans="1:15" ht="14.25">
      <c r="A23" s="17">
        <v>2013</v>
      </c>
      <c r="B23" s="18" t="s">
        <v>437</v>
      </c>
      <c r="C23" s="18" t="s">
        <v>438</v>
      </c>
      <c r="D23" s="19">
        <v>3062000</v>
      </c>
      <c r="E23" s="19">
        <v>0</v>
      </c>
      <c r="F23" s="19"/>
      <c r="G23" s="19">
        <v>530</v>
      </c>
      <c r="H23" s="19">
        <v>9.8</v>
      </c>
      <c r="I23" s="19" t="s">
        <v>444</v>
      </c>
      <c r="J23" s="19" t="s">
        <v>103</v>
      </c>
      <c r="K23" s="19" t="b">
        <v>0</v>
      </c>
      <c r="L23" s="15">
        <v>2014</v>
      </c>
      <c r="M23" s="16">
        <v>-17</v>
      </c>
      <c r="N23" s="20">
        <v>41550</v>
      </c>
      <c r="O23" s="20">
        <v>41550</v>
      </c>
    </row>
    <row r="24" spans="1:15" ht="14.25">
      <c r="A24" s="17">
        <v>2013</v>
      </c>
      <c r="B24" s="18" t="s">
        <v>437</v>
      </c>
      <c r="C24" s="18" t="s">
        <v>438</v>
      </c>
      <c r="D24" s="19">
        <v>3062000</v>
      </c>
      <c r="E24" s="19">
        <v>0</v>
      </c>
      <c r="F24" s="19"/>
      <c r="G24" s="19">
        <v>180</v>
      </c>
      <c r="H24" s="19" t="s">
        <v>65</v>
      </c>
      <c r="I24" s="19"/>
      <c r="J24" s="19" t="s">
        <v>66</v>
      </c>
      <c r="K24" s="19" t="b">
        <v>0</v>
      </c>
      <c r="L24" s="15">
        <v>2018</v>
      </c>
      <c r="M24" s="16">
        <v>4000000</v>
      </c>
      <c r="N24" s="20">
        <v>41550</v>
      </c>
      <c r="O24" s="20">
        <v>41550</v>
      </c>
    </row>
    <row r="25" spans="1:15" ht="14.25">
      <c r="A25" s="17">
        <v>2013</v>
      </c>
      <c r="B25" s="18" t="s">
        <v>437</v>
      </c>
      <c r="C25" s="18" t="s">
        <v>438</v>
      </c>
      <c r="D25" s="19">
        <v>3062000</v>
      </c>
      <c r="E25" s="19">
        <v>0</v>
      </c>
      <c r="F25" s="19"/>
      <c r="G25" s="19">
        <v>350</v>
      </c>
      <c r="H25" s="19">
        <v>6</v>
      </c>
      <c r="I25" s="19"/>
      <c r="J25" s="19" t="s">
        <v>25</v>
      </c>
      <c r="K25" s="19" t="b">
        <v>1</v>
      </c>
      <c r="L25" s="15">
        <v>2021</v>
      </c>
      <c r="M25" s="16">
        <v>8359600</v>
      </c>
      <c r="N25" s="20">
        <v>41550</v>
      </c>
      <c r="O25" s="20">
        <v>41550</v>
      </c>
    </row>
    <row r="26" spans="1:15" ht="14.25">
      <c r="A26" s="17">
        <v>2013</v>
      </c>
      <c r="B26" s="18" t="s">
        <v>437</v>
      </c>
      <c r="C26" s="18" t="s">
        <v>438</v>
      </c>
      <c r="D26" s="19">
        <v>3062000</v>
      </c>
      <c r="E26" s="19">
        <v>0</v>
      </c>
      <c r="F26" s="19"/>
      <c r="G26" s="19">
        <v>380</v>
      </c>
      <c r="H26" s="19">
        <v>6.2</v>
      </c>
      <c r="I26" s="19" t="s">
        <v>445</v>
      </c>
      <c r="J26" s="19" t="s">
        <v>88</v>
      </c>
      <c r="K26" s="19" t="b">
        <v>0</v>
      </c>
      <c r="L26" s="15">
        <v>2023</v>
      </c>
      <c r="M26" s="16">
        <v>0.0007</v>
      </c>
      <c r="N26" s="20">
        <v>41550</v>
      </c>
      <c r="O26" s="20">
        <v>41550</v>
      </c>
    </row>
    <row r="27" spans="1:15" ht="14.25">
      <c r="A27" s="17">
        <v>2013</v>
      </c>
      <c r="B27" s="18" t="s">
        <v>437</v>
      </c>
      <c r="C27" s="18" t="s">
        <v>438</v>
      </c>
      <c r="D27" s="19">
        <v>3062000</v>
      </c>
      <c r="E27" s="19">
        <v>0</v>
      </c>
      <c r="F27" s="19"/>
      <c r="G27" s="19">
        <v>560</v>
      </c>
      <c r="H27" s="19">
        <v>10.1</v>
      </c>
      <c r="I27" s="19"/>
      <c r="J27" s="19" t="s">
        <v>107</v>
      </c>
      <c r="K27" s="19" t="b">
        <v>0</v>
      </c>
      <c r="L27" s="15">
        <v>2020</v>
      </c>
      <c r="M27" s="16">
        <v>18001200</v>
      </c>
      <c r="N27" s="20">
        <v>41550</v>
      </c>
      <c r="O27" s="20">
        <v>41550</v>
      </c>
    </row>
    <row r="28" spans="1:15" ht="14.25">
      <c r="A28" s="17">
        <v>2013</v>
      </c>
      <c r="B28" s="18" t="s">
        <v>437</v>
      </c>
      <c r="C28" s="18" t="s">
        <v>438</v>
      </c>
      <c r="D28" s="19">
        <v>3062000</v>
      </c>
      <c r="E28" s="19">
        <v>0</v>
      </c>
      <c r="F28" s="19"/>
      <c r="G28" s="19">
        <v>610</v>
      </c>
      <c r="H28" s="19" t="s">
        <v>112</v>
      </c>
      <c r="I28" s="19"/>
      <c r="J28" s="19" t="s">
        <v>113</v>
      </c>
      <c r="K28" s="19" t="b">
        <v>1</v>
      </c>
      <c r="L28" s="15">
        <v>2015</v>
      </c>
      <c r="M28" s="16">
        <v>14578758.58</v>
      </c>
      <c r="N28" s="20">
        <v>41550</v>
      </c>
      <c r="O28" s="20">
        <v>41550</v>
      </c>
    </row>
    <row r="29" spans="1:15" ht="14.25">
      <c r="A29" s="17">
        <v>2013</v>
      </c>
      <c r="B29" s="18" t="s">
        <v>437</v>
      </c>
      <c r="C29" s="18" t="s">
        <v>438</v>
      </c>
      <c r="D29" s="19">
        <v>3062000</v>
      </c>
      <c r="E29" s="19">
        <v>0</v>
      </c>
      <c r="F29" s="19"/>
      <c r="G29" s="19">
        <v>560</v>
      </c>
      <c r="H29" s="19">
        <v>10.1</v>
      </c>
      <c r="I29" s="19"/>
      <c r="J29" s="19" t="s">
        <v>107</v>
      </c>
      <c r="K29" s="19" t="b">
        <v>0</v>
      </c>
      <c r="L29" s="15">
        <v>2027</v>
      </c>
      <c r="M29" s="16">
        <v>47600</v>
      </c>
      <c r="N29" s="20">
        <v>41550</v>
      </c>
      <c r="O29" s="20">
        <v>41550</v>
      </c>
    </row>
    <row r="30" spans="1:15" ht="14.25">
      <c r="A30" s="17">
        <v>2013</v>
      </c>
      <c r="B30" s="18" t="s">
        <v>437</v>
      </c>
      <c r="C30" s="18" t="s">
        <v>438</v>
      </c>
      <c r="D30" s="19">
        <v>3062000</v>
      </c>
      <c r="E30" s="19">
        <v>0</v>
      </c>
      <c r="F30" s="19"/>
      <c r="G30" s="19">
        <v>530</v>
      </c>
      <c r="H30" s="19">
        <v>9.8</v>
      </c>
      <c r="I30" s="19" t="s">
        <v>444</v>
      </c>
      <c r="J30" s="19" t="s">
        <v>103</v>
      </c>
      <c r="K30" s="19" t="b">
        <v>0</v>
      </c>
      <c r="L30" s="15">
        <v>2018</v>
      </c>
      <c r="M30" s="16">
        <v>402</v>
      </c>
      <c r="N30" s="20">
        <v>41550</v>
      </c>
      <c r="O30" s="20">
        <v>41550</v>
      </c>
    </row>
    <row r="31" spans="1:15" ht="14.25">
      <c r="A31" s="17">
        <v>2013</v>
      </c>
      <c r="B31" s="18" t="s">
        <v>437</v>
      </c>
      <c r="C31" s="18" t="s">
        <v>438</v>
      </c>
      <c r="D31" s="19">
        <v>3062000</v>
      </c>
      <c r="E31" s="19">
        <v>0</v>
      </c>
      <c r="F31" s="19"/>
      <c r="G31" s="19">
        <v>10</v>
      </c>
      <c r="H31" s="19">
        <v>1</v>
      </c>
      <c r="I31" s="19" t="s">
        <v>448</v>
      </c>
      <c r="J31" s="19" t="s">
        <v>24</v>
      </c>
      <c r="K31" s="19" t="b">
        <v>1</v>
      </c>
      <c r="L31" s="15">
        <v>2020</v>
      </c>
      <c r="M31" s="16">
        <v>406676072</v>
      </c>
      <c r="N31" s="20">
        <v>41550</v>
      </c>
      <c r="O31" s="20">
        <v>41550</v>
      </c>
    </row>
    <row r="32" spans="1:15" ht="14.25">
      <c r="A32" s="17">
        <v>2013</v>
      </c>
      <c r="B32" s="18" t="s">
        <v>437</v>
      </c>
      <c r="C32" s="18" t="s">
        <v>438</v>
      </c>
      <c r="D32" s="19">
        <v>3062000</v>
      </c>
      <c r="E32" s="19">
        <v>0</v>
      </c>
      <c r="F32" s="19"/>
      <c r="G32" s="19">
        <v>10</v>
      </c>
      <c r="H32" s="19">
        <v>1</v>
      </c>
      <c r="I32" s="19" t="s">
        <v>448</v>
      </c>
      <c r="J32" s="19" t="s">
        <v>24</v>
      </c>
      <c r="K32" s="19" t="b">
        <v>1</v>
      </c>
      <c r="L32" s="15">
        <v>2022</v>
      </c>
      <c r="M32" s="16">
        <v>406676072</v>
      </c>
      <c r="N32" s="20">
        <v>41550</v>
      </c>
      <c r="O32" s="20">
        <v>41550</v>
      </c>
    </row>
    <row r="33" spans="1:15" ht="14.25">
      <c r="A33" s="17">
        <v>2013</v>
      </c>
      <c r="B33" s="18" t="s">
        <v>437</v>
      </c>
      <c r="C33" s="18" t="s">
        <v>438</v>
      </c>
      <c r="D33" s="19">
        <v>3062000</v>
      </c>
      <c r="E33" s="19">
        <v>0</v>
      </c>
      <c r="F33" s="19"/>
      <c r="G33" s="19">
        <v>130</v>
      </c>
      <c r="H33" s="19">
        <v>2.1</v>
      </c>
      <c r="I33" s="19"/>
      <c r="J33" s="19" t="s">
        <v>56</v>
      </c>
      <c r="K33" s="19" t="b">
        <v>1</v>
      </c>
      <c r="L33" s="15">
        <v>2020</v>
      </c>
      <c r="M33" s="16">
        <v>355627492</v>
      </c>
      <c r="N33" s="20">
        <v>41550</v>
      </c>
      <c r="O33" s="20">
        <v>41550</v>
      </c>
    </row>
    <row r="34" spans="1:15" ht="14.25">
      <c r="A34" s="17">
        <v>2013</v>
      </c>
      <c r="B34" s="18" t="s">
        <v>437</v>
      </c>
      <c r="C34" s="18" t="s">
        <v>438</v>
      </c>
      <c r="D34" s="19">
        <v>3062000</v>
      </c>
      <c r="E34" s="19">
        <v>0</v>
      </c>
      <c r="F34" s="19"/>
      <c r="G34" s="19">
        <v>390</v>
      </c>
      <c r="H34" s="19">
        <v>6.3</v>
      </c>
      <c r="I34" s="19" t="s">
        <v>442</v>
      </c>
      <c r="J34" s="19" t="s">
        <v>89</v>
      </c>
      <c r="K34" s="19" t="b">
        <v>0</v>
      </c>
      <c r="L34" s="15">
        <v>2016</v>
      </c>
      <c r="M34" s="16">
        <v>0.2259</v>
      </c>
      <c r="N34" s="20">
        <v>41550</v>
      </c>
      <c r="O34" s="20">
        <v>41550</v>
      </c>
    </row>
    <row r="35" spans="1:15" ht="14.25">
      <c r="A35" s="17">
        <v>2013</v>
      </c>
      <c r="B35" s="18" t="s">
        <v>437</v>
      </c>
      <c r="C35" s="18" t="s">
        <v>438</v>
      </c>
      <c r="D35" s="19">
        <v>3062000</v>
      </c>
      <c r="E35" s="19">
        <v>0</v>
      </c>
      <c r="F35" s="19"/>
      <c r="G35" s="19">
        <v>520</v>
      </c>
      <c r="H35" s="19" t="s">
        <v>101</v>
      </c>
      <c r="I35" s="19"/>
      <c r="J35" s="19" t="s">
        <v>449</v>
      </c>
      <c r="K35" s="19" t="b">
        <v>1</v>
      </c>
      <c r="L35" s="15">
        <v>2027</v>
      </c>
      <c r="M35" s="16">
        <v>0.1266</v>
      </c>
      <c r="N35" s="20">
        <v>41550</v>
      </c>
      <c r="O35" s="20">
        <v>41550</v>
      </c>
    </row>
    <row r="36" spans="1:15" ht="14.25">
      <c r="A36" s="17">
        <v>2013</v>
      </c>
      <c r="B36" s="18" t="s">
        <v>437</v>
      </c>
      <c r="C36" s="18" t="s">
        <v>438</v>
      </c>
      <c r="D36" s="19">
        <v>3062000</v>
      </c>
      <c r="E36" s="19">
        <v>0</v>
      </c>
      <c r="F36" s="19"/>
      <c r="G36" s="19">
        <v>470</v>
      </c>
      <c r="H36" s="19">
        <v>9.3</v>
      </c>
      <c r="I36" s="19" t="s">
        <v>450</v>
      </c>
      <c r="J36" s="19" t="s">
        <v>451</v>
      </c>
      <c r="K36" s="19" t="b">
        <v>1</v>
      </c>
      <c r="L36" s="15">
        <v>2018</v>
      </c>
      <c r="M36" s="16">
        <v>0.0754</v>
      </c>
      <c r="N36" s="20">
        <v>41550</v>
      </c>
      <c r="O36" s="20">
        <v>41550</v>
      </c>
    </row>
    <row r="37" spans="1:15" ht="14.25">
      <c r="A37" s="17">
        <v>2013</v>
      </c>
      <c r="B37" s="18" t="s">
        <v>437</v>
      </c>
      <c r="C37" s="18" t="s">
        <v>438</v>
      </c>
      <c r="D37" s="19">
        <v>3062000</v>
      </c>
      <c r="E37" s="19">
        <v>0</v>
      </c>
      <c r="F37" s="19"/>
      <c r="G37" s="19">
        <v>20</v>
      </c>
      <c r="H37" s="19">
        <v>1.1</v>
      </c>
      <c r="I37" s="19"/>
      <c r="J37" s="19" t="s">
        <v>38</v>
      </c>
      <c r="K37" s="19" t="b">
        <v>1</v>
      </c>
      <c r="L37" s="15">
        <v>2013</v>
      </c>
      <c r="M37" s="16">
        <v>380625600.54</v>
      </c>
      <c r="N37" s="20">
        <v>41550</v>
      </c>
      <c r="O37" s="20">
        <v>41550</v>
      </c>
    </row>
    <row r="38" spans="1:15" ht="14.25">
      <c r="A38" s="17">
        <v>2013</v>
      </c>
      <c r="B38" s="18" t="s">
        <v>437</v>
      </c>
      <c r="C38" s="18" t="s">
        <v>438</v>
      </c>
      <c r="D38" s="19">
        <v>3062000</v>
      </c>
      <c r="E38" s="19">
        <v>0</v>
      </c>
      <c r="F38" s="19"/>
      <c r="G38" s="19">
        <v>50</v>
      </c>
      <c r="H38" s="19" t="s">
        <v>43</v>
      </c>
      <c r="I38" s="19"/>
      <c r="J38" s="19" t="s">
        <v>44</v>
      </c>
      <c r="K38" s="19" t="b">
        <v>1</v>
      </c>
      <c r="L38" s="15">
        <v>2017</v>
      </c>
      <c r="M38" s="16">
        <v>132893500</v>
      </c>
      <c r="N38" s="20">
        <v>41550</v>
      </c>
      <c r="O38" s="20">
        <v>41550</v>
      </c>
    </row>
    <row r="39" spans="1:15" ht="14.25">
      <c r="A39" s="17">
        <v>2013</v>
      </c>
      <c r="B39" s="18" t="s">
        <v>437</v>
      </c>
      <c r="C39" s="18" t="s">
        <v>438</v>
      </c>
      <c r="D39" s="19">
        <v>3062000</v>
      </c>
      <c r="E39" s="19">
        <v>0</v>
      </c>
      <c r="F39" s="19"/>
      <c r="G39" s="19">
        <v>510</v>
      </c>
      <c r="H39" s="19">
        <v>9.7</v>
      </c>
      <c r="I39" s="19"/>
      <c r="J39" s="19" t="s">
        <v>452</v>
      </c>
      <c r="K39" s="19" t="b">
        <v>1</v>
      </c>
      <c r="L39" s="15">
        <v>2027</v>
      </c>
      <c r="M39" s="16">
        <v>0.1266</v>
      </c>
      <c r="N39" s="20">
        <v>41550</v>
      </c>
      <c r="O39" s="20">
        <v>41550</v>
      </c>
    </row>
    <row r="40" spans="1:15" ht="14.25">
      <c r="A40" s="17">
        <v>2013</v>
      </c>
      <c r="B40" s="18" t="s">
        <v>437</v>
      </c>
      <c r="C40" s="18" t="s">
        <v>438</v>
      </c>
      <c r="D40" s="19">
        <v>3062000</v>
      </c>
      <c r="E40" s="19">
        <v>0</v>
      </c>
      <c r="F40" s="19"/>
      <c r="G40" s="19">
        <v>880</v>
      </c>
      <c r="H40" s="19">
        <v>14.1</v>
      </c>
      <c r="I40" s="19"/>
      <c r="J40" s="19" t="s">
        <v>149</v>
      </c>
      <c r="K40" s="19" t="b">
        <v>1</v>
      </c>
      <c r="L40" s="15">
        <v>2019</v>
      </c>
      <c r="M40" s="16">
        <v>8850000</v>
      </c>
      <c r="N40" s="20">
        <v>41550</v>
      </c>
      <c r="O40" s="20">
        <v>41550</v>
      </c>
    </row>
    <row r="41" spans="1:15" ht="14.25">
      <c r="A41" s="17">
        <v>2013</v>
      </c>
      <c r="B41" s="18" t="s">
        <v>437</v>
      </c>
      <c r="C41" s="18" t="s">
        <v>438</v>
      </c>
      <c r="D41" s="19">
        <v>3062000</v>
      </c>
      <c r="E41" s="19">
        <v>0</v>
      </c>
      <c r="F41" s="19"/>
      <c r="G41" s="19">
        <v>420</v>
      </c>
      <c r="H41" s="19">
        <v>8.1</v>
      </c>
      <c r="I41" s="19" t="s">
        <v>440</v>
      </c>
      <c r="J41" s="19" t="s">
        <v>91</v>
      </c>
      <c r="K41" s="19" t="b">
        <v>0</v>
      </c>
      <c r="L41" s="15">
        <v>2016</v>
      </c>
      <c r="M41" s="16">
        <v>46368580</v>
      </c>
      <c r="N41" s="20">
        <v>41550</v>
      </c>
      <c r="O41" s="20">
        <v>41550</v>
      </c>
    </row>
    <row r="42" spans="1:15" ht="14.25">
      <c r="A42" s="17">
        <v>2013</v>
      </c>
      <c r="B42" s="18" t="s">
        <v>437</v>
      </c>
      <c r="C42" s="18" t="s">
        <v>438</v>
      </c>
      <c r="D42" s="19">
        <v>3062000</v>
      </c>
      <c r="E42" s="19">
        <v>0</v>
      </c>
      <c r="F42" s="19"/>
      <c r="G42" s="19">
        <v>520</v>
      </c>
      <c r="H42" s="19" t="s">
        <v>101</v>
      </c>
      <c r="I42" s="19"/>
      <c r="J42" s="19" t="s">
        <v>449</v>
      </c>
      <c r="K42" s="19" t="b">
        <v>1</v>
      </c>
      <c r="L42" s="15">
        <v>2021</v>
      </c>
      <c r="M42" s="16">
        <v>0.1261</v>
      </c>
      <c r="N42" s="20">
        <v>41550</v>
      </c>
      <c r="O42" s="20">
        <v>41550</v>
      </c>
    </row>
    <row r="43" spans="1:15" ht="14.25">
      <c r="A43" s="17">
        <v>2013</v>
      </c>
      <c r="B43" s="18" t="s">
        <v>437</v>
      </c>
      <c r="C43" s="18" t="s">
        <v>438</v>
      </c>
      <c r="D43" s="19">
        <v>3062000</v>
      </c>
      <c r="E43" s="19">
        <v>0</v>
      </c>
      <c r="F43" s="19"/>
      <c r="G43" s="19">
        <v>10</v>
      </c>
      <c r="H43" s="19">
        <v>1</v>
      </c>
      <c r="I43" s="19" t="s">
        <v>448</v>
      </c>
      <c r="J43" s="19" t="s">
        <v>24</v>
      </c>
      <c r="K43" s="19" t="b">
        <v>1</v>
      </c>
      <c r="L43" s="15">
        <v>2015</v>
      </c>
      <c r="M43" s="16">
        <v>393010500</v>
      </c>
      <c r="N43" s="20">
        <v>41550</v>
      </c>
      <c r="O43" s="20">
        <v>41550</v>
      </c>
    </row>
    <row r="44" spans="1:15" ht="14.25">
      <c r="A44" s="17">
        <v>2013</v>
      </c>
      <c r="B44" s="18" t="s">
        <v>437</v>
      </c>
      <c r="C44" s="18" t="s">
        <v>438</v>
      </c>
      <c r="D44" s="19">
        <v>3062000</v>
      </c>
      <c r="E44" s="19">
        <v>0</v>
      </c>
      <c r="F44" s="19"/>
      <c r="G44" s="19">
        <v>505</v>
      </c>
      <c r="H44" s="19" t="s">
        <v>98</v>
      </c>
      <c r="I44" s="19" t="s">
        <v>441</v>
      </c>
      <c r="J44" s="19" t="s">
        <v>99</v>
      </c>
      <c r="K44" s="19" t="b">
        <v>0</v>
      </c>
      <c r="L44" s="15">
        <v>2023</v>
      </c>
      <c r="M44" s="16">
        <v>0.1266</v>
      </c>
      <c r="N44" s="20">
        <v>41550</v>
      </c>
      <c r="O44" s="20">
        <v>41550</v>
      </c>
    </row>
    <row r="45" spans="1:15" ht="14.25">
      <c r="A45" s="17">
        <v>2013</v>
      </c>
      <c r="B45" s="18" t="s">
        <v>437</v>
      </c>
      <c r="C45" s="18" t="s">
        <v>438</v>
      </c>
      <c r="D45" s="19">
        <v>3062000</v>
      </c>
      <c r="E45" s="19">
        <v>0</v>
      </c>
      <c r="F45" s="19"/>
      <c r="G45" s="19">
        <v>460</v>
      </c>
      <c r="H45" s="19">
        <v>9.2</v>
      </c>
      <c r="I45" s="19" t="s">
        <v>446</v>
      </c>
      <c r="J45" s="19" t="s">
        <v>94</v>
      </c>
      <c r="K45" s="19" t="b">
        <v>0</v>
      </c>
      <c r="L45" s="15">
        <v>2023</v>
      </c>
      <c r="M45" s="16">
        <v>0.0253</v>
      </c>
      <c r="N45" s="20">
        <v>41550</v>
      </c>
      <c r="O45" s="20">
        <v>41550</v>
      </c>
    </row>
    <row r="46" spans="1:15" ht="14.25">
      <c r="A46" s="17">
        <v>2013</v>
      </c>
      <c r="B46" s="18" t="s">
        <v>437</v>
      </c>
      <c r="C46" s="18" t="s">
        <v>438</v>
      </c>
      <c r="D46" s="19">
        <v>3062000</v>
      </c>
      <c r="E46" s="19">
        <v>0</v>
      </c>
      <c r="F46" s="19"/>
      <c r="G46" s="19">
        <v>420</v>
      </c>
      <c r="H46" s="19">
        <v>8.1</v>
      </c>
      <c r="I46" s="19" t="s">
        <v>440</v>
      </c>
      <c r="J46" s="19" t="s">
        <v>91</v>
      </c>
      <c r="K46" s="19" t="b">
        <v>0</v>
      </c>
      <c r="L46" s="15">
        <v>2024</v>
      </c>
      <c r="M46" s="16">
        <v>51468580</v>
      </c>
      <c r="N46" s="20">
        <v>41550</v>
      </c>
      <c r="O46" s="20">
        <v>41550</v>
      </c>
    </row>
    <row r="47" spans="1:15" ht="14.25">
      <c r="A47" s="17">
        <v>2013</v>
      </c>
      <c r="B47" s="18" t="s">
        <v>437</v>
      </c>
      <c r="C47" s="18" t="s">
        <v>438</v>
      </c>
      <c r="D47" s="19">
        <v>3062000</v>
      </c>
      <c r="E47" s="19">
        <v>0</v>
      </c>
      <c r="F47" s="19"/>
      <c r="G47" s="19">
        <v>390</v>
      </c>
      <c r="H47" s="19">
        <v>6.3</v>
      </c>
      <c r="I47" s="19" t="s">
        <v>442</v>
      </c>
      <c r="J47" s="19" t="s">
        <v>89</v>
      </c>
      <c r="K47" s="19" t="b">
        <v>0</v>
      </c>
      <c r="L47" s="15">
        <v>2022</v>
      </c>
      <c r="M47" s="16">
        <v>0.0024</v>
      </c>
      <c r="N47" s="20">
        <v>41550</v>
      </c>
      <c r="O47" s="20">
        <v>41550</v>
      </c>
    </row>
    <row r="48" spans="1:15" ht="14.25">
      <c r="A48" s="17">
        <v>2013</v>
      </c>
      <c r="B48" s="18" t="s">
        <v>437</v>
      </c>
      <c r="C48" s="18" t="s">
        <v>438</v>
      </c>
      <c r="D48" s="19">
        <v>3062000</v>
      </c>
      <c r="E48" s="19">
        <v>0</v>
      </c>
      <c r="F48" s="19"/>
      <c r="G48" s="19">
        <v>530</v>
      </c>
      <c r="H48" s="19">
        <v>9.8</v>
      </c>
      <c r="I48" s="19" t="s">
        <v>444</v>
      </c>
      <c r="J48" s="19" t="s">
        <v>103</v>
      </c>
      <c r="K48" s="19" t="b">
        <v>0</v>
      </c>
      <c r="L48" s="15">
        <v>2026</v>
      </c>
      <c r="M48" s="16">
        <v>1045</v>
      </c>
      <c r="N48" s="20">
        <v>41550</v>
      </c>
      <c r="O48" s="20">
        <v>41550</v>
      </c>
    </row>
    <row r="49" spans="1:15" ht="14.25">
      <c r="A49" s="17">
        <v>2013</v>
      </c>
      <c r="B49" s="18" t="s">
        <v>437</v>
      </c>
      <c r="C49" s="18" t="s">
        <v>438</v>
      </c>
      <c r="D49" s="19">
        <v>3062000</v>
      </c>
      <c r="E49" s="19">
        <v>0</v>
      </c>
      <c r="F49" s="19"/>
      <c r="G49" s="19">
        <v>540</v>
      </c>
      <c r="H49" s="19" t="s">
        <v>104</v>
      </c>
      <c r="I49" s="19" t="s">
        <v>453</v>
      </c>
      <c r="J49" s="19" t="s">
        <v>105</v>
      </c>
      <c r="K49" s="19" t="b">
        <v>0</v>
      </c>
      <c r="L49" s="15">
        <v>2020</v>
      </c>
      <c r="M49" s="16">
        <v>527</v>
      </c>
      <c r="N49" s="20">
        <v>41550</v>
      </c>
      <c r="O49" s="20">
        <v>41550</v>
      </c>
    </row>
    <row r="50" spans="1:15" ht="14.25">
      <c r="A50" s="17">
        <v>2013</v>
      </c>
      <c r="B50" s="18" t="s">
        <v>437</v>
      </c>
      <c r="C50" s="18" t="s">
        <v>438</v>
      </c>
      <c r="D50" s="19">
        <v>3062000</v>
      </c>
      <c r="E50" s="19">
        <v>0</v>
      </c>
      <c r="F50" s="19"/>
      <c r="G50" s="19">
        <v>250</v>
      </c>
      <c r="H50" s="19" t="s">
        <v>72</v>
      </c>
      <c r="I50" s="19"/>
      <c r="J50" s="19" t="s">
        <v>73</v>
      </c>
      <c r="K50" s="19" t="b">
        <v>0</v>
      </c>
      <c r="L50" s="15">
        <v>2013</v>
      </c>
      <c r="M50" s="16">
        <v>6586275.16</v>
      </c>
      <c r="N50" s="20">
        <v>41550</v>
      </c>
      <c r="O50" s="20">
        <v>41550</v>
      </c>
    </row>
    <row r="51" spans="1:15" ht="14.25">
      <c r="A51" s="17">
        <v>2013</v>
      </c>
      <c r="B51" s="18" t="s">
        <v>437</v>
      </c>
      <c r="C51" s="18" t="s">
        <v>438</v>
      </c>
      <c r="D51" s="19">
        <v>3062000</v>
      </c>
      <c r="E51" s="19">
        <v>0</v>
      </c>
      <c r="F51" s="19"/>
      <c r="G51" s="19">
        <v>130</v>
      </c>
      <c r="H51" s="19">
        <v>2.1</v>
      </c>
      <c r="I51" s="19"/>
      <c r="J51" s="19" t="s">
        <v>56</v>
      </c>
      <c r="K51" s="19" t="b">
        <v>1</v>
      </c>
      <c r="L51" s="15">
        <v>2015</v>
      </c>
      <c r="M51" s="16">
        <v>354287320.16</v>
      </c>
      <c r="N51" s="20">
        <v>41550</v>
      </c>
      <c r="O51" s="20">
        <v>41550</v>
      </c>
    </row>
    <row r="52" spans="1:15" ht="14.25">
      <c r="A52" s="17">
        <v>2013</v>
      </c>
      <c r="B52" s="18" t="s">
        <v>437</v>
      </c>
      <c r="C52" s="18" t="s">
        <v>438</v>
      </c>
      <c r="D52" s="19">
        <v>3062000</v>
      </c>
      <c r="E52" s="19">
        <v>0</v>
      </c>
      <c r="F52" s="19"/>
      <c r="G52" s="19">
        <v>730</v>
      </c>
      <c r="H52" s="19">
        <v>12.3</v>
      </c>
      <c r="I52" s="19"/>
      <c r="J52" s="19" t="s">
        <v>130</v>
      </c>
      <c r="K52" s="19" t="b">
        <v>0</v>
      </c>
      <c r="L52" s="15">
        <v>2014</v>
      </c>
      <c r="M52" s="16">
        <v>2250271.67</v>
      </c>
      <c r="N52" s="20">
        <v>41550</v>
      </c>
      <c r="O52" s="20">
        <v>41550</v>
      </c>
    </row>
    <row r="53" spans="1:15" ht="14.25">
      <c r="A53" s="17">
        <v>2013</v>
      </c>
      <c r="B53" s="18" t="s">
        <v>437</v>
      </c>
      <c r="C53" s="18" t="s">
        <v>438</v>
      </c>
      <c r="D53" s="19">
        <v>3062000</v>
      </c>
      <c r="E53" s="19">
        <v>0</v>
      </c>
      <c r="F53" s="19"/>
      <c r="G53" s="19">
        <v>530</v>
      </c>
      <c r="H53" s="19">
        <v>9.8</v>
      </c>
      <c r="I53" s="19" t="s">
        <v>444</v>
      </c>
      <c r="J53" s="19" t="s">
        <v>103</v>
      </c>
      <c r="K53" s="19" t="b">
        <v>0</v>
      </c>
      <c r="L53" s="15">
        <v>2023</v>
      </c>
      <c r="M53" s="16">
        <v>1004</v>
      </c>
      <c r="N53" s="20">
        <v>41550</v>
      </c>
      <c r="O53" s="20">
        <v>41550</v>
      </c>
    </row>
    <row r="54" spans="1:15" ht="14.25">
      <c r="A54" s="17">
        <v>2013</v>
      </c>
      <c r="B54" s="18" t="s">
        <v>437</v>
      </c>
      <c r="C54" s="18" t="s">
        <v>438</v>
      </c>
      <c r="D54" s="19">
        <v>3062000</v>
      </c>
      <c r="E54" s="19">
        <v>0</v>
      </c>
      <c r="F54" s="19"/>
      <c r="G54" s="19">
        <v>60</v>
      </c>
      <c r="H54" s="19" t="s">
        <v>45</v>
      </c>
      <c r="I54" s="19"/>
      <c r="J54" s="19" t="s">
        <v>46</v>
      </c>
      <c r="K54" s="19" t="b">
        <v>1</v>
      </c>
      <c r="L54" s="15">
        <v>2015</v>
      </c>
      <c r="M54" s="16">
        <v>64056200</v>
      </c>
      <c r="N54" s="20">
        <v>41550</v>
      </c>
      <c r="O54" s="20">
        <v>41550</v>
      </c>
    </row>
    <row r="55" spans="1:15" ht="14.25">
      <c r="A55" s="17">
        <v>2013</v>
      </c>
      <c r="B55" s="18" t="s">
        <v>437</v>
      </c>
      <c r="C55" s="18" t="s">
        <v>438</v>
      </c>
      <c r="D55" s="19">
        <v>3062000</v>
      </c>
      <c r="E55" s="19">
        <v>0</v>
      </c>
      <c r="F55" s="19"/>
      <c r="G55" s="19">
        <v>510</v>
      </c>
      <c r="H55" s="19">
        <v>9.7</v>
      </c>
      <c r="I55" s="19"/>
      <c r="J55" s="19" t="s">
        <v>452</v>
      </c>
      <c r="K55" s="19" t="b">
        <v>1</v>
      </c>
      <c r="L55" s="15">
        <v>2025</v>
      </c>
      <c r="M55" s="16">
        <v>0.1264</v>
      </c>
      <c r="N55" s="20">
        <v>41550</v>
      </c>
      <c r="O55" s="20">
        <v>41550</v>
      </c>
    </row>
    <row r="56" spans="1:15" ht="14.25">
      <c r="A56" s="17">
        <v>2013</v>
      </c>
      <c r="B56" s="18" t="s">
        <v>437</v>
      </c>
      <c r="C56" s="18" t="s">
        <v>438</v>
      </c>
      <c r="D56" s="19">
        <v>3062000</v>
      </c>
      <c r="E56" s="19">
        <v>0</v>
      </c>
      <c r="F56" s="19"/>
      <c r="G56" s="19">
        <v>390</v>
      </c>
      <c r="H56" s="19">
        <v>6.3</v>
      </c>
      <c r="I56" s="19" t="s">
        <v>442</v>
      </c>
      <c r="J56" s="19" t="s">
        <v>89</v>
      </c>
      <c r="K56" s="19" t="b">
        <v>0</v>
      </c>
      <c r="L56" s="15">
        <v>2020</v>
      </c>
      <c r="M56" s="16">
        <v>0.0549</v>
      </c>
      <c r="N56" s="20">
        <v>41550</v>
      </c>
      <c r="O56" s="20">
        <v>41550</v>
      </c>
    </row>
    <row r="57" spans="1:15" ht="14.25">
      <c r="A57" s="17">
        <v>2013</v>
      </c>
      <c r="B57" s="18" t="s">
        <v>437</v>
      </c>
      <c r="C57" s="18" t="s">
        <v>438</v>
      </c>
      <c r="D57" s="19">
        <v>3062000</v>
      </c>
      <c r="E57" s="19">
        <v>0</v>
      </c>
      <c r="F57" s="19"/>
      <c r="G57" s="19">
        <v>500</v>
      </c>
      <c r="H57" s="19">
        <v>9.6</v>
      </c>
      <c r="I57" s="19" t="s">
        <v>454</v>
      </c>
      <c r="J57" s="19" t="s">
        <v>97</v>
      </c>
      <c r="K57" s="19" t="b">
        <v>0</v>
      </c>
      <c r="L57" s="15">
        <v>2019</v>
      </c>
      <c r="M57" s="16">
        <v>0.0717</v>
      </c>
      <c r="N57" s="20">
        <v>41550</v>
      </c>
      <c r="O57" s="20">
        <v>41550</v>
      </c>
    </row>
    <row r="58" spans="1:15" ht="14.25">
      <c r="A58" s="17">
        <v>2013</v>
      </c>
      <c r="B58" s="18" t="s">
        <v>437</v>
      </c>
      <c r="C58" s="18" t="s">
        <v>438</v>
      </c>
      <c r="D58" s="19">
        <v>3062000</v>
      </c>
      <c r="E58" s="19">
        <v>0</v>
      </c>
      <c r="F58" s="19"/>
      <c r="G58" s="19">
        <v>20</v>
      </c>
      <c r="H58" s="19">
        <v>1.1</v>
      </c>
      <c r="I58" s="19"/>
      <c r="J58" s="19" t="s">
        <v>38</v>
      </c>
      <c r="K58" s="19" t="b">
        <v>1</v>
      </c>
      <c r="L58" s="15">
        <v>2027</v>
      </c>
      <c r="M58" s="16">
        <v>406676072</v>
      </c>
      <c r="N58" s="20">
        <v>41550</v>
      </c>
      <c r="O58" s="20">
        <v>41550</v>
      </c>
    </row>
    <row r="59" spans="1:15" ht="14.25">
      <c r="A59" s="17">
        <v>2013</v>
      </c>
      <c r="B59" s="18" t="s">
        <v>437</v>
      </c>
      <c r="C59" s="18" t="s">
        <v>438</v>
      </c>
      <c r="D59" s="19">
        <v>3062000</v>
      </c>
      <c r="E59" s="19">
        <v>0</v>
      </c>
      <c r="F59" s="19"/>
      <c r="G59" s="19">
        <v>430</v>
      </c>
      <c r="H59" s="19">
        <v>8.2</v>
      </c>
      <c r="I59" s="19" t="s">
        <v>447</v>
      </c>
      <c r="J59" s="19" t="s">
        <v>92</v>
      </c>
      <c r="K59" s="19" t="b">
        <v>0</v>
      </c>
      <c r="L59" s="15">
        <v>2021</v>
      </c>
      <c r="M59" s="16">
        <v>51168580</v>
      </c>
      <c r="N59" s="20">
        <v>41550</v>
      </c>
      <c r="O59" s="20">
        <v>41550</v>
      </c>
    </row>
    <row r="60" spans="1:15" ht="14.25">
      <c r="A60" s="17">
        <v>2013</v>
      </c>
      <c r="B60" s="18" t="s">
        <v>437</v>
      </c>
      <c r="C60" s="18" t="s">
        <v>438</v>
      </c>
      <c r="D60" s="19">
        <v>3062000</v>
      </c>
      <c r="E60" s="19">
        <v>0</v>
      </c>
      <c r="F60" s="19"/>
      <c r="G60" s="19">
        <v>880</v>
      </c>
      <c r="H60" s="19">
        <v>14.1</v>
      </c>
      <c r="I60" s="19"/>
      <c r="J60" s="19" t="s">
        <v>149</v>
      </c>
      <c r="K60" s="19" t="b">
        <v>1</v>
      </c>
      <c r="L60" s="15">
        <v>2021</v>
      </c>
      <c r="M60" s="16">
        <v>8806000</v>
      </c>
      <c r="N60" s="20">
        <v>41550</v>
      </c>
      <c r="O60" s="20">
        <v>41550</v>
      </c>
    </row>
    <row r="61" spans="1:15" ht="14.25">
      <c r="A61" s="17">
        <v>2013</v>
      </c>
      <c r="B61" s="18" t="s">
        <v>437</v>
      </c>
      <c r="C61" s="18" t="s">
        <v>438</v>
      </c>
      <c r="D61" s="19">
        <v>3062000</v>
      </c>
      <c r="E61" s="19">
        <v>0</v>
      </c>
      <c r="F61" s="19"/>
      <c r="G61" s="19">
        <v>530</v>
      </c>
      <c r="H61" s="19">
        <v>9.8</v>
      </c>
      <c r="I61" s="19" t="s">
        <v>444</v>
      </c>
      <c r="J61" s="19" t="s">
        <v>103</v>
      </c>
      <c r="K61" s="19" t="b">
        <v>0</v>
      </c>
      <c r="L61" s="15">
        <v>2027</v>
      </c>
      <c r="M61" s="16">
        <v>1053</v>
      </c>
      <c r="N61" s="20">
        <v>41550</v>
      </c>
      <c r="O61" s="20">
        <v>41550</v>
      </c>
    </row>
    <row r="62" spans="1:15" ht="14.25">
      <c r="A62" s="17">
        <v>2013</v>
      </c>
      <c r="B62" s="18" t="s">
        <v>437</v>
      </c>
      <c r="C62" s="18" t="s">
        <v>438</v>
      </c>
      <c r="D62" s="19">
        <v>3062000</v>
      </c>
      <c r="E62" s="19">
        <v>0</v>
      </c>
      <c r="F62" s="19"/>
      <c r="G62" s="19">
        <v>450</v>
      </c>
      <c r="H62" s="19">
        <v>9.1</v>
      </c>
      <c r="I62" s="19" t="s">
        <v>450</v>
      </c>
      <c r="J62" s="19" t="s">
        <v>93</v>
      </c>
      <c r="K62" s="19" t="b">
        <v>1</v>
      </c>
      <c r="L62" s="15">
        <v>2017</v>
      </c>
      <c r="M62" s="16">
        <v>0.0849</v>
      </c>
      <c r="N62" s="20">
        <v>41550</v>
      </c>
      <c r="O62" s="20">
        <v>41550</v>
      </c>
    </row>
    <row r="63" spans="1:15" ht="14.25">
      <c r="A63" s="17">
        <v>2013</v>
      </c>
      <c r="B63" s="18" t="s">
        <v>437</v>
      </c>
      <c r="C63" s="18" t="s">
        <v>438</v>
      </c>
      <c r="D63" s="19">
        <v>3062000</v>
      </c>
      <c r="E63" s="19">
        <v>0</v>
      </c>
      <c r="F63" s="19"/>
      <c r="G63" s="19">
        <v>420</v>
      </c>
      <c r="H63" s="19">
        <v>8.1</v>
      </c>
      <c r="I63" s="19" t="s">
        <v>440</v>
      </c>
      <c r="J63" s="19" t="s">
        <v>91</v>
      </c>
      <c r="K63" s="19" t="b">
        <v>0</v>
      </c>
      <c r="L63" s="15">
        <v>2015</v>
      </c>
      <c r="M63" s="16">
        <v>37723179.84</v>
      </c>
      <c r="N63" s="20">
        <v>41550</v>
      </c>
      <c r="O63" s="20">
        <v>41550</v>
      </c>
    </row>
    <row r="64" spans="1:15" ht="14.25">
      <c r="A64" s="17">
        <v>2013</v>
      </c>
      <c r="B64" s="18" t="s">
        <v>437</v>
      </c>
      <c r="C64" s="18" t="s">
        <v>438</v>
      </c>
      <c r="D64" s="19">
        <v>3062000</v>
      </c>
      <c r="E64" s="19">
        <v>0</v>
      </c>
      <c r="F64" s="19"/>
      <c r="G64" s="19">
        <v>380</v>
      </c>
      <c r="H64" s="19">
        <v>6.2</v>
      </c>
      <c r="I64" s="19" t="s">
        <v>445</v>
      </c>
      <c r="J64" s="19" t="s">
        <v>88</v>
      </c>
      <c r="K64" s="19" t="b">
        <v>0</v>
      </c>
      <c r="L64" s="15">
        <v>2018</v>
      </c>
      <c r="M64" s="16">
        <v>0.1375</v>
      </c>
      <c r="N64" s="20">
        <v>41550</v>
      </c>
      <c r="O64" s="20">
        <v>41550</v>
      </c>
    </row>
    <row r="65" spans="1:15" ht="14.25">
      <c r="A65" s="17">
        <v>2013</v>
      </c>
      <c r="B65" s="18" t="s">
        <v>437</v>
      </c>
      <c r="C65" s="18" t="s">
        <v>438</v>
      </c>
      <c r="D65" s="19">
        <v>3062000</v>
      </c>
      <c r="E65" s="19">
        <v>0</v>
      </c>
      <c r="F65" s="19"/>
      <c r="G65" s="19">
        <v>470</v>
      </c>
      <c r="H65" s="19">
        <v>9.3</v>
      </c>
      <c r="I65" s="19" t="s">
        <v>450</v>
      </c>
      <c r="J65" s="19" t="s">
        <v>451</v>
      </c>
      <c r="K65" s="19" t="b">
        <v>1</v>
      </c>
      <c r="L65" s="15">
        <v>2022</v>
      </c>
      <c r="M65" s="16">
        <v>0.0435</v>
      </c>
      <c r="N65" s="20">
        <v>41550</v>
      </c>
      <c r="O65" s="20">
        <v>41550</v>
      </c>
    </row>
    <row r="66" spans="1:15" ht="14.25">
      <c r="A66" s="17">
        <v>2013</v>
      </c>
      <c r="B66" s="18" t="s">
        <v>437</v>
      </c>
      <c r="C66" s="18" t="s">
        <v>438</v>
      </c>
      <c r="D66" s="19">
        <v>3062000</v>
      </c>
      <c r="E66" s="19">
        <v>0</v>
      </c>
      <c r="F66" s="19"/>
      <c r="G66" s="19">
        <v>300</v>
      </c>
      <c r="H66" s="19">
        <v>5</v>
      </c>
      <c r="I66" s="19" t="s">
        <v>455</v>
      </c>
      <c r="J66" s="19" t="s">
        <v>78</v>
      </c>
      <c r="K66" s="19" t="b">
        <v>0</v>
      </c>
      <c r="L66" s="15">
        <v>2015</v>
      </c>
      <c r="M66" s="16">
        <v>17367725.72</v>
      </c>
      <c r="N66" s="20">
        <v>41550</v>
      </c>
      <c r="O66" s="20">
        <v>41550</v>
      </c>
    </row>
    <row r="67" spans="1:15" ht="14.25">
      <c r="A67" s="17">
        <v>2013</v>
      </c>
      <c r="B67" s="18" t="s">
        <v>437</v>
      </c>
      <c r="C67" s="18" t="s">
        <v>438</v>
      </c>
      <c r="D67" s="19">
        <v>3062000</v>
      </c>
      <c r="E67" s="19">
        <v>0</v>
      </c>
      <c r="F67" s="19"/>
      <c r="G67" s="19">
        <v>210</v>
      </c>
      <c r="H67" s="19">
        <v>4</v>
      </c>
      <c r="I67" s="19" t="s">
        <v>456</v>
      </c>
      <c r="J67" s="19" t="s">
        <v>22</v>
      </c>
      <c r="K67" s="19" t="b">
        <v>0</v>
      </c>
      <c r="L67" s="15">
        <v>2015</v>
      </c>
      <c r="M67" s="16">
        <v>10000000</v>
      </c>
      <c r="N67" s="20">
        <v>41550</v>
      </c>
      <c r="O67" s="20">
        <v>41550</v>
      </c>
    </row>
    <row r="68" spans="1:15" ht="14.25">
      <c r="A68" s="17">
        <v>2013</v>
      </c>
      <c r="B68" s="18" t="s">
        <v>437</v>
      </c>
      <c r="C68" s="18" t="s">
        <v>438</v>
      </c>
      <c r="D68" s="19">
        <v>3062000</v>
      </c>
      <c r="E68" s="19">
        <v>0</v>
      </c>
      <c r="F68" s="19"/>
      <c r="G68" s="19">
        <v>540</v>
      </c>
      <c r="H68" s="19" t="s">
        <v>104</v>
      </c>
      <c r="I68" s="19" t="s">
        <v>453</v>
      </c>
      <c r="J68" s="19" t="s">
        <v>105</v>
      </c>
      <c r="K68" s="19" t="b">
        <v>0</v>
      </c>
      <c r="L68" s="15">
        <v>2016</v>
      </c>
      <c r="M68" s="16">
        <v>251</v>
      </c>
      <c r="N68" s="20">
        <v>41550</v>
      </c>
      <c r="O68" s="20">
        <v>41550</v>
      </c>
    </row>
    <row r="69" spans="1:15" ht="14.25">
      <c r="A69" s="17">
        <v>2013</v>
      </c>
      <c r="B69" s="18" t="s">
        <v>437</v>
      </c>
      <c r="C69" s="18" t="s">
        <v>438</v>
      </c>
      <c r="D69" s="19">
        <v>3062000</v>
      </c>
      <c r="E69" s="19">
        <v>0</v>
      </c>
      <c r="F69" s="19"/>
      <c r="G69" s="19">
        <v>540</v>
      </c>
      <c r="H69" s="19" t="s">
        <v>104</v>
      </c>
      <c r="I69" s="19" t="s">
        <v>453</v>
      </c>
      <c r="J69" s="19" t="s">
        <v>105</v>
      </c>
      <c r="K69" s="19" t="b">
        <v>0</v>
      </c>
      <c r="L69" s="15">
        <v>2019</v>
      </c>
      <c r="M69" s="16">
        <v>534</v>
      </c>
      <c r="N69" s="20">
        <v>41550</v>
      </c>
      <c r="O69" s="20">
        <v>41550</v>
      </c>
    </row>
    <row r="70" spans="1:15" ht="14.25">
      <c r="A70" s="17">
        <v>2013</v>
      </c>
      <c r="B70" s="18" t="s">
        <v>437</v>
      </c>
      <c r="C70" s="18" t="s">
        <v>438</v>
      </c>
      <c r="D70" s="19">
        <v>3062000</v>
      </c>
      <c r="E70" s="19">
        <v>0</v>
      </c>
      <c r="F70" s="19"/>
      <c r="G70" s="19">
        <v>70</v>
      </c>
      <c r="H70" s="19" t="s">
        <v>47</v>
      </c>
      <c r="I70" s="19"/>
      <c r="J70" s="19" t="s">
        <v>48</v>
      </c>
      <c r="K70" s="19" t="b">
        <v>1</v>
      </c>
      <c r="L70" s="15">
        <v>2013</v>
      </c>
      <c r="M70" s="16">
        <v>120406446</v>
      </c>
      <c r="N70" s="20">
        <v>41550</v>
      </c>
      <c r="O70" s="20">
        <v>41550</v>
      </c>
    </row>
    <row r="71" spans="1:15" ht="14.25">
      <c r="A71" s="17">
        <v>2013</v>
      </c>
      <c r="B71" s="18" t="s">
        <v>437</v>
      </c>
      <c r="C71" s="18" t="s">
        <v>438</v>
      </c>
      <c r="D71" s="19">
        <v>3062000</v>
      </c>
      <c r="E71" s="19">
        <v>0</v>
      </c>
      <c r="F71" s="19"/>
      <c r="G71" s="19">
        <v>70</v>
      </c>
      <c r="H71" s="19" t="s">
        <v>47</v>
      </c>
      <c r="I71" s="19"/>
      <c r="J71" s="19" t="s">
        <v>48</v>
      </c>
      <c r="K71" s="19" t="b">
        <v>1</v>
      </c>
      <c r="L71" s="15">
        <v>2015</v>
      </c>
      <c r="M71" s="16">
        <v>123149000</v>
      </c>
      <c r="N71" s="20">
        <v>41550</v>
      </c>
      <c r="O71" s="20">
        <v>41550</v>
      </c>
    </row>
    <row r="72" spans="1:15" ht="14.25">
      <c r="A72" s="17">
        <v>2013</v>
      </c>
      <c r="B72" s="18" t="s">
        <v>437</v>
      </c>
      <c r="C72" s="18" t="s">
        <v>438</v>
      </c>
      <c r="D72" s="19">
        <v>3062000</v>
      </c>
      <c r="E72" s="19">
        <v>0</v>
      </c>
      <c r="F72" s="19"/>
      <c r="G72" s="19">
        <v>550</v>
      </c>
      <c r="H72" s="19">
        <v>10</v>
      </c>
      <c r="I72" s="19"/>
      <c r="J72" s="19" t="s">
        <v>106</v>
      </c>
      <c r="K72" s="19" t="b">
        <v>0</v>
      </c>
      <c r="L72" s="15">
        <v>2022</v>
      </c>
      <c r="M72" s="16">
        <v>7397200</v>
      </c>
      <c r="N72" s="20">
        <v>41550</v>
      </c>
      <c r="O72" s="20">
        <v>41550</v>
      </c>
    </row>
    <row r="73" spans="1:15" ht="14.25">
      <c r="A73" s="17">
        <v>2013</v>
      </c>
      <c r="B73" s="18" t="s">
        <v>437</v>
      </c>
      <c r="C73" s="18" t="s">
        <v>438</v>
      </c>
      <c r="D73" s="19">
        <v>3062000</v>
      </c>
      <c r="E73" s="19">
        <v>0</v>
      </c>
      <c r="F73" s="19"/>
      <c r="G73" s="19">
        <v>540</v>
      </c>
      <c r="H73" s="19" t="s">
        <v>104</v>
      </c>
      <c r="I73" s="19" t="s">
        <v>453</v>
      </c>
      <c r="J73" s="19" t="s">
        <v>105</v>
      </c>
      <c r="K73" s="19" t="b">
        <v>0</v>
      </c>
      <c r="L73" s="15">
        <v>2023</v>
      </c>
      <c r="M73" s="16">
        <v>1004</v>
      </c>
      <c r="N73" s="20">
        <v>41550</v>
      </c>
      <c r="O73" s="20">
        <v>41550</v>
      </c>
    </row>
    <row r="74" spans="1:15" ht="14.25">
      <c r="A74" s="17">
        <v>2013</v>
      </c>
      <c r="B74" s="18" t="s">
        <v>437</v>
      </c>
      <c r="C74" s="18" t="s">
        <v>438</v>
      </c>
      <c r="D74" s="19">
        <v>3062000</v>
      </c>
      <c r="E74" s="19">
        <v>0</v>
      </c>
      <c r="F74" s="19"/>
      <c r="G74" s="19">
        <v>120</v>
      </c>
      <c r="H74" s="19">
        <v>2</v>
      </c>
      <c r="I74" s="19" t="s">
        <v>443</v>
      </c>
      <c r="J74" s="19" t="s">
        <v>19</v>
      </c>
      <c r="K74" s="19" t="b">
        <v>0</v>
      </c>
      <c r="L74" s="15">
        <v>2019</v>
      </c>
      <c r="M74" s="16">
        <v>391104872</v>
      </c>
      <c r="N74" s="20">
        <v>41550</v>
      </c>
      <c r="O74" s="20">
        <v>41550</v>
      </c>
    </row>
    <row r="75" spans="1:15" ht="14.25">
      <c r="A75" s="17">
        <v>2013</v>
      </c>
      <c r="B75" s="18" t="s">
        <v>437</v>
      </c>
      <c r="C75" s="18" t="s">
        <v>438</v>
      </c>
      <c r="D75" s="19">
        <v>3062000</v>
      </c>
      <c r="E75" s="19">
        <v>0</v>
      </c>
      <c r="F75" s="19"/>
      <c r="G75" s="19">
        <v>520</v>
      </c>
      <c r="H75" s="19" t="s">
        <v>101</v>
      </c>
      <c r="I75" s="19"/>
      <c r="J75" s="19" t="s">
        <v>449</v>
      </c>
      <c r="K75" s="19" t="b">
        <v>1</v>
      </c>
      <c r="L75" s="15">
        <v>2025</v>
      </c>
      <c r="M75" s="16">
        <v>0.1264</v>
      </c>
      <c r="N75" s="20">
        <v>41550</v>
      </c>
      <c r="O75" s="20">
        <v>41550</v>
      </c>
    </row>
    <row r="76" spans="1:15" ht="14.25">
      <c r="A76" s="17">
        <v>2013</v>
      </c>
      <c r="B76" s="18" t="s">
        <v>437</v>
      </c>
      <c r="C76" s="18" t="s">
        <v>438</v>
      </c>
      <c r="D76" s="19">
        <v>3062000</v>
      </c>
      <c r="E76" s="19">
        <v>0</v>
      </c>
      <c r="F76" s="19"/>
      <c r="G76" s="19">
        <v>200</v>
      </c>
      <c r="H76" s="19">
        <v>3</v>
      </c>
      <c r="I76" s="19" t="s">
        <v>457</v>
      </c>
      <c r="J76" s="19" t="s">
        <v>21</v>
      </c>
      <c r="K76" s="19" t="b">
        <v>0</v>
      </c>
      <c r="L76" s="15">
        <v>2014</v>
      </c>
      <c r="M76" s="16">
        <v>3364524.92</v>
      </c>
      <c r="N76" s="20">
        <v>41550</v>
      </c>
      <c r="O76" s="20">
        <v>41550</v>
      </c>
    </row>
    <row r="77" spans="1:15" ht="14.25">
      <c r="A77" s="17">
        <v>2013</v>
      </c>
      <c r="B77" s="18" t="s">
        <v>437</v>
      </c>
      <c r="C77" s="18" t="s">
        <v>438</v>
      </c>
      <c r="D77" s="19">
        <v>3062000</v>
      </c>
      <c r="E77" s="19">
        <v>0</v>
      </c>
      <c r="F77" s="19"/>
      <c r="G77" s="19">
        <v>460</v>
      </c>
      <c r="H77" s="19">
        <v>9.2</v>
      </c>
      <c r="I77" s="19" t="s">
        <v>446</v>
      </c>
      <c r="J77" s="19" t="s">
        <v>94</v>
      </c>
      <c r="K77" s="19" t="b">
        <v>0</v>
      </c>
      <c r="L77" s="15">
        <v>2024</v>
      </c>
      <c r="M77" s="16">
        <v>0.0233</v>
      </c>
      <c r="N77" s="20">
        <v>41550</v>
      </c>
      <c r="O77" s="20">
        <v>41550</v>
      </c>
    </row>
    <row r="78" spans="1:15" ht="14.25">
      <c r="A78" s="17">
        <v>2013</v>
      </c>
      <c r="B78" s="18" t="s">
        <v>437</v>
      </c>
      <c r="C78" s="18" t="s">
        <v>438</v>
      </c>
      <c r="D78" s="19">
        <v>3062000</v>
      </c>
      <c r="E78" s="19">
        <v>0</v>
      </c>
      <c r="F78" s="19"/>
      <c r="G78" s="19">
        <v>430</v>
      </c>
      <c r="H78" s="19">
        <v>8.2</v>
      </c>
      <c r="I78" s="19" t="s">
        <v>447</v>
      </c>
      <c r="J78" s="19" t="s">
        <v>92</v>
      </c>
      <c r="K78" s="19" t="b">
        <v>0</v>
      </c>
      <c r="L78" s="15">
        <v>2019</v>
      </c>
      <c r="M78" s="16">
        <v>51068580</v>
      </c>
      <c r="N78" s="20">
        <v>41550</v>
      </c>
      <c r="O78" s="20">
        <v>41550</v>
      </c>
    </row>
    <row r="79" spans="1:15" ht="14.25">
      <c r="A79" s="17">
        <v>2013</v>
      </c>
      <c r="B79" s="18" t="s">
        <v>437</v>
      </c>
      <c r="C79" s="18" t="s">
        <v>438</v>
      </c>
      <c r="D79" s="19">
        <v>3062000</v>
      </c>
      <c r="E79" s="19">
        <v>0</v>
      </c>
      <c r="F79" s="19"/>
      <c r="G79" s="19">
        <v>460</v>
      </c>
      <c r="H79" s="19">
        <v>9.2</v>
      </c>
      <c r="I79" s="19" t="s">
        <v>446</v>
      </c>
      <c r="J79" s="19" t="s">
        <v>94</v>
      </c>
      <c r="K79" s="19" t="b">
        <v>0</v>
      </c>
      <c r="L79" s="15">
        <v>2027</v>
      </c>
      <c r="M79" s="16">
        <v>0.0213</v>
      </c>
      <c r="N79" s="20">
        <v>41550</v>
      </c>
      <c r="O79" s="20">
        <v>41550</v>
      </c>
    </row>
    <row r="80" spans="1:15" ht="14.25">
      <c r="A80" s="17">
        <v>2013</v>
      </c>
      <c r="B80" s="18" t="s">
        <v>437</v>
      </c>
      <c r="C80" s="18" t="s">
        <v>438</v>
      </c>
      <c r="D80" s="19">
        <v>3062000</v>
      </c>
      <c r="E80" s="19">
        <v>0</v>
      </c>
      <c r="F80" s="19"/>
      <c r="G80" s="19">
        <v>500</v>
      </c>
      <c r="H80" s="19">
        <v>9.6</v>
      </c>
      <c r="I80" s="19" t="s">
        <v>454</v>
      </c>
      <c r="J80" s="19" t="s">
        <v>97</v>
      </c>
      <c r="K80" s="19" t="b">
        <v>0</v>
      </c>
      <c r="L80" s="15">
        <v>2026</v>
      </c>
      <c r="M80" s="16">
        <v>0.0221</v>
      </c>
      <c r="N80" s="20">
        <v>41550</v>
      </c>
      <c r="O80" s="20">
        <v>41550</v>
      </c>
    </row>
    <row r="81" spans="1:15" ht="14.25">
      <c r="A81" s="17">
        <v>2013</v>
      </c>
      <c r="B81" s="18" t="s">
        <v>437</v>
      </c>
      <c r="C81" s="18" t="s">
        <v>438</v>
      </c>
      <c r="D81" s="19">
        <v>3062000</v>
      </c>
      <c r="E81" s="19">
        <v>0</v>
      </c>
      <c r="F81" s="19"/>
      <c r="G81" s="19">
        <v>600</v>
      </c>
      <c r="H81" s="19">
        <v>11.3</v>
      </c>
      <c r="I81" s="19" t="s">
        <v>439</v>
      </c>
      <c r="J81" s="19" t="s">
        <v>111</v>
      </c>
      <c r="K81" s="19" t="b">
        <v>1</v>
      </c>
      <c r="L81" s="15">
        <v>2015</v>
      </c>
      <c r="M81" s="16">
        <v>25688758.58</v>
      </c>
      <c r="N81" s="20">
        <v>41550</v>
      </c>
      <c r="O81" s="20">
        <v>41550</v>
      </c>
    </row>
    <row r="82" spans="1:15" ht="14.25">
      <c r="A82" s="17">
        <v>2013</v>
      </c>
      <c r="B82" s="18" t="s">
        <v>437</v>
      </c>
      <c r="C82" s="18" t="s">
        <v>438</v>
      </c>
      <c r="D82" s="19">
        <v>3062000</v>
      </c>
      <c r="E82" s="19">
        <v>0</v>
      </c>
      <c r="F82" s="19"/>
      <c r="G82" s="19">
        <v>720</v>
      </c>
      <c r="H82" s="19" t="s">
        <v>128</v>
      </c>
      <c r="I82" s="19"/>
      <c r="J82" s="19" t="s">
        <v>129</v>
      </c>
      <c r="K82" s="19" t="b">
        <v>0</v>
      </c>
      <c r="L82" s="15">
        <v>2014</v>
      </c>
      <c r="M82" s="16">
        <v>680000</v>
      </c>
      <c r="N82" s="20">
        <v>41550</v>
      </c>
      <c r="O82" s="20">
        <v>41550</v>
      </c>
    </row>
    <row r="83" spans="1:15" ht="14.25">
      <c r="A83" s="17">
        <v>2013</v>
      </c>
      <c r="B83" s="18" t="s">
        <v>437</v>
      </c>
      <c r="C83" s="18" t="s">
        <v>438</v>
      </c>
      <c r="D83" s="19">
        <v>3062000</v>
      </c>
      <c r="E83" s="19">
        <v>0</v>
      </c>
      <c r="F83" s="19"/>
      <c r="G83" s="19">
        <v>450</v>
      </c>
      <c r="H83" s="19">
        <v>9.1</v>
      </c>
      <c r="I83" s="19" t="s">
        <v>450</v>
      </c>
      <c r="J83" s="19" t="s">
        <v>93</v>
      </c>
      <c r="K83" s="19" t="b">
        <v>1</v>
      </c>
      <c r="L83" s="15">
        <v>2013</v>
      </c>
      <c r="M83" s="16">
        <v>0.0749</v>
      </c>
      <c r="N83" s="20">
        <v>41550</v>
      </c>
      <c r="O83" s="20">
        <v>41550</v>
      </c>
    </row>
    <row r="84" spans="1:15" ht="14.25">
      <c r="A84" s="17">
        <v>2013</v>
      </c>
      <c r="B84" s="18" t="s">
        <v>437</v>
      </c>
      <c r="C84" s="18" t="s">
        <v>438</v>
      </c>
      <c r="D84" s="19">
        <v>3062000</v>
      </c>
      <c r="E84" s="19">
        <v>0</v>
      </c>
      <c r="F84" s="19"/>
      <c r="G84" s="19">
        <v>530</v>
      </c>
      <c r="H84" s="19">
        <v>9.8</v>
      </c>
      <c r="I84" s="19" t="s">
        <v>444</v>
      </c>
      <c r="J84" s="19" t="s">
        <v>103</v>
      </c>
      <c r="K84" s="19" t="b">
        <v>0</v>
      </c>
      <c r="L84" s="15">
        <v>2013</v>
      </c>
      <c r="M84" s="16">
        <v>-281</v>
      </c>
      <c r="N84" s="20">
        <v>41550</v>
      </c>
      <c r="O84" s="20">
        <v>41550</v>
      </c>
    </row>
    <row r="85" spans="1:15" ht="14.25">
      <c r="A85" s="17">
        <v>2013</v>
      </c>
      <c r="B85" s="18" t="s">
        <v>437</v>
      </c>
      <c r="C85" s="18" t="s">
        <v>438</v>
      </c>
      <c r="D85" s="19">
        <v>3062000</v>
      </c>
      <c r="E85" s="19">
        <v>0</v>
      </c>
      <c r="F85" s="19"/>
      <c r="G85" s="19">
        <v>780</v>
      </c>
      <c r="H85" s="19" t="s">
        <v>138</v>
      </c>
      <c r="I85" s="19"/>
      <c r="J85" s="19" t="s">
        <v>139</v>
      </c>
      <c r="K85" s="19" t="b">
        <v>1</v>
      </c>
      <c r="L85" s="15">
        <v>2013</v>
      </c>
      <c r="M85" s="16">
        <v>2821960</v>
      </c>
      <c r="N85" s="20">
        <v>41550</v>
      </c>
      <c r="O85" s="20">
        <v>41550</v>
      </c>
    </row>
    <row r="86" spans="1:15" ht="14.25">
      <c r="A86" s="17">
        <v>2013</v>
      </c>
      <c r="B86" s="18" t="s">
        <v>437</v>
      </c>
      <c r="C86" s="18" t="s">
        <v>438</v>
      </c>
      <c r="D86" s="19">
        <v>3062000</v>
      </c>
      <c r="E86" s="19">
        <v>0</v>
      </c>
      <c r="F86" s="19"/>
      <c r="G86" s="19">
        <v>180</v>
      </c>
      <c r="H86" s="19" t="s">
        <v>65</v>
      </c>
      <c r="I86" s="19"/>
      <c r="J86" s="19" t="s">
        <v>66</v>
      </c>
      <c r="K86" s="19" t="b">
        <v>0</v>
      </c>
      <c r="L86" s="15">
        <v>2023</v>
      </c>
      <c r="M86" s="16">
        <v>150000</v>
      </c>
      <c r="N86" s="20">
        <v>41550</v>
      </c>
      <c r="O86" s="20">
        <v>41550</v>
      </c>
    </row>
    <row r="87" spans="1:15" ht="14.25">
      <c r="A87" s="17">
        <v>2013</v>
      </c>
      <c r="B87" s="18" t="s">
        <v>437</v>
      </c>
      <c r="C87" s="18" t="s">
        <v>438</v>
      </c>
      <c r="D87" s="19">
        <v>3062000</v>
      </c>
      <c r="E87" s="19">
        <v>0</v>
      </c>
      <c r="F87" s="19"/>
      <c r="G87" s="19">
        <v>505</v>
      </c>
      <c r="H87" s="19" t="s">
        <v>98</v>
      </c>
      <c r="I87" s="19" t="s">
        <v>441</v>
      </c>
      <c r="J87" s="19" t="s">
        <v>99</v>
      </c>
      <c r="K87" s="19" t="b">
        <v>0</v>
      </c>
      <c r="L87" s="15">
        <v>2014</v>
      </c>
      <c r="M87" s="16">
        <v>0.0726</v>
      </c>
      <c r="N87" s="20">
        <v>41550</v>
      </c>
      <c r="O87" s="20">
        <v>41550</v>
      </c>
    </row>
    <row r="88" spans="1:15" ht="14.25">
      <c r="A88" s="17">
        <v>2013</v>
      </c>
      <c r="B88" s="18" t="s">
        <v>437</v>
      </c>
      <c r="C88" s="18" t="s">
        <v>438</v>
      </c>
      <c r="D88" s="19">
        <v>3062000</v>
      </c>
      <c r="E88" s="19">
        <v>0</v>
      </c>
      <c r="F88" s="19"/>
      <c r="G88" s="19">
        <v>505</v>
      </c>
      <c r="H88" s="19" t="s">
        <v>98</v>
      </c>
      <c r="I88" s="19" t="s">
        <v>441</v>
      </c>
      <c r="J88" s="19" t="s">
        <v>99</v>
      </c>
      <c r="K88" s="19" t="b">
        <v>0</v>
      </c>
      <c r="L88" s="15">
        <v>2017</v>
      </c>
      <c r="M88" s="16">
        <v>0.1304</v>
      </c>
      <c r="N88" s="20">
        <v>41550</v>
      </c>
      <c r="O88" s="20">
        <v>41550</v>
      </c>
    </row>
    <row r="89" spans="1:15" ht="14.25">
      <c r="A89" s="17">
        <v>2013</v>
      </c>
      <c r="B89" s="18" t="s">
        <v>437</v>
      </c>
      <c r="C89" s="18" t="s">
        <v>438</v>
      </c>
      <c r="D89" s="19">
        <v>3062000</v>
      </c>
      <c r="E89" s="19">
        <v>0</v>
      </c>
      <c r="F89" s="19"/>
      <c r="G89" s="19">
        <v>70</v>
      </c>
      <c r="H89" s="19" t="s">
        <v>47</v>
      </c>
      <c r="I89" s="19"/>
      <c r="J89" s="19" t="s">
        <v>48</v>
      </c>
      <c r="K89" s="19" t="b">
        <v>1</v>
      </c>
      <c r="L89" s="15">
        <v>2014</v>
      </c>
      <c r="M89" s="16">
        <v>120734950</v>
      </c>
      <c r="N89" s="20">
        <v>41550</v>
      </c>
      <c r="O89" s="20">
        <v>41550</v>
      </c>
    </row>
    <row r="90" spans="1:15" ht="14.25">
      <c r="A90" s="17">
        <v>2013</v>
      </c>
      <c r="B90" s="18" t="s">
        <v>437</v>
      </c>
      <c r="C90" s="18" t="s">
        <v>438</v>
      </c>
      <c r="D90" s="19">
        <v>3062000</v>
      </c>
      <c r="E90" s="19">
        <v>0</v>
      </c>
      <c r="F90" s="19"/>
      <c r="G90" s="19">
        <v>120</v>
      </c>
      <c r="H90" s="19">
        <v>2</v>
      </c>
      <c r="I90" s="19" t="s">
        <v>443</v>
      </c>
      <c r="J90" s="19" t="s">
        <v>19</v>
      </c>
      <c r="K90" s="19" t="b">
        <v>0</v>
      </c>
      <c r="L90" s="15">
        <v>2015</v>
      </c>
      <c r="M90" s="16">
        <v>385642774.28</v>
      </c>
      <c r="N90" s="20">
        <v>41550</v>
      </c>
      <c r="O90" s="20">
        <v>41550</v>
      </c>
    </row>
    <row r="91" spans="1:15" ht="14.25">
      <c r="A91" s="17">
        <v>2013</v>
      </c>
      <c r="B91" s="18" t="s">
        <v>437</v>
      </c>
      <c r="C91" s="18" t="s">
        <v>438</v>
      </c>
      <c r="D91" s="19">
        <v>3062000</v>
      </c>
      <c r="E91" s="19">
        <v>0</v>
      </c>
      <c r="F91" s="19"/>
      <c r="G91" s="19">
        <v>350</v>
      </c>
      <c r="H91" s="19">
        <v>6</v>
      </c>
      <c r="I91" s="19"/>
      <c r="J91" s="19" t="s">
        <v>25</v>
      </c>
      <c r="K91" s="19" t="b">
        <v>1</v>
      </c>
      <c r="L91" s="15">
        <v>2020</v>
      </c>
      <c r="M91" s="16">
        <v>22336800</v>
      </c>
      <c r="N91" s="20">
        <v>41550</v>
      </c>
      <c r="O91" s="20">
        <v>41550</v>
      </c>
    </row>
    <row r="92" spans="1:15" ht="14.25">
      <c r="A92" s="17">
        <v>2013</v>
      </c>
      <c r="B92" s="18" t="s">
        <v>437</v>
      </c>
      <c r="C92" s="18" t="s">
        <v>438</v>
      </c>
      <c r="D92" s="19">
        <v>3062000</v>
      </c>
      <c r="E92" s="19">
        <v>0</v>
      </c>
      <c r="F92" s="19"/>
      <c r="G92" s="19">
        <v>510</v>
      </c>
      <c r="H92" s="19">
        <v>9.7</v>
      </c>
      <c r="I92" s="19"/>
      <c r="J92" s="19" t="s">
        <v>452</v>
      </c>
      <c r="K92" s="19" t="b">
        <v>1</v>
      </c>
      <c r="L92" s="15">
        <v>2021</v>
      </c>
      <c r="M92" s="16">
        <v>0.1261</v>
      </c>
      <c r="N92" s="20">
        <v>41550</v>
      </c>
      <c r="O92" s="20">
        <v>41550</v>
      </c>
    </row>
    <row r="93" spans="1:15" ht="14.25">
      <c r="A93" s="17">
        <v>2013</v>
      </c>
      <c r="B93" s="18" t="s">
        <v>437</v>
      </c>
      <c r="C93" s="18" t="s">
        <v>438</v>
      </c>
      <c r="D93" s="19">
        <v>3062000</v>
      </c>
      <c r="E93" s="19">
        <v>0</v>
      </c>
      <c r="F93" s="19"/>
      <c r="G93" s="19">
        <v>460</v>
      </c>
      <c r="H93" s="19">
        <v>9.2</v>
      </c>
      <c r="I93" s="19" t="s">
        <v>446</v>
      </c>
      <c r="J93" s="19" t="s">
        <v>94</v>
      </c>
      <c r="K93" s="19" t="b">
        <v>0</v>
      </c>
      <c r="L93" s="15">
        <v>2026</v>
      </c>
      <c r="M93" s="16">
        <v>0.0221</v>
      </c>
      <c r="N93" s="20">
        <v>41550</v>
      </c>
      <c r="O93" s="20">
        <v>41550</v>
      </c>
    </row>
    <row r="94" spans="1:15" ht="14.25">
      <c r="A94" s="17">
        <v>2013</v>
      </c>
      <c r="B94" s="18" t="s">
        <v>437</v>
      </c>
      <c r="C94" s="18" t="s">
        <v>438</v>
      </c>
      <c r="D94" s="19">
        <v>3062000</v>
      </c>
      <c r="E94" s="19">
        <v>0</v>
      </c>
      <c r="F94" s="19"/>
      <c r="G94" s="19">
        <v>210</v>
      </c>
      <c r="H94" s="19">
        <v>4</v>
      </c>
      <c r="I94" s="19" t="s">
        <v>456</v>
      </c>
      <c r="J94" s="19" t="s">
        <v>22</v>
      </c>
      <c r="K94" s="19" t="b">
        <v>0</v>
      </c>
      <c r="L94" s="15">
        <v>2014</v>
      </c>
      <c r="M94" s="16">
        <v>10000000</v>
      </c>
      <c r="N94" s="20">
        <v>41550</v>
      </c>
      <c r="O94" s="20">
        <v>41550</v>
      </c>
    </row>
    <row r="95" spans="1:15" ht="14.25">
      <c r="A95" s="17">
        <v>2013</v>
      </c>
      <c r="B95" s="18" t="s">
        <v>437</v>
      </c>
      <c r="C95" s="18" t="s">
        <v>438</v>
      </c>
      <c r="D95" s="19">
        <v>3062000</v>
      </c>
      <c r="E95" s="19">
        <v>0</v>
      </c>
      <c r="F95" s="19"/>
      <c r="G95" s="19">
        <v>20</v>
      </c>
      <c r="H95" s="19">
        <v>1.1</v>
      </c>
      <c r="I95" s="19"/>
      <c r="J95" s="19" t="s">
        <v>38</v>
      </c>
      <c r="K95" s="19" t="b">
        <v>1</v>
      </c>
      <c r="L95" s="15">
        <v>2020</v>
      </c>
      <c r="M95" s="16">
        <v>406676072</v>
      </c>
      <c r="N95" s="20">
        <v>41550</v>
      </c>
      <c r="O95" s="20">
        <v>41550</v>
      </c>
    </row>
    <row r="96" spans="1:15" ht="14.25">
      <c r="A96" s="17">
        <v>2013</v>
      </c>
      <c r="B96" s="18" t="s">
        <v>437</v>
      </c>
      <c r="C96" s="18" t="s">
        <v>438</v>
      </c>
      <c r="D96" s="19">
        <v>3062000</v>
      </c>
      <c r="E96" s="19">
        <v>0</v>
      </c>
      <c r="F96" s="19"/>
      <c r="G96" s="19">
        <v>510</v>
      </c>
      <c r="H96" s="19">
        <v>9.7</v>
      </c>
      <c r="I96" s="19"/>
      <c r="J96" s="19" t="s">
        <v>452</v>
      </c>
      <c r="K96" s="19" t="b">
        <v>1</v>
      </c>
      <c r="L96" s="15">
        <v>2016</v>
      </c>
      <c r="M96" s="16">
        <v>0.0762</v>
      </c>
      <c r="N96" s="20">
        <v>41550</v>
      </c>
      <c r="O96" s="20">
        <v>41550</v>
      </c>
    </row>
    <row r="97" spans="1:15" ht="14.25">
      <c r="A97" s="17">
        <v>2013</v>
      </c>
      <c r="B97" s="18" t="s">
        <v>437</v>
      </c>
      <c r="C97" s="18" t="s">
        <v>438</v>
      </c>
      <c r="D97" s="19">
        <v>3062000</v>
      </c>
      <c r="E97" s="19">
        <v>0</v>
      </c>
      <c r="F97" s="19"/>
      <c r="G97" s="19">
        <v>130</v>
      </c>
      <c r="H97" s="19">
        <v>2.1</v>
      </c>
      <c r="I97" s="19"/>
      <c r="J97" s="19" t="s">
        <v>56</v>
      </c>
      <c r="K97" s="19" t="b">
        <v>1</v>
      </c>
      <c r="L97" s="15">
        <v>2023</v>
      </c>
      <c r="M97" s="16">
        <v>355207492</v>
      </c>
      <c r="N97" s="20">
        <v>41550</v>
      </c>
      <c r="O97" s="20">
        <v>41550</v>
      </c>
    </row>
    <row r="98" spans="1:15" ht="14.25">
      <c r="A98" s="17">
        <v>2013</v>
      </c>
      <c r="B98" s="18" t="s">
        <v>437</v>
      </c>
      <c r="C98" s="18" t="s">
        <v>438</v>
      </c>
      <c r="D98" s="19">
        <v>3062000</v>
      </c>
      <c r="E98" s="19">
        <v>0</v>
      </c>
      <c r="F98" s="19"/>
      <c r="G98" s="19">
        <v>10</v>
      </c>
      <c r="H98" s="19">
        <v>1</v>
      </c>
      <c r="I98" s="19" t="s">
        <v>448</v>
      </c>
      <c r="J98" s="19" t="s">
        <v>24</v>
      </c>
      <c r="K98" s="19" t="b">
        <v>1</v>
      </c>
      <c r="L98" s="15">
        <v>2026</v>
      </c>
      <c r="M98" s="16">
        <v>406676072</v>
      </c>
      <c r="N98" s="20">
        <v>41550</v>
      </c>
      <c r="O98" s="20">
        <v>41550</v>
      </c>
    </row>
    <row r="99" spans="1:15" ht="14.25">
      <c r="A99" s="17">
        <v>2013</v>
      </c>
      <c r="B99" s="18" t="s">
        <v>437</v>
      </c>
      <c r="C99" s="18" t="s">
        <v>438</v>
      </c>
      <c r="D99" s="19">
        <v>3062000</v>
      </c>
      <c r="E99" s="19">
        <v>0</v>
      </c>
      <c r="F99" s="19"/>
      <c r="G99" s="19">
        <v>300</v>
      </c>
      <c r="H99" s="19">
        <v>5</v>
      </c>
      <c r="I99" s="19" t="s">
        <v>455</v>
      </c>
      <c r="J99" s="19" t="s">
        <v>78</v>
      </c>
      <c r="K99" s="19" t="b">
        <v>0</v>
      </c>
      <c r="L99" s="15">
        <v>2021</v>
      </c>
      <c r="M99" s="16">
        <v>13977200</v>
      </c>
      <c r="N99" s="20">
        <v>41550</v>
      </c>
      <c r="O99" s="20">
        <v>41550</v>
      </c>
    </row>
    <row r="100" spans="1:15" ht="14.25">
      <c r="A100" s="17">
        <v>2013</v>
      </c>
      <c r="B100" s="18" t="s">
        <v>437</v>
      </c>
      <c r="C100" s="18" t="s">
        <v>438</v>
      </c>
      <c r="D100" s="19">
        <v>3062000</v>
      </c>
      <c r="E100" s="19">
        <v>0</v>
      </c>
      <c r="F100" s="19"/>
      <c r="G100" s="19">
        <v>100</v>
      </c>
      <c r="H100" s="19" t="s">
        <v>52</v>
      </c>
      <c r="I100" s="19"/>
      <c r="J100" s="19" t="s">
        <v>53</v>
      </c>
      <c r="K100" s="19" t="b">
        <v>1</v>
      </c>
      <c r="L100" s="15">
        <v>2017</v>
      </c>
      <c r="M100" s="16">
        <v>1000000</v>
      </c>
      <c r="N100" s="20">
        <v>41550</v>
      </c>
      <c r="O100" s="20">
        <v>41550</v>
      </c>
    </row>
    <row r="101" spans="1:15" ht="14.25">
      <c r="A101" s="17">
        <v>2013</v>
      </c>
      <c r="B101" s="18" t="s">
        <v>437</v>
      </c>
      <c r="C101" s="18" t="s">
        <v>438</v>
      </c>
      <c r="D101" s="19">
        <v>3062000</v>
      </c>
      <c r="E101" s="19">
        <v>0</v>
      </c>
      <c r="F101" s="19"/>
      <c r="G101" s="19">
        <v>380</v>
      </c>
      <c r="H101" s="19">
        <v>6.2</v>
      </c>
      <c r="I101" s="19" t="s">
        <v>445</v>
      </c>
      <c r="J101" s="19" t="s">
        <v>88</v>
      </c>
      <c r="K101" s="19" t="b">
        <v>0</v>
      </c>
      <c r="L101" s="15">
        <v>2017</v>
      </c>
      <c r="M101" s="16">
        <v>0.1766</v>
      </c>
      <c r="N101" s="20">
        <v>41550</v>
      </c>
      <c r="O101" s="20">
        <v>41550</v>
      </c>
    </row>
    <row r="102" spans="1:15" ht="14.25">
      <c r="A102" s="17">
        <v>2013</v>
      </c>
      <c r="B102" s="18" t="s">
        <v>437</v>
      </c>
      <c r="C102" s="18" t="s">
        <v>438</v>
      </c>
      <c r="D102" s="19">
        <v>3062000</v>
      </c>
      <c r="E102" s="19">
        <v>0</v>
      </c>
      <c r="F102" s="19"/>
      <c r="G102" s="19">
        <v>190</v>
      </c>
      <c r="H102" s="19">
        <v>2.2</v>
      </c>
      <c r="I102" s="19"/>
      <c r="J102" s="19" t="s">
        <v>67</v>
      </c>
      <c r="K102" s="19" t="b">
        <v>0</v>
      </c>
      <c r="L102" s="15">
        <v>2016</v>
      </c>
      <c r="M102" s="16">
        <v>32568800</v>
      </c>
      <c r="N102" s="20">
        <v>41550</v>
      </c>
      <c r="O102" s="20">
        <v>41550</v>
      </c>
    </row>
    <row r="103" spans="1:15" ht="14.25">
      <c r="A103" s="17">
        <v>2013</v>
      </c>
      <c r="B103" s="18" t="s">
        <v>437</v>
      </c>
      <c r="C103" s="18" t="s">
        <v>438</v>
      </c>
      <c r="D103" s="19">
        <v>3062000</v>
      </c>
      <c r="E103" s="19">
        <v>0</v>
      </c>
      <c r="F103" s="19"/>
      <c r="G103" s="19">
        <v>620</v>
      </c>
      <c r="H103" s="19" t="s">
        <v>114</v>
      </c>
      <c r="I103" s="19"/>
      <c r="J103" s="19" t="s">
        <v>115</v>
      </c>
      <c r="K103" s="19" t="b">
        <v>1</v>
      </c>
      <c r="L103" s="15">
        <v>2013</v>
      </c>
      <c r="M103" s="16">
        <v>11641126.65</v>
      </c>
      <c r="N103" s="20">
        <v>41550</v>
      </c>
      <c r="O103" s="20">
        <v>41550</v>
      </c>
    </row>
    <row r="104" spans="1:15" ht="14.25">
      <c r="A104" s="17">
        <v>2013</v>
      </c>
      <c r="B104" s="18" t="s">
        <v>437</v>
      </c>
      <c r="C104" s="18" t="s">
        <v>438</v>
      </c>
      <c r="D104" s="19">
        <v>3062000</v>
      </c>
      <c r="E104" s="19">
        <v>0</v>
      </c>
      <c r="F104" s="19"/>
      <c r="G104" s="19">
        <v>740</v>
      </c>
      <c r="H104" s="19" t="s">
        <v>131</v>
      </c>
      <c r="I104" s="19"/>
      <c r="J104" s="19" t="s">
        <v>132</v>
      </c>
      <c r="K104" s="19" t="b">
        <v>0</v>
      </c>
      <c r="L104" s="15">
        <v>2014</v>
      </c>
      <c r="M104" s="16">
        <v>2250271.67</v>
      </c>
      <c r="N104" s="20">
        <v>41550</v>
      </c>
      <c r="O104" s="20">
        <v>41550</v>
      </c>
    </row>
    <row r="105" spans="1:15" ht="14.25">
      <c r="A105" s="17">
        <v>2013</v>
      </c>
      <c r="B105" s="18" t="s">
        <v>437</v>
      </c>
      <c r="C105" s="18" t="s">
        <v>438</v>
      </c>
      <c r="D105" s="19">
        <v>3062000</v>
      </c>
      <c r="E105" s="19">
        <v>0</v>
      </c>
      <c r="F105" s="19"/>
      <c r="G105" s="19">
        <v>450</v>
      </c>
      <c r="H105" s="19">
        <v>9.1</v>
      </c>
      <c r="I105" s="19" t="s">
        <v>450</v>
      </c>
      <c r="J105" s="19" t="s">
        <v>93</v>
      </c>
      <c r="K105" s="19" t="b">
        <v>1</v>
      </c>
      <c r="L105" s="15">
        <v>2020</v>
      </c>
      <c r="M105" s="16">
        <v>0.075</v>
      </c>
      <c r="N105" s="20">
        <v>41550</v>
      </c>
      <c r="O105" s="20">
        <v>41550</v>
      </c>
    </row>
    <row r="106" spans="1:15" ht="14.25">
      <c r="A106" s="17">
        <v>2013</v>
      </c>
      <c r="B106" s="18" t="s">
        <v>437</v>
      </c>
      <c r="C106" s="18" t="s">
        <v>438</v>
      </c>
      <c r="D106" s="19">
        <v>3062000</v>
      </c>
      <c r="E106" s="19">
        <v>0</v>
      </c>
      <c r="F106" s="19"/>
      <c r="G106" s="19">
        <v>190</v>
      </c>
      <c r="H106" s="19">
        <v>2.2</v>
      </c>
      <c r="I106" s="19"/>
      <c r="J106" s="19" t="s">
        <v>67</v>
      </c>
      <c r="K106" s="19" t="b">
        <v>0</v>
      </c>
      <c r="L106" s="15">
        <v>2015</v>
      </c>
      <c r="M106" s="16">
        <v>31355454.12</v>
      </c>
      <c r="N106" s="20">
        <v>41550</v>
      </c>
      <c r="O106" s="20">
        <v>41550</v>
      </c>
    </row>
    <row r="107" spans="1:15" ht="14.25">
      <c r="A107" s="17">
        <v>2013</v>
      </c>
      <c r="B107" s="18" t="s">
        <v>437</v>
      </c>
      <c r="C107" s="18" t="s">
        <v>438</v>
      </c>
      <c r="D107" s="19">
        <v>3062000</v>
      </c>
      <c r="E107" s="19">
        <v>0</v>
      </c>
      <c r="F107" s="19"/>
      <c r="G107" s="19">
        <v>480</v>
      </c>
      <c r="H107" s="19">
        <v>9.4</v>
      </c>
      <c r="I107" s="19" t="s">
        <v>446</v>
      </c>
      <c r="J107" s="19" t="s">
        <v>95</v>
      </c>
      <c r="K107" s="19" t="b">
        <v>0</v>
      </c>
      <c r="L107" s="15">
        <v>2013</v>
      </c>
      <c r="M107" s="16">
        <v>0.0749</v>
      </c>
      <c r="N107" s="20">
        <v>41550</v>
      </c>
      <c r="O107" s="20">
        <v>41550</v>
      </c>
    </row>
    <row r="108" spans="1:15" ht="14.25">
      <c r="A108" s="17">
        <v>2013</v>
      </c>
      <c r="B108" s="18" t="s">
        <v>437</v>
      </c>
      <c r="C108" s="18" t="s">
        <v>438</v>
      </c>
      <c r="D108" s="19">
        <v>3062000</v>
      </c>
      <c r="E108" s="19">
        <v>0</v>
      </c>
      <c r="F108" s="19"/>
      <c r="G108" s="19">
        <v>880</v>
      </c>
      <c r="H108" s="19">
        <v>14.1</v>
      </c>
      <c r="I108" s="19"/>
      <c r="J108" s="19" t="s">
        <v>149</v>
      </c>
      <c r="K108" s="19" t="b">
        <v>1</v>
      </c>
      <c r="L108" s="15">
        <v>2017</v>
      </c>
      <c r="M108" s="16">
        <v>11078580</v>
      </c>
      <c r="N108" s="20">
        <v>41550</v>
      </c>
      <c r="O108" s="20">
        <v>41550</v>
      </c>
    </row>
    <row r="109" spans="1:15" ht="14.25">
      <c r="A109" s="17">
        <v>2013</v>
      </c>
      <c r="B109" s="18" t="s">
        <v>437</v>
      </c>
      <c r="C109" s="18" t="s">
        <v>438</v>
      </c>
      <c r="D109" s="19">
        <v>3062000</v>
      </c>
      <c r="E109" s="19">
        <v>0</v>
      </c>
      <c r="F109" s="19"/>
      <c r="G109" s="19">
        <v>200</v>
      </c>
      <c r="H109" s="19">
        <v>3</v>
      </c>
      <c r="I109" s="19" t="s">
        <v>457</v>
      </c>
      <c r="J109" s="19" t="s">
        <v>21</v>
      </c>
      <c r="K109" s="19" t="b">
        <v>0</v>
      </c>
      <c r="L109" s="15">
        <v>2013</v>
      </c>
      <c r="M109" s="16">
        <v>-6586275.16</v>
      </c>
      <c r="N109" s="20">
        <v>41550</v>
      </c>
      <c r="O109" s="20">
        <v>41550</v>
      </c>
    </row>
    <row r="110" spans="1:15" ht="14.25">
      <c r="A110" s="17">
        <v>2013</v>
      </c>
      <c r="B110" s="18" t="s">
        <v>437</v>
      </c>
      <c r="C110" s="18" t="s">
        <v>438</v>
      </c>
      <c r="D110" s="19">
        <v>3062000</v>
      </c>
      <c r="E110" s="19">
        <v>0</v>
      </c>
      <c r="F110" s="19"/>
      <c r="G110" s="19">
        <v>530</v>
      </c>
      <c r="H110" s="19">
        <v>9.8</v>
      </c>
      <c r="I110" s="19" t="s">
        <v>444</v>
      </c>
      <c r="J110" s="19" t="s">
        <v>103</v>
      </c>
      <c r="K110" s="19" t="b">
        <v>0</v>
      </c>
      <c r="L110" s="15">
        <v>2022</v>
      </c>
      <c r="M110" s="16">
        <v>821</v>
      </c>
      <c r="N110" s="20">
        <v>41550</v>
      </c>
      <c r="O110" s="20">
        <v>41550</v>
      </c>
    </row>
    <row r="111" spans="1:15" ht="14.25">
      <c r="A111" s="17">
        <v>2013</v>
      </c>
      <c r="B111" s="18" t="s">
        <v>437</v>
      </c>
      <c r="C111" s="18" t="s">
        <v>438</v>
      </c>
      <c r="D111" s="19">
        <v>3062000</v>
      </c>
      <c r="E111" s="19">
        <v>0</v>
      </c>
      <c r="F111" s="19"/>
      <c r="G111" s="19">
        <v>480</v>
      </c>
      <c r="H111" s="19">
        <v>9.4</v>
      </c>
      <c r="I111" s="19" t="s">
        <v>446</v>
      </c>
      <c r="J111" s="19" t="s">
        <v>95</v>
      </c>
      <c r="K111" s="19" t="b">
        <v>0</v>
      </c>
      <c r="L111" s="15">
        <v>2021</v>
      </c>
      <c r="M111" s="16">
        <v>0.062</v>
      </c>
      <c r="N111" s="20">
        <v>41550</v>
      </c>
      <c r="O111" s="20">
        <v>41550</v>
      </c>
    </row>
    <row r="112" spans="1:15" ht="14.25">
      <c r="A112" s="17">
        <v>2013</v>
      </c>
      <c r="B112" s="18" t="s">
        <v>437</v>
      </c>
      <c r="C112" s="18" t="s">
        <v>438</v>
      </c>
      <c r="D112" s="19">
        <v>3062000</v>
      </c>
      <c r="E112" s="19">
        <v>0</v>
      </c>
      <c r="F112" s="19"/>
      <c r="G112" s="19">
        <v>110</v>
      </c>
      <c r="H112" s="19" t="s">
        <v>54</v>
      </c>
      <c r="I112" s="19"/>
      <c r="J112" s="19" t="s">
        <v>55</v>
      </c>
      <c r="K112" s="19" t="b">
        <v>1</v>
      </c>
      <c r="L112" s="15">
        <v>2014</v>
      </c>
      <c r="M112" s="16">
        <v>800000</v>
      </c>
      <c r="N112" s="20">
        <v>41550</v>
      </c>
      <c r="O112" s="20">
        <v>41550</v>
      </c>
    </row>
    <row r="113" spans="1:15" ht="14.25">
      <c r="A113" s="17">
        <v>2013</v>
      </c>
      <c r="B113" s="18" t="s">
        <v>437</v>
      </c>
      <c r="C113" s="18" t="s">
        <v>438</v>
      </c>
      <c r="D113" s="19">
        <v>3062000</v>
      </c>
      <c r="E113" s="19">
        <v>0</v>
      </c>
      <c r="F113" s="19"/>
      <c r="G113" s="19">
        <v>100</v>
      </c>
      <c r="H113" s="19" t="s">
        <v>52</v>
      </c>
      <c r="I113" s="19"/>
      <c r="J113" s="19" t="s">
        <v>53</v>
      </c>
      <c r="K113" s="19" t="b">
        <v>1</v>
      </c>
      <c r="L113" s="15">
        <v>2016</v>
      </c>
      <c r="M113" s="16">
        <v>1000000</v>
      </c>
      <c r="N113" s="20">
        <v>41550</v>
      </c>
      <c r="O113" s="20">
        <v>41550</v>
      </c>
    </row>
    <row r="114" spans="1:15" ht="14.25">
      <c r="A114" s="17">
        <v>2013</v>
      </c>
      <c r="B114" s="18" t="s">
        <v>437</v>
      </c>
      <c r="C114" s="18" t="s">
        <v>438</v>
      </c>
      <c r="D114" s="19">
        <v>3062000</v>
      </c>
      <c r="E114" s="19">
        <v>0</v>
      </c>
      <c r="F114" s="19"/>
      <c r="G114" s="19">
        <v>505</v>
      </c>
      <c r="H114" s="19" t="s">
        <v>98</v>
      </c>
      <c r="I114" s="19" t="s">
        <v>441</v>
      </c>
      <c r="J114" s="19" t="s">
        <v>99</v>
      </c>
      <c r="K114" s="19" t="b">
        <v>0</v>
      </c>
      <c r="L114" s="15">
        <v>2027</v>
      </c>
      <c r="M114" s="16">
        <v>0.1268</v>
      </c>
      <c r="N114" s="20">
        <v>41550</v>
      </c>
      <c r="O114" s="20">
        <v>41550</v>
      </c>
    </row>
    <row r="115" spans="1:15" ht="14.25">
      <c r="A115" s="17">
        <v>2013</v>
      </c>
      <c r="B115" s="18" t="s">
        <v>437</v>
      </c>
      <c r="C115" s="18" t="s">
        <v>438</v>
      </c>
      <c r="D115" s="19">
        <v>3062000</v>
      </c>
      <c r="E115" s="19">
        <v>0</v>
      </c>
      <c r="F115" s="19"/>
      <c r="G115" s="19">
        <v>380</v>
      </c>
      <c r="H115" s="19">
        <v>6.2</v>
      </c>
      <c r="I115" s="19" t="s">
        <v>445</v>
      </c>
      <c r="J115" s="19" t="s">
        <v>88</v>
      </c>
      <c r="K115" s="19" t="b">
        <v>0</v>
      </c>
      <c r="L115" s="15">
        <v>2016</v>
      </c>
      <c r="M115" s="16">
        <v>0.2259</v>
      </c>
      <c r="N115" s="20">
        <v>41550</v>
      </c>
      <c r="O115" s="20">
        <v>41550</v>
      </c>
    </row>
    <row r="116" spans="1:15" ht="14.25">
      <c r="A116" s="17">
        <v>2013</v>
      </c>
      <c r="B116" s="18" t="s">
        <v>437</v>
      </c>
      <c r="C116" s="18" t="s">
        <v>438</v>
      </c>
      <c r="D116" s="19">
        <v>3062000</v>
      </c>
      <c r="E116" s="19">
        <v>0</v>
      </c>
      <c r="F116" s="19"/>
      <c r="G116" s="19">
        <v>300</v>
      </c>
      <c r="H116" s="19">
        <v>5</v>
      </c>
      <c r="I116" s="19" t="s">
        <v>455</v>
      </c>
      <c r="J116" s="19" t="s">
        <v>78</v>
      </c>
      <c r="K116" s="19" t="b">
        <v>0</v>
      </c>
      <c r="L116" s="15">
        <v>2018</v>
      </c>
      <c r="M116" s="16">
        <v>16071200</v>
      </c>
      <c r="N116" s="20">
        <v>41550</v>
      </c>
      <c r="O116" s="20">
        <v>41550</v>
      </c>
    </row>
    <row r="117" spans="1:15" ht="14.25">
      <c r="A117" s="17">
        <v>2013</v>
      </c>
      <c r="B117" s="18" t="s">
        <v>437</v>
      </c>
      <c r="C117" s="18" t="s">
        <v>438</v>
      </c>
      <c r="D117" s="19">
        <v>3062000</v>
      </c>
      <c r="E117" s="19">
        <v>0</v>
      </c>
      <c r="F117" s="19"/>
      <c r="G117" s="19">
        <v>190</v>
      </c>
      <c r="H117" s="19">
        <v>2.2</v>
      </c>
      <c r="I117" s="19"/>
      <c r="J117" s="19" t="s">
        <v>67</v>
      </c>
      <c r="K117" s="19" t="b">
        <v>0</v>
      </c>
      <c r="L117" s="15">
        <v>2014</v>
      </c>
      <c r="M117" s="16">
        <v>25240475.08</v>
      </c>
      <c r="N117" s="20">
        <v>41550</v>
      </c>
      <c r="O117" s="20">
        <v>41550</v>
      </c>
    </row>
    <row r="118" spans="1:15" ht="14.25">
      <c r="A118" s="17">
        <v>2013</v>
      </c>
      <c r="B118" s="18" t="s">
        <v>437</v>
      </c>
      <c r="C118" s="18" t="s">
        <v>438</v>
      </c>
      <c r="D118" s="19">
        <v>3062000</v>
      </c>
      <c r="E118" s="19">
        <v>0</v>
      </c>
      <c r="F118" s="19"/>
      <c r="G118" s="19">
        <v>460</v>
      </c>
      <c r="H118" s="19">
        <v>9.2</v>
      </c>
      <c r="I118" s="19" t="s">
        <v>446</v>
      </c>
      <c r="J118" s="19" t="s">
        <v>94</v>
      </c>
      <c r="K118" s="19" t="b">
        <v>0</v>
      </c>
      <c r="L118" s="15">
        <v>2020</v>
      </c>
      <c r="M118" s="16">
        <v>0.075</v>
      </c>
      <c r="N118" s="20">
        <v>41550</v>
      </c>
      <c r="O118" s="20">
        <v>41550</v>
      </c>
    </row>
    <row r="119" spans="1:15" ht="14.25">
      <c r="A119" s="17">
        <v>2013</v>
      </c>
      <c r="B119" s="18" t="s">
        <v>437</v>
      </c>
      <c r="C119" s="18" t="s">
        <v>438</v>
      </c>
      <c r="D119" s="19">
        <v>3062000</v>
      </c>
      <c r="E119" s="19">
        <v>0</v>
      </c>
      <c r="F119" s="19"/>
      <c r="G119" s="19">
        <v>180</v>
      </c>
      <c r="H119" s="19" t="s">
        <v>65</v>
      </c>
      <c r="I119" s="19"/>
      <c r="J119" s="19" t="s">
        <v>66</v>
      </c>
      <c r="K119" s="19" t="b">
        <v>0</v>
      </c>
      <c r="L119" s="15">
        <v>2025</v>
      </c>
      <c r="M119" s="16">
        <v>100000</v>
      </c>
      <c r="N119" s="20">
        <v>41550</v>
      </c>
      <c r="O119" s="20">
        <v>41550</v>
      </c>
    </row>
    <row r="120" spans="1:15" ht="14.25">
      <c r="A120" s="17">
        <v>2013</v>
      </c>
      <c r="B120" s="18" t="s">
        <v>437</v>
      </c>
      <c r="C120" s="18" t="s">
        <v>438</v>
      </c>
      <c r="D120" s="19">
        <v>3062000</v>
      </c>
      <c r="E120" s="19">
        <v>0</v>
      </c>
      <c r="F120" s="19"/>
      <c r="G120" s="19">
        <v>590</v>
      </c>
      <c r="H120" s="19">
        <v>11.2</v>
      </c>
      <c r="I120" s="19"/>
      <c r="J120" s="19" t="s">
        <v>110</v>
      </c>
      <c r="K120" s="19" t="b">
        <v>1</v>
      </c>
      <c r="L120" s="15">
        <v>2015</v>
      </c>
      <c r="M120" s="16">
        <v>29706095</v>
      </c>
      <c r="N120" s="20">
        <v>41550</v>
      </c>
      <c r="O120" s="20">
        <v>41550</v>
      </c>
    </row>
    <row r="121" spans="1:15" ht="14.25">
      <c r="A121" s="17">
        <v>2013</v>
      </c>
      <c r="B121" s="18" t="s">
        <v>437</v>
      </c>
      <c r="C121" s="18" t="s">
        <v>438</v>
      </c>
      <c r="D121" s="19">
        <v>3062000</v>
      </c>
      <c r="E121" s="19">
        <v>0</v>
      </c>
      <c r="F121" s="19"/>
      <c r="G121" s="19">
        <v>70</v>
      </c>
      <c r="H121" s="19" t="s">
        <v>47</v>
      </c>
      <c r="I121" s="19"/>
      <c r="J121" s="19" t="s">
        <v>48</v>
      </c>
      <c r="K121" s="19" t="b">
        <v>1</v>
      </c>
      <c r="L121" s="15">
        <v>2017</v>
      </c>
      <c r="M121" s="16">
        <v>126100130</v>
      </c>
      <c r="N121" s="20">
        <v>41550</v>
      </c>
      <c r="O121" s="20">
        <v>41550</v>
      </c>
    </row>
    <row r="122" spans="1:15" ht="14.25">
      <c r="A122" s="17">
        <v>2013</v>
      </c>
      <c r="B122" s="18" t="s">
        <v>437</v>
      </c>
      <c r="C122" s="18" t="s">
        <v>438</v>
      </c>
      <c r="D122" s="19">
        <v>3062000</v>
      </c>
      <c r="E122" s="19">
        <v>0</v>
      </c>
      <c r="F122" s="19"/>
      <c r="G122" s="19">
        <v>520</v>
      </c>
      <c r="H122" s="19" t="s">
        <v>101</v>
      </c>
      <c r="I122" s="19"/>
      <c r="J122" s="19" t="s">
        <v>449</v>
      </c>
      <c r="K122" s="19" t="b">
        <v>1</v>
      </c>
      <c r="L122" s="15">
        <v>2023</v>
      </c>
      <c r="M122" s="16">
        <v>0.1257</v>
      </c>
      <c r="N122" s="20">
        <v>41550</v>
      </c>
      <c r="O122" s="20">
        <v>41550</v>
      </c>
    </row>
    <row r="123" spans="1:15" ht="14.25">
      <c r="A123" s="17">
        <v>2013</v>
      </c>
      <c r="B123" s="18" t="s">
        <v>437</v>
      </c>
      <c r="C123" s="18" t="s">
        <v>438</v>
      </c>
      <c r="D123" s="19">
        <v>3062000</v>
      </c>
      <c r="E123" s="19">
        <v>0</v>
      </c>
      <c r="F123" s="19"/>
      <c r="G123" s="19">
        <v>420</v>
      </c>
      <c r="H123" s="19">
        <v>8.1</v>
      </c>
      <c r="I123" s="19" t="s">
        <v>440</v>
      </c>
      <c r="J123" s="19" t="s">
        <v>91</v>
      </c>
      <c r="K123" s="19" t="b">
        <v>0</v>
      </c>
      <c r="L123" s="15">
        <v>2013</v>
      </c>
      <c r="M123" s="16">
        <v>13349592.67</v>
      </c>
      <c r="N123" s="20">
        <v>41550</v>
      </c>
      <c r="O123" s="20">
        <v>41550</v>
      </c>
    </row>
    <row r="124" spans="1:15" ht="14.25">
      <c r="A124" s="17">
        <v>2013</v>
      </c>
      <c r="B124" s="18" t="s">
        <v>437</v>
      </c>
      <c r="C124" s="18" t="s">
        <v>438</v>
      </c>
      <c r="D124" s="19">
        <v>3062000</v>
      </c>
      <c r="E124" s="19">
        <v>0</v>
      </c>
      <c r="F124" s="19"/>
      <c r="G124" s="19">
        <v>90</v>
      </c>
      <c r="H124" s="19">
        <v>1.2</v>
      </c>
      <c r="I124" s="19"/>
      <c r="J124" s="19" t="s">
        <v>51</v>
      </c>
      <c r="K124" s="19" t="b">
        <v>1</v>
      </c>
      <c r="L124" s="15">
        <v>2015</v>
      </c>
      <c r="M124" s="16">
        <v>1000000</v>
      </c>
      <c r="N124" s="20">
        <v>41550</v>
      </c>
      <c r="O124" s="20">
        <v>41550</v>
      </c>
    </row>
    <row r="125" spans="1:15" ht="14.25">
      <c r="A125" s="17">
        <v>2013</v>
      </c>
      <c r="B125" s="18" t="s">
        <v>437</v>
      </c>
      <c r="C125" s="18" t="s">
        <v>438</v>
      </c>
      <c r="D125" s="19">
        <v>3062000</v>
      </c>
      <c r="E125" s="19">
        <v>0</v>
      </c>
      <c r="F125" s="19"/>
      <c r="G125" s="19">
        <v>310</v>
      </c>
      <c r="H125" s="19">
        <v>5.1</v>
      </c>
      <c r="I125" s="19"/>
      <c r="J125" s="19" t="s">
        <v>79</v>
      </c>
      <c r="K125" s="19" t="b">
        <v>1</v>
      </c>
      <c r="L125" s="15">
        <v>2022</v>
      </c>
      <c r="M125" s="16">
        <v>7397200</v>
      </c>
      <c r="N125" s="20">
        <v>41550</v>
      </c>
      <c r="O125" s="20">
        <v>41550</v>
      </c>
    </row>
    <row r="126" spans="1:15" ht="14.25">
      <c r="A126" s="17">
        <v>2013</v>
      </c>
      <c r="B126" s="18" t="s">
        <v>437</v>
      </c>
      <c r="C126" s="18" t="s">
        <v>438</v>
      </c>
      <c r="D126" s="19">
        <v>3062000</v>
      </c>
      <c r="E126" s="19">
        <v>0</v>
      </c>
      <c r="F126" s="19"/>
      <c r="G126" s="19">
        <v>90</v>
      </c>
      <c r="H126" s="19">
        <v>1.2</v>
      </c>
      <c r="I126" s="19"/>
      <c r="J126" s="19" t="s">
        <v>51</v>
      </c>
      <c r="K126" s="19" t="b">
        <v>1</v>
      </c>
      <c r="L126" s="15">
        <v>2017</v>
      </c>
      <c r="M126" s="16">
        <v>1000000</v>
      </c>
      <c r="N126" s="20">
        <v>41550</v>
      </c>
      <c r="O126" s="20">
        <v>41550</v>
      </c>
    </row>
    <row r="127" spans="1:15" ht="14.25">
      <c r="A127" s="17">
        <v>2013</v>
      </c>
      <c r="B127" s="18" t="s">
        <v>437</v>
      </c>
      <c r="C127" s="18" t="s">
        <v>438</v>
      </c>
      <c r="D127" s="19">
        <v>3062000</v>
      </c>
      <c r="E127" s="19">
        <v>0</v>
      </c>
      <c r="F127" s="19"/>
      <c r="G127" s="19">
        <v>560</v>
      </c>
      <c r="H127" s="19">
        <v>10.1</v>
      </c>
      <c r="I127" s="19"/>
      <c r="J127" s="19" t="s">
        <v>107</v>
      </c>
      <c r="K127" s="19" t="b">
        <v>0</v>
      </c>
      <c r="L127" s="15">
        <v>2017</v>
      </c>
      <c r="M127" s="16">
        <v>18799780</v>
      </c>
      <c r="N127" s="20">
        <v>41550</v>
      </c>
      <c r="O127" s="20">
        <v>41550</v>
      </c>
    </row>
    <row r="128" spans="1:15" ht="14.25">
      <c r="A128" s="17">
        <v>2013</v>
      </c>
      <c r="B128" s="18" t="s">
        <v>437</v>
      </c>
      <c r="C128" s="18" t="s">
        <v>438</v>
      </c>
      <c r="D128" s="19">
        <v>3062000</v>
      </c>
      <c r="E128" s="19">
        <v>0</v>
      </c>
      <c r="F128" s="19"/>
      <c r="G128" s="19">
        <v>300</v>
      </c>
      <c r="H128" s="19">
        <v>5</v>
      </c>
      <c r="I128" s="19" t="s">
        <v>455</v>
      </c>
      <c r="J128" s="19" t="s">
        <v>78</v>
      </c>
      <c r="K128" s="19" t="b">
        <v>0</v>
      </c>
      <c r="L128" s="15">
        <v>2026</v>
      </c>
      <c r="M128" s="16">
        <v>81200</v>
      </c>
      <c r="N128" s="20">
        <v>41550</v>
      </c>
      <c r="O128" s="20">
        <v>41550</v>
      </c>
    </row>
    <row r="129" spans="1:15" ht="14.25">
      <c r="A129" s="17">
        <v>2013</v>
      </c>
      <c r="B129" s="18" t="s">
        <v>437</v>
      </c>
      <c r="C129" s="18" t="s">
        <v>438</v>
      </c>
      <c r="D129" s="19">
        <v>3062000</v>
      </c>
      <c r="E129" s="19">
        <v>0</v>
      </c>
      <c r="F129" s="19"/>
      <c r="G129" s="19">
        <v>300</v>
      </c>
      <c r="H129" s="19">
        <v>5</v>
      </c>
      <c r="I129" s="19" t="s">
        <v>455</v>
      </c>
      <c r="J129" s="19" t="s">
        <v>78</v>
      </c>
      <c r="K129" s="19" t="b">
        <v>0</v>
      </c>
      <c r="L129" s="15">
        <v>2017</v>
      </c>
      <c r="M129" s="16">
        <v>18799780</v>
      </c>
      <c r="N129" s="20">
        <v>41550</v>
      </c>
      <c r="O129" s="20">
        <v>41550</v>
      </c>
    </row>
    <row r="130" spans="1:15" ht="14.25">
      <c r="A130" s="17">
        <v>2013</v>
      </c>
      <c r="B130" s="18" t="s">
        <v>437</v>
      </c>
      <c r="C130" s="18" t="s">
        <v>438</v>
      </c>
      <c r="D130" s="19">
        <v>3062000</v>
      </c>
      <c r="E130" s="19">
        <v>0</v>
      </c>
      <c r="F130" s="19"/>
      <c r="G130" s="19">
        <v>300</v>
      </c>
      <c r="H130" s="19">
        <v>5</v>
      </c>
      <c r="I130" s="19" t="s">
        <v>455</v>
      </c>
      <c r="J130" s="19" t="s">
        <v>78</v>
      </c>
      <c r="K130" s="19" t="b">
        <v>0</v>
      </c>
      <c r="L130" s="15">
        <v>2019</v>
      </c>
      <c r="M130" s="16">
        <v>15571200</v>
      </c>
      <c r="N130" s="20">
        <v>41550</v>
      </c>
      <c r="O130" s="20">
        <v>41550</v>
      </c>
    </row>
    <row r="131" spans="1:15" ht="14.25">
      <c r="A131" s="17">
        <v>2013</v>
      </c>
      <c r="B131" s="18" t="s">
        <v>437</v>
      </c>
      <c r="C131" s="18" t="s">
        <v>438</v>
      </c>
      <c r="D131" s="19">
        <v>3062000</v>
      </c>
      <c r="E131" s="19">
        <v>0</v>
      </c>
      <c r="F131" s="19"/>
      <c r="G131" s="19">
        <v>130</v>
      </c>
      <c r="H131" s="19">
        <v>2.1</v>
      </c>
      <c r="I131" s="19"/>
      <c r="J131" s="19" t="s">
        <v>56</v>
      </c>
      <c r="K131" s="19" t="b">
        <v>1</v>
      </c>
      <c r="L131" s="15">
        <v>2019</v>
      </c>
      <c r="M131" s="16">
        <v>355607492</v>
      </c>
      <c r="N131" s="20">
        <v>41550</v>
      </c>
      <c r="O131" s="20">
        <v>41550</v>
      </c>
    </row>
    <row r="132" spans="1:15" ht="14.25">
      <c r="A132" s="17">
        <v>2013</v>
      </c>
      <c r="B132" s="18" t="s">
        <v>437</v>
      </c>
      <c r="C132" s="18" t="s">
        <v>438</v>
      </c>
      <c r="D132" s="19">
        <v>3062000</v>
      </c>
      <c r="E132" s="19">
        <v>0</v>
      </c>
      <c r="F132" s="19"/>
      <c r="G132" s="19">
        <v>310</v>
      </c>
      <c r="H132" s="19">
        <v>5.1</v>
      </c>
      <c r="I132" s="19"/>
      <c r="J132" s="19" t="s">
        <v>79</v>
      </c>
      <c r="K132" s="19" t="b">
        <v>1</v>
      </c>
      <c r="L132" s="15">
        <v>2020</v>
      </c>
      <c r="M132" s="16">
        <v>18001200</v>
      </c>
      <c r="N132" s="20">
        <v>41550</v>
      </c>
      <c r="O132" s="20">
        <v>41550</v>
      </c>
    </row>
    <row r="133" spans="1:15" ht="14.25">
      <c r="A133" s="17">
        <v>2013</v>
      </c>
      <c r="B133" s="18" t="s">
        <v>437</v>
      </c>
      <c r="C133" s="18" t="s">
        <v>438</v>
      </c>
      <c r="D133" s="19">
        <v>3062000</v>
      </c>
      <c r="E133" s="19">
        <v>0</v>
      </c>
      <c r="F133" s="19"/>
      <c r="G133" s="19">
        <v>10</v>
      </c>
      <c r="H133" s="19">
        <v>1</v>
      </c>
      <c r="I133" s="19" t="s">
        <v>448</v>
      </c>
      <c r="J133" s="19" t="s">
        <v>24</v>
      </c>
      <c r="K133" s="19" t="b">
        <v>1</v>
      </c>
      <c r="L133" s="15">
        <v>2014</v>
      </c>
      <c r="M133" s="16">
        <v>382805000</v>
      </c>
      <c r="N133" s="20">
        <v>41550</v>
      </c>
      <c r="O133" s="20">
        <v>41550</v>
      </c>
    </row>
    <row r="134" spans="1:15" ht="14.25">
      <c r="A134" s="17">
        <v>2013</v>
      </c>
      <c r="B134" s="18" t="s">
        <v>437</v>
      </c>
      <c r="C134" s="18" t="s">
        <v>438</v>
      </c>
      <c r="D134" s="19">
        <v>3062000</v>
      </c>
      <c r="E134" s="19">
        <v>0</v>
      </c>
      <c r="F134" s="19"/>
      <c r="G134" s="19">
        <v>730</v>
      </c>
      <c r="H134" s="19">
        <v>12.3</v>
      </c>
      <c r="I134" s="19"/>
      <c r="J134" s="19" t="s">
        <v>130</v>
      </c>
      <c r="K134" s="19" t="b">
        <v>0</v>
      </c>
      <c r="L134" s="15">
        <v>2013</v>
      </c>
      <c r="M134" s="16">
        <v>8575142.79</v>
      </c>
      <c r="N134" s="20">
        <v>41550</v>
      </c>
      <c r="O134" s="20">
        <v>41550</v>
      </c>
    </row>
    <row r="135" spans="1:15" ht="14.25">
      <c r="A135" s="17">
        <v>2013</v>
      </c>
      <c r="B135" s="18" t="s">
        <v>437</v>
      </c>
      <c r="C135" s="18" t="s">
        <v>438</v>
      </c>
      <c r="D135" s="19">
        <v>3062000</v>
      </c>
      <c r="E135" s="19">
        <v>0</v>
      </c>
      <c r="F135" s="19"/>
      <c r="G135" s="19">
        <v>10</v>
      </c>
      <c r="H135" s="19">
        <v>1</v>
      </c>
      <c r="I135" s="19" t="s">
        <v>448</v>
      </c>
      <c r="J135" s="19" t="s">
        <v>24</v>
      </c>
      <c r="K135" s="19" t="b">
        <v>1</v>
      </c>
      <c r="L135" s="15">
        <v>2025</v>
      </c>
      <c r="M135" s="16">
        <v>406676072</v>
      </c>
      <c r="N135" s="20">
        <v>41550</v>
      </c>
      <c r="O135" s="20">
        <v>41550</v>
      </c>
    </row>
    <row r="136" spans="1:15" ht="14.25">
      <c r="A136" s="17">
        <v>2013</v>
      </c>
      <c r="B136" s="18" t="s">
        <v>437</v>
      </c>
      <c r="C136" s="18" t="s">
        <v>438</v>
      </c>
      <c r="D136" s="19">
        <v>3062000</v>
      </c>
      <c r="E136" s="19">
        <v>0</v>
      </c>
      <c r="F136" s="19"/>
      <c r="G136" s="19">
        <v>540</v>
      </c>
      <c r="H136" s="19" t="s">
        <v>104</v>
      </c>
      <c r="I136" s="19" t="s">
        <v>453</v>
      </c>
      <c r="J136" s="19" t="s">
        <v>105</v>
      </c>
      <c r="K136" s="19" t="b">
        <v>0</v>
      </c>
      <c r="L136" s="15">
        <v>2027</v>
      </c>
      <c r="M136" s="16">
        <v>1053</v>
      </c>
      <c r="N136" s="20">
        <v>41550</v>
      </c>
      <c r="O136" s="20">
        <v>41550</v>
      </c>
    </row>
    <row r="137" spans="1:15" ht="14.25">
      <c r="A137" s="17">
        <v>2013</v>
      </c>
      <c r="B137" s="18" t="s">
        <v>437</v>
      </c>
      <c r="C137" s="18" t="s">
        <v>438</v>
      </c>
      <c r="D137" s="19">
        <v>3062000</v>
      </c>
      <c r="E137" s="19">
        <v>0</v>
      </c>
      <c r="F137" s="19"/>
      <c r="G137" s="19">
        <v>120</v>
      </c>
      <c r="H137" s="19">
        <v>2</v>
      </c>
      <c r="I137" s="19" t="s">
        <v>443</v>
      </c>
      <c r="J137" s="19" t="s">
        <v>19</v>
      </c>
      <c r="K137" s="19" t="b">
        <v>0</v>
      </c>
      <c r="L137" s="15">
        <v>2020</v>
      </c>
      <c r="M137" s="16">
        <v>388674872</v>
      </c>
      <c r="N137" s="20">
        <v>41550</v>
      </c>
      <c r="O137" s="20">
        <v>41550</v>
      </c>
    </row>
    <row r="138" spans="1:15" ht="14.25">
      <c r="A138" s="17">
        <v>2013</v>
      </c>
      <c r="B138" s="18" t="s">
        <v>437</v>
      </c>
      <c r="C138" s="18" t="s">
        <v>438</v>
      </c>
      <c r="D138" s="19">
        <v>3062000</v>
      </c>
      <c r="E138" s="19">
        <v>0</v>
      </c>
      <c r="F138" s="19"/>
      <c r="G138" s="19">
        <v>510</v>
      </c>
      <c r="H138" s="19">
        <v>9.7</v>
      </c>
      <c r="I138" s="19"/>
      <c r="J138" s="19" t="s">
        <v>452</v>
      </c>
      <c r="K138" s="19" t="b">
        <v>1</v>
      </c>
      <c r="L138" s="15">
        <v>2024</v>
      </c>
      <c r="M138" s="16">
        <v>0.1261</v>
      </c>
      <c r="N138" s="20">
        <v>41550</v>
      </c>
      <c r="O138" s="20">
        <v>41550</v>
      </c>
    </row>
    <row r="139" spans="1:15" ht="14.25">
      <c r="A139" s="17">
        <v>2013</v>
      </c>
      <c r="B139" s="18" t="s">
        <v>437</v>
      </c>
      <c r="C139" s="18" t="s">
        <v>438</v>
      </c>
      <c r="D139" s="19">
        <v>3062000</v>
      </c>
      <c r="E139" s="19">
        <v>0</v>
      </c>
      <c r="F139" s="19"/>
      <c r="G139" s="19">
        <v>140</v>
      </c>
      <c r="H139" s="19" t="s">
        <v>57</v>
      </c>
      <c r="I139" s="19"/>
      <c r="J139" s="19" t="s">
        <v>58</v>
      </c>
      <c r="K139" s="19" t="b">
        <v>1</v>
      </c>
      <c r="L139" s="15">
        <v>2022</v>
      </c>
      <c r="M139" s="16">
        <v>9701088.88</v>
      </c>
      <c r="N139" s="20">
        <v>41550</v>
      </c>
      <c r="O139" s="20">
        <v>41550</v>
      </c>
    </row>
    <row r="140" spans="1:15" ht="14.25">
      <c r="A140" s="17">
        <v>2013</v>
      </c>
      <c r="B140" s="18" t="s">
        <v>437</v>
      </c>
      <c r="C140" s="18" t="s">
        <v>438</v>
      </c>
      <c r="D140" s="19">
        <v>3062000</v>
      </c>
      <c r="E140" s="19">
        <v>0</v>
      </c>
      <c r="F140" s="19"/>
      <c r="G140" s="19">
        <v>510</v>
      </c>
      <c r="H140" s="19">
        <v>9.7</v>
      </c>
      <c r="I140" s="19"/>
      <c r="J140" s="19" t="s">
        <v>452</v>
      </c>
      <c r="K140" s="19" t="b">
        <v>1</v>
      </c>
      <c r="L140" s="15">
        <v>2017</v>
      </c>
      <c r="M140" s="16">
        <v>0.0963</v>
      </c>
      <c r="N140" s="20">
        <v>41550</v>
      </c>
      <c r="O140" s="20">
        <v>41550</v>
      </c>
    </row>
    <row r="141" spans="1:15" ht="14.25">
      <c r="A141" s="17">
        <v>2013</v>
      </c>
      <c r="B141" s="18" t="s">
        <v>437</v>
      </c>
      <c r="C141" s="18" t="s">
        <v>438</v>
      </c>
      <c r="D141" s="19">
        <v>3062000</v>
      </c>
      <c r="E141" s="19">
        <v>0</v>
      </c>
      <c r="F141" s="19"/>
      <c r="G141" s="19">
        <v>350</v>
      </c>
      <c r="H141" s="19">
        <v>6</v>
      </c>
      <c r="I141" s="19"/>
      <c r="J141" s="19" t="s">
        <v>25</v>
      </c>
      <c r="K141" s="19" t="b">
        <v>1</v>
      </c>
      <c r="L141" s="15">
        <v>2016</v>
      </c>
      <c r="M141" s="16">
        <v>90780180</v>
      </c>
      <c r="N141" s="20">
        <v>41550</v>
      </c>
      <c r="O141" s="20">
        <v>41550</v>
      </c>
    </row>
    <row r="142" spans="1:15" ht="14.25">
      <c r="A142" s="17">
        <v>2013</v>
      </c>
      <c r="B142" s="18" t="s">
        <v>437</v>
      </c>
      <c r="C142" s="18" t="s">
        <v>438</v>
      </c>
      <c r="D142" s="19">
        <v>3062000</v>
      </c>
      <c r="E142" s="19">
        <v>0</v>
      </c>
      <c r="F142" s="19"/>
      <c r="G142" s="19">
        <v>170</v>
      </c>
      <c r="H142" s="19" t="s">
        <v>63</v>
      </c>
      <c r="I142" s="19"/>
      <c r="J142" s="19" t="s">
        <v>64</v>
      </c>
      <c r="K142" s="19" t="b">
        <v>1</v>
      </c>
      <c r="L142" s="15">
        <v>2022</v>
      </c>
      <c r="M142" s="16">
        <v>600000</v>
      </c>
      <c r="N142" s="20">
        <v>41550</v>
      </c>
      <c r="O142" s="20">
        <v>41550</v>
      </c>
    </row>
    <row r="143" spans="1:15" ht="14.25">
      <c r="A143" s="17">
        <v>2013</v>
      </c>
      <c r="B143" s="18" t="s">
        <v>437</v>
      </c>
      <c r="C143" s="18" t="s">
        <v>438</v>
      </c>
      <c r="D143" s="19">
        <v>3062000</v>
      </c>
      <c r="E143" s="19">
        <v>0</v>
      </c>
      <c r="F143" s="19"/>
      <c r="G143" s="19">
        <v>460</v>
      </c>
      <c r="H143" s="19">
        <v>9.2</v>
      </c>
      <c r="I143" s="19" t="s">
        <v>446</v>
      </c>
      <c r="J143" s="19" t="s">
        <v>94</v>
      </c>
      <c r="K143" s="19" t="b">
        <v>0</v>
      </c>
      <c r="L143" s="15">
        <v>2013</v>
      </c>
      <c r="M143" s="16">
        <v>0.0749</v>
      </c>
      <c r="N143" s="20">
        <v>41550</v>
      </c>
      <c r="O143" s="20">
        <v>41550</v>
      </c>
    </row>
    <row r="144" spans="1:15" ht="14.25">
      <c r="A144" s="17">
        <v>2013</v>
      </c>
      <c r="B144" s="18" t="s">
        <v>437</v>
      </c>
      <c r="C144" s="18" t="s">
        <v>438</v>
      </c>
      <c r="D144" s="19">
        <v>3062000</v>
      </c>
      <c r="E144" s="19">
        <v>0</v>
      </c>
      <c r="F144" s="19"/>
      <c r="G144" s="19">
        <v>430</v>
      </c>
      <c r="H144" s="19">
        <v>8.2</v>
      </c>
      <c r="I144" s="19" t="s">
        <v>447</v>
      </c>
      <c r="J144" s="19" t="s">
        <v>92</v>
      </c>
      <c r="K144" s="19" t="b">
        <v>0</v>
      </c>
      <c r="L144" s="15">
        <v>2015</v>
      </c>
      <c r="M144" s="16">
        <v>37723179.84</v>
      </c>
      <c r="N144" s="20">
        <v>41550</v>
      </c>
      <c r="O144" s="20">
        <v>41550</v>
      </c>
    </row>
    <row r="145" spans="1:15" ht="14.25">
      <c r="A145" s="17">
        <v>2013</v>
      </c>
      <c r="B145" s="18" t="s">
        <v>437</v>
      </c>
      <c r="C145" s="18" t="s">
        <v>438</v>
      </c>
      <c r="D145" s="19">
        <v>3062000</v>
      </c>
      <c r="E145" s="19">
        <v>0</v>
      </c>
      <c r="F145" s="19"/>
      <c r="G145" s="19">
        <v>460</v>
      </c>
      <c r="H145" s="19">
        <v>9.2</v>
      </c>
      <c r="I145" s="19" t="s">
        <v>446</v>
      </c>
      <c r="J145" s="19" t="s">
        <v>94</v>
      </c>
      <c r="K145" s="19" t="b">
        <v>0</v>
      </c>
      <c r="L145" s="15">
        <v>2017</v>
      </c>
      <c r="M145" s="16">
        <v>0.0849</v>
      </c>
      <c r="N145" s="20">
        <v>41550</v>
      </c>
      <c r="O145" s="20">
        <v>41550</v>
      </c>
    </row>
    <row r="146" spans="1:15" ht="14.25">
      <c r="A146" s="17">
        <v>2013</v>
      </c>
      <c r="B146" s="18" t="s">
        <v>437</v>
      </c>
      <c r="C146" s="18" t="s">
        <v>438</v>
      </c>
      <c r="D146" s="19">
        <v>3062000</v>
      </c>
      <c r="E146" s="19">
        <v>0</v>
      </c>
      <c r="F146" s="19"/>
      <c r="G146" s="19">
        <v>510</v>
      </c>
      <c r="H146" s="19">
        <v>9.7</v>
      </c>
      <c r="I146" s="19"/>
      <c r="J146" s="19" t="s">
        <v>452</v>
      </c>
      <c r="K146" s="19" t="b">
        <v>1</v>
      </c>
      <c r="L146" s="15">
        <v>2026</v>
      </c>
      <c r="M146" s="16">
        <v>0.1266</v>
      </c>
      <c r="N146" s="20">
        <v>41550</v>
      </c>
      <c r="O146" s="20">
        <v>41550</v>
      </c>
    </row>
    <row r="147" spans="1:15" ht="14.25">
      <c r="A147" s="17">
        <v>2013</v>
      </c>
      <c r="B147" s="18" t="s">
        <v>437</v>
      </c>
      <c r="C147" s="18" t="s">
        <v>438</v>
      </c>
      <c r="D147" s="19">
        <v>3062000</v>
      </c>
      <c r="E147" s="19">
        <v>0</v>
      </c>
      <c r="F147" s="19"/>
      <c r="G147" s="19">
        <v>80</v>
      </c>
      <c r="H147" s="19" t="s">
        <v>49</v>
      </c>
      <c r="I147" s="19"/>
      <c r="J147" s="19" t="s">
        <v>50</v>
      </c>
      <c r="K147" s="19" t="b">
        <v>1</v>
      </c>
      <c r="L147" s="15">
        <v>2016</v>
      </c>
      <c r="M147" s="16">
        <v>47721500</v>
      </c>
      <c r="N147" s="20">
        <v>41550</v>
      </c>
      <c r="O147" s="20">
        <v>41550</v>
      </c>
    </row>
    <row r="148" spans="1:15" ht="14.25">
      <c r="A148" s="17">
        <v>2013</v>
      </c>
      <c r="B148" s="18" t="s">
        <v>437</v>
      </c>
      <c r="C148" s="18" t="s">
        <v>438</v>
      </c>
      <c r="D148" s="19">
        <v>3062000</v>
      </c>
      <c r="E148" s="19">
        <v>0</v>
      </c>
      <c r="F148" s="19"/>
      <c r="G148" s="19">
        <v>680</v>
      </c>
      <c r="H148" s="19" t="s">
        <v>121</v>
      </c>
      <c r="I148" s="19"/>
      <c r="J148" s="19" t="s">
        <v>122</v>
      </c>
      <c r="K148" s="19" t="b">
        <v>1</v>
      </c>
      <c r="L148" s="15">
        <v>2013</v>
      </c>
      <c r="M148" s="16">
        <v>7078260.95</v>
      </c>
      <c r="N148" s="20">
        <v>41550</v>
      </c>
      <c r="O148" s="20">
        <v>41550</v>
      </c>
    </row>
    <row r="149" spans="1:15" ht="14.25">
      <c r="A149" s="17">
        <v>2013</v>
      </c>
      <c r="B149" s="18" t="s">
        <v>437</v>
      </c>
      <c r="C149" s="18" t="s">
        <v>438</v>
      </c>
      <c r="D149" s="19">
        <v>3062000</v>
      </c>
      <c r="E149" s="19">
        <v>0</v>
      </c>
      <c r="F149" s="19"/>
      <c r="G149" s="19">
        <v>350</v>
      </c>
      <c r="H149" s="19">
        <v>6</v>
      </c>
      <c r="I149" s="19"/>
      <c r="J149" s="19" t="s">
        <v>25</v>
      </c>
      <c r="K149" s="19" t="b">
        <v>1</v>
      </c>
      <c r="L149" s="15">
        <v>2014</v>
      </c>
      <c r="M149" s="16">
        <v>112947685.72</v>
      </c>
      <c r="N149" s="20">
        <v>41550</v>
      </c>
      <c r="O149" s="20">
        <v>41550</v>
      </c>
    </row>
    <row r="150" spans="1:15" ht="14.25">
      <c r="A150" s="17">
        <v>2013</v>
      </c>
      <c r="B150" s="18" t="s">
        <v>437</v>
      </c>
      <c r="C150" s="18" t="s">
        <v>438</v>
      </c>
      <c r="D150" s="19">
        <v>3062000</v>
      </c>
      <c r="E150" s="19">
        <v>0</v>
      </c>
      <c r="F150" s="19"/>
      <c r="G150" s="19">
        <v>420</v>
      </c>
      <c r="H150" s="19">
        <v>8.1</v>
      </c>
      <c r="I150" s="19" t="s">
        <v>440</v>
      </c>
      <c r="J150" s="19" t="s">
        <v>91</v>
      </c>
      <c r="K150" s="19" t="b">
        <v>0</v>
      </c>
      <c r="L150" s="15">
        <v>2019</v>
      </c>
      <c r="M150" s="16">
        <v>51068580</v>
      </c>
      <c r="N150" s="20">
        <v>41550</v>
      </c>
      <c r="O150" s="20">
        <v>41550</v>
      </c>
    </row>
    <row r="151" spans="1:15" ht="14.25">
      <c r="A151" s="17">
        <v>2013</v>
      </c>
      <c r="B151" s="18" t="s">
        <v>437</v>
      </c>
      <c r="C151" s="18" t="s">
        <v>438</v>
      </c>
      <c r="D151" s="19">
        <v>3062000</v>
      </c>
      <c r="E151" s="19">
        <v>0</v>
      </c>
      <c r="F151" s="19"/>
      <c r="G151" s="19">
        <v>310</v>
      </c>
      <c r="H151" s="19">
        <v>5.1</v>
      </c>
      <c r="I151" s="19"/>
      <c r="J151" s="19" t="s">
        <v>79</v>
      </c>
      <c r="K151" s="19" t="b">
        <v>1</v>
      </c>
      <c r="L151" s="15">
        <v>2024</v>
      </c>
      <c r="M151" s="16">
        <v>81200</v>
      </c>
      <c r="N151" s="20">
        <v>41550</v>
      </c>
      <c r="O151" s="20">
        <v>41550</v>
      </c>
    </row>
    <row r="152" spans="1:15" ht="14.25">
      <c r="A152" s="17">
        <v>2013</v>
      </c>
      <c r="B152" s="18" t="s">
        <v>437</v>
      </c>
      <c r="C152" s="18" t="s">
        <v>438</v>
      </c>
      <c r="D152" s="19">
        <v>3062000</v>
      </c>
      <c r="E152" s="19">
        <v>0</v>
      </c>
      <c r="F152" s="19"/>
      <c r="G152" s="19">
        <v>550</v>
      </c>
      <c r="H152" s="19">
        <v>10</v>
      </c>
      <c r="I152" s="19"/>
      <c r="J152" s="19" t="s">
        <v>106</v>
      </c>
      <c r="K152" s="19" t="b">
        <v>0</v>
      </c>
      <c r="L152" s="15">
        <v>2021</v>
      </c>
      <c r="M152" s="16">
        <v>13977200</v>
      </c>
      <c r="N152" s="20">
        <v>41550</v>
      </c>
      <c r="O152" s="20">
        <v>41550</v>
      </c>
    </row>
    <row r="153" spans="1:15" ht="14.25">
      <c r="A153" s="17">
        <v>2013</v>
      </c>
      <c r="B153" s="18" t="s">
        <v>437</v>
      </c>
      <c r="C153" s="18" t="s">
        <v>438</v>
      </c>
      <c r="D153" s="19">
        <v>3062000</v>
      </c>
      <c r="E153" s="19">
        <v>0</v>
      </c>
      <c r="F153" s="19"/>
      <c r="G153" s="19">
        <v>480</v>
      </c>
      <c r="H153" s="19">
        <v>9.4</v>
      </c>
      <c r="I153" s="19" t="s">
        <v>446</v>
      </c>
      <c r="J153" s="19" t="s">
        <v>95</v>
      </c>
      <c r="K153" s="19" t="b">
        <v>0</v>
      </c>
      <c r="L153" s="15">
        <v>2019</v>
      </c>
      <c r="M153" s="16">
        <v>0.0717</v>
      </c>
      <c r="N153" s="20">
        <v>41550</v>
      </c>
      <c r="O153" s="20">
        <v>41550</v>
      </c>
    </row>
    <row r="154" spans="1:15" ht="14.25">
      <c r="A154" s="17">
        <v>2013</v>
      </c>
      <c r="B154" s="18" t="s">
        <v>437</v>
      </c>
      <c r="C154" s="18" t="s">
        <v>438</v>
      </c>
      <c r="D154" s="19">
        <v>3062000</v>
      </c>
      <c r="E154" s="19">
        <v>0</v>
      </c>
      <c r="F154" s="19"/>
      <c r="G154" s="19">
        <v>140</v>
      </c>
      <c r="H154" s="19" t="s">
        <v>57</v>
      </c>
      <c r="I154" s="19"/>
      <c r="J154" s="19" t="s">
        <v>58</v>
      </c>
      <c r="K154" s="19" t="b">
        <v>1</v>
      </c>
      <c r="L154" s="15">
        <v>2018</v>
      </c>
      <c r="M154" s="16">
        <v>10599729.11</v>
      </c>
      <c r="N154" s="20">
        <v>41550</v>
      </c>
      <c r="O154" s="20">
        <v>41550</v>
      </c>
    </row>
    <row r="155" spans="1:15" ht="14.25">
      <c r="A155" s="17">
        <v>2013</v>
      </c>
      <c r="B155" s="18" t="s">
        <v>437</v>
      </c>
      <c r="C155" s="18" t="s">
        <v>438</v>
      </c>
      <c r="D155" s="19">
        <v>3062000</v>
      </c>
      <c r="E155" s="19">
        <v>0</v>
      </c>
      <c r="F155" s="19"/>
      <c r="G155" s="19">
        <v>100</v>
      </c>
      <c r="H155" s="19" t="s">
        <v>52</v>
      </c>
      <c r="I155" s="19"/>
      <c r="J155" s="19" t="s">
        <v>53</v>
      </c>
      <c r="K155" s="19" t="b">
        <v>1</v>
      </c>
      <c r="L155" s="15">
        <v>2013</v>
      </c>
      <c r="M155" s="16">
        <v>10186200</v>
      </c>
      <c r="N155" s="20">
        <v>41550</v>
      </c>
      <c r="O155" s="20">
        <v>41550</v>
      </c>
    </row>
    <row r="156" spans="1:15" ht="14.25">
      <c r="A156" s="17">
        <v>2013</v>
      </c>
      <c r="B156" s="18" t="s">
        <v>437</v>
      </c>
      <c r="C156" s="18" t="s">
        <v>438</v>
      </c>
      <c r="D156" s="19">
        <v>3062000</v>
      </c>
      <c r="E156" s="19">
        <v>0</v>
      </c>
      <c r="F156" s="19"/>
      <c r="G156" s="19">
        <v>550</v>
      </c>
      <c r="H156" s="19">
        <v>10</v>
      </c>
      <c r="I156" s="19"/>
      <c r="J156" s="19" t="s">
        <v>106</v>
      </c>
      <c r="K156" s="19" t="b">
        <v>0</v>
      </c>
      <c r="L156" s="15">
        <v>2015</v>
      </c>
      <c r="M156" s="16">
        <v>7367725.72</v>
      </c>
      <c r="N156" s="20">
        <v>41550</v>
      </c>
      <c r="O156" s="20">
        <v>41550</v>
      </c>
    </row>
    <row r="157" spans="1:15" ht="14.25">
      <c r="A157" s="17">
        <v>2013</v>
      </c>
      <c r="B157" s="18" t="s">
        <v>437</v>
      </c>
      <c r="C157" s="18" t="s">
        <v>438</v>
      </c>
      <c r="D157" s="19">
        <v>3062000</v>
      </c>
      <c r="E157" s="19">
        <v>0</v>
      </c>
      <c r="F157" s="19"/>
      <c r="G157" s="19">
        <v>200</v>
      </c>
      <c r="H157" s="19">
        <v>3</v>
      </c>
      <c r="I157" s="19" t="s">
        <v>457</v>
      </c>
      <c r="J157" s="19" t="s">
        <v>21</v>
      </c>
      <c r="K157" s="19" t="b">
        <v>0</v>
      </c>
      <c r="L157" s="15">
        <v>2021</v>
      </c>
      <c r="M157" s="16">
        <v>13977200</v>
      </c>
      <c r="N157" s="20">
        <v>41550</v>
      </c>
      <c r="O157" s="20">
        <v>41550</v>
      </c>
    </row>
    <row r="158" spans="1:15" ht="14.25">
      <c r="A158" s="17">
        <v>2013</v>
      </c>
      <c r="B158" s="18" t="s">
        <v>437</v>
      </c>
      <c r="C158" s="18" t="s">
        <v>438</v>
      </c>
      <c r="D158" s="19">
        <v>3062000</v>
      </c>
      <c r="E158" s="19">
        <v>0</v>
      </c>
      <c r="F158" s="19"/>
      <c r="G158" s="19">
        <v>500</v>
      </c>
      <c r="H158" s="19">
        <v>9.6</v>
      </c>
      <c r="I158" s="19" t="s">
        <v>454</v>
      </c>
      <c r="J158" s="19" t="s">
        <v>97</v>
      </c>
      <c r="K158" s="19" t="b">
        <v>0</v>
      </c>
      <c r="L158" s="15">
        <v>2015</v>
      </c>
      <c r="M158" s="16">
        <v>0.0599</v>
      </c>
      <c r="N158" s="20">
        <v>41550</v>
      </c>
      <c r="O158" s="20">
        <v>41550</v>
      </c>
    </row>
    <row r="159" spans="1:15" ht="14.25">
      <c r="A159" s="17">
        <v>2013</v>
      </c>
      <c r="B159" s="18" t="s">
        <v>437</v>
      </c>
      <c r="C159" s="18" t="s">
        <v>438</v>
      </c>
      <c r="D159" s="19">
        <v>3062000</v>
      </c>
      <c r="E159" s="19">
        <v>0</v>
      </c>
      <c r="F159" s="19"/>
      <c r="G159" s="19">
        <v>310</v>
      </c>
      <c r="H159" s="19">
        <v>5.1</v>
      </c>
      <c r="I159" s="19"/>
      <c r="J159" s="19" t="s">
        <v>79</v>
      </c>
      <c r="K159" s="19" t="b">
        <v>1</v>
      </c>
      <c r="L159" s="15">
        <v>2013</v>
      </c>
      <c r="M159" s="16">
        <v>23585724.84</v>
      </c>
      <c r="N159" s="20">
        <v>41550</v>
      </c>
      <c r="O159" s="20">
        <v>41550</v>
      </c>
    </row>
    <row r="160" spans="1:15" ht="14.25">
      <c r="A160" s="17">
        <v>2013</v>
      </c>
      <c r="B160" s="18" t="s">
        <v>437</v>
      </c>
      <c r="C160" s="18" t="s">
        <v>438</v>
      </c>
      <c r="D160" s="19">
        <v>3062000</v>
      </c>
      <c r="E160" s="19">
        <v>0</v>
      </c>
      <c r="F160" s="19"/>
      <c r="G160" s="19">
        <v>80</v>
      </c>
      <c r="H160" s="19" t="s">
        <v>49</v>
      </c>
      <c r="I160" s="19"/>
      <c r="J160" s="19" t="s">
        <v>50</v>
      </c>
      <c r="K160" s="19" t="b">
        <v>1</v>
      </c>
      <c r="L160" s="15">
        <v>2017</v>
      </c>
      <c r="M160" s="16">
        <v>47950000</v>
      </c>
      <c r="N160" s="20">
        <v>41550</v>
      </c>
      <c r="O160" s="20">
        <v>41550</v>
      </c>
    </row>
    <row r="161" spans="1:15" ht="14.25">
      <c r="A161" s="17">
        <v>2013</v>
      </c>
      <c r="B161" s="18" t="s">
        <v>437</v>
      </c>
      <c r="C161" s="18" t="s">
        <v>438</v>
      </c>
      <c r="D161" s="19">
        <v>3062000</v>
      </c>
      <c r="E161" s="19">
        <v>0</v>
      </c>
      <c r="F161" s="19"/>
      <c r="G161" s="19">
        <v>470</v>
      </c>
      <c r="H161" s="19">
        <v>9.3</v>
      </c>
      <c r="I161" s="19" t="s">
        <v>450</v>
      </c>
      <c r="J161" s="19" t="s">
        <v>451</v>
      </c>
      <c r="K161" s="19" t="b">
        <v>1</v>
      </c>
      <c r="L161" s="15">
        <v>2020</v>
      </c>
      <c r="M161" s="16">
        <v>0.075</v>
      </c>
      <c r="N161" s="20">
        <v>41550</v>
      </c>
      <c r="O161" s="20">
        <v>41550</v>
      </c>
    </row>
    <row r="162" spans="1:15" ht="14.25">
      <c r="A162" s="17">
        <v>2013</v>
      </c>
      <c r="B162" s="18" t="s">
        <v>437</v>
      </c>
      <c r="C162" s="18" t="s">
        <v>438</v>
      </c>
      <c r="D162" s="19">
        <v>3062000</v>
      </c>
      <c r="E162" s="19">
        <v>0</v>
      </c>
      <c r="F162" s="19"/>
      <c r="G162" s="19">
        <v>200</v>
      </c>
      <c r="H162" s="19">
        <v>3</v>
      </c>
      <c r="I162" s="19" t="s">
        <v>457</v>
      </c>
      <c r="J162" s="19" t="s">
        <v>21</v>
      </c>
      <c r="K162" s="19" t="b">
        <v>0</v>
      </c>
      <c r="L162" s="15">
        <v>2022</v>
      </c>
      <c r="M162" s="16">
        <v>7397200</v>
      </c>
      <c r="N162" s="20">
        <v>41550</v>
      </c>
      <c r="O162" s="20">
        <v>41550</v>
      </c>
    </row>
    <row r="163" spans="1:15" ht="14.25">
      <c r="A163" s="17">
        <v>2013</v>
      </c>
      <c r="B163" s="18" t="s">
        <v>437</v>
      </c>
      <c r="C163" s="18" t="s">
        <v>438</v>
      </c>
      <c r="D163" s="19">
        <v>3062000</v>
      </c>
      <c r="E163" s="19">
        <v>0</v>
      </c>
      <c r="F163" s="19"/>
      <c r="G163" s="19">
        <v>350</v>
      </c>
      <c r="H163" s="19">
        <v>6</v>
      </c>
      <c r="I163" s="19"/>
      <c r="J163" s="19" t="s">
        <v>25</v>
      </c>
      <c r="K163" s="19" t="b">
        <v>1</v>
      </c>
      <c r="L163" s="15">
        <v>2019</v>
      </c>
      <c r="M163" s="16">
        <v>40338000</v>
      </c>
      <c r="N163" s="20">
        <v>41550</v>
      </c>
      <c r="O163" s="20">
        <v>41550</v>
      </c>
    </row>
    <row r="164" spans="1:15" ht="14.25">
      <c r="A164" s="17">
        <v>2013</v>
      </c>
      <c r="B164" s="18" t="s">
        <v>437</v>
      </c>
      <c r="C164" s="18" t="s">
        <v>438</v>
      </c>
      <c r="D164" s="19">
        <v>3062000</v>
      </c>
      <c r="E164" s="19">
        <v>0</v>
      </c>
      <c r="F164" s="19"/>
      <c r="G164" s="19">
        <v>560</v>
      </c>
      <c r="H164" s="19">
        <v>10.1</v>
      </c>
      <c r="I164" s="19"/>
      <c r="J164" s="19" t="s">
        <v>107</v>
      </c>
      <c r="K164" s="19" t="b">
        <v>0</v>
      </c>
      <c r="L164" s="15">
        <v>2023</v>
      </c>
      <c r="M164" s="16">
        <v>671200</v>
      </c>
      <c r="N164" s="20">
        <v>41550</v>
      </c>
      <c r="O164" s="20">
        <v>41550</v>
      </c>
    </row>
    <row r="165" spans="1:15" ht="14.25">
      <c r="A165" s="17">
        <v>2013</v>
      </c>
      <c r="B165" s="18" t="s">
        <v>437</v>
      </c>
      <c r="C165" s="18" t="s">
        <v>438</v>
      </c>
      <c r="D165" s="19">
        <v>3062000</v>
      </c>
      <c r="E165" s="19">
        <v>0</v>
      </c>
      <c r="F165" s="19"/>
      <c r="G165" s="19">
        <v>510</v>
      </c>
      <c r="H165" s="19">
        <v>9.7</v>
      </c>
      <c r="I165" s="19"/>
      <c r="J165" s="19" t="s">
        <v>452</v>
      </c>
      <c r="K165" s="19" t="b">
        <v>1</v>
      </c>
      <c r="L165" s="15">
        <v>2015</v>
      </c>
      <c r="M165" s="16">
        <v>0.0564</v>
      </c>
      <c r="N165" s="20">
        <v>41550</v>
      </c>
      <c r="O165" s="20">
        <v>41550</v>
      </c>
    </row>
    <row r="166" spans="1:15" ht="14.25">
      <c r="A166" s="17">
        <v>2013</v>
      </c>
      <c r="B166" s="18" t="s">
        <v>437</v>
      </c>
      <c r="C166" s="18" t="s">
        <v>438</v>
      </c>
      <c r="D166" s="19">
        <v>3062000</v>
      </c>
      <c r="E166" s="19">
        <v>0</v>
      </c>
      <c r="F166" s="19"/>
      <c r="G166" s="19">
        <v>380</v>
      </c>
      <c r="H166" s="19">
        <v>6.2</v>
      </c>
      <c r="I166" s="19" t="s">
        <v>445</v>
      </c>
      <c r="J166" s="19" t="s">
        <v>88</v>
      </c>
      <c r="K166" s="19" t="b">
        <v>0</v>
      </c>
      <c r="L166" s="15">
        <v>2013</v>
      </c>
      <c r="M166" s="16">
        <v>0.2835</v>
      </c>
      <c r="N166" s="20">
        <v>41550</v>
      </c>
      <c r="O166" s="20">
        <v>41550</v>
      </c>
    </row>
    <row r="167" spans="1:15" ht="14.25">
      <c r="A167" s="17">
        <v>2013</v>
      </c>
      <c r="B167" s="18" t="s">
        <v>437</v>
      </c>
      <c r="C167" s="18" t="s">
        <v>438</v>
      </c>
      <c r="D167" s="19">
        <v>3062000</v>
      </c>
      <c r="E167" s="19">
        <v>0</v>
      </c>
      <c r="F167" s="19"/>
      <c r="G167" s="19">
        <v>540</v>
      </c>
      <c r="H167" s="19" t="s">
        <v>104</v>
      </c>
      <c r="I167" s="19" t="s">
        <v>453</v>
      </c>
      <c r="J167" s="19" t="s">
        <v>105</v>
      </c>
      <c r="K167" s="19" t="b">
        <v>0</v>
      </c>
      <c r="L167" s="15">
        <v>2024</v>
      </c>
      <c r="M167" s="16">
        <v>1028</v>
      </c>
      <c r="N167" s="20">
        <v>41550</v>
      </c>
      <c r="O167" s="20">
        <v>41550</v>
      </c>
    </row>
    <row r="168" spans="1:15" ht="14.25">
      <c r="A168" s="17">
        <v>2013</v>
      </c>
      <c r="B168" s="18" t="s">
        <v>437</v>
      </c>
      <c r="C168" s="18" t="s">
        <v>438</v>
      </c>
      <c r="D168" s="19">
        <v>3062000</v>
      </c>
      <c r="E168" s="19">
        <v>0</v>
      </c>
      <c r="F168" s="19"/>
      <c r="G168" s="19">
        <v>180</v>
      </c>
      <c r="H168" s="19" t="s">
        <v>65</v>
      </c>
      <c r="I168" s="19"/>
      <c r="J168" s="19" t="s">
        <v>66</v>
      </c>
      <c r="K168" s="19" t="b">
        <v>0</v>
      </c>
      <c r="L168" s="15">
        <v>2016</v>
      </c>
      <c r="M168" s="16">
        <v>5750000</v>
      </c>
      <c r="N168" s="20">
        <v>41550</v>
      </c>
      <c r="O168" s="20">
        <v>41550</v>
      </c>
    </row>
    <row r="169" spans="1:15" ht="14.25">
      <c r="A169" s="17">
        <v>2013</v>
      </c>
      <c r="B169" s="18" t="s">
        <v>437</v>
      </c>
      <c r="C169" s="18" t="s">
        <v>438</v>
      </c>
      <c r="D169" s="19">
        <v>3062000</v>
      </c>
      <c r="E169" s="19">
        <v>0</v>
      </c>
      <c r="F169" s="19"/>
      <c r="G169" s="19">
        <v>520</v>
      </c>
      <c r="H169" s="19" t="s">
        <v>101</v>
      </c>
      <c r="I169" s="19"/>
      <c r="J169" s="19" t="s">
        <v>449</v>
      </c>
      <c r="K169" s="19" t="b">
        <v>1</v>
      </c>
      <c r="L169" s="15">
        <v>2026</v>
      </c>
      <c r="M169" s="16">
        <v>0.1266</v>
      </c>
      <c r="N169" s="20">
        <v>41550</v>
      </c>
      <c r="O169" s="20">
        <v>41550</v>
      </c>
    </row>
    <row r="170" spans="1:15" ht="14.25">
      <c r="A170" s="17">
        <v>2013</v>
      </c>
      <c r="B170" s="18" t="s">
        <v>437</v>
      </c>
      <c r="C170" s="18" t="s">
        <v>438</v>
      </c>
      <c r="D170" s="19">
        <v>3062000</v>
      </c>
      <c r="E170" s="19">
        <v>0</v>
      </c>
      <c r="F170" s="19"/>
      <c r="G170" s="19">
        <v>430</v>
      </c>
      <c r="H170" s="19">
        <v>8.2</v>
      </c>
      <c r="I170" s="19" t="s">
        <v>447</v>
      </c>
      <c r="J170" s="19" t="s">
        <v>92</v>
      </c>
      <c r="K170" s="19" t="b">
        <v>0</v>
      </c>
      <c r="L170" s="15">
        <v>2014</v>
      </c>
      <c r="M170" s="16">
        <v>26805000</v>
      </c>
      <c r="N170" s="20">
        <v>41550</v>
      </c>
      <c r="O170" s="20">
        <v>41550</v>
      </c>
    </row>
    <row r="171" spans="1:15" ht="14.25">
      <c r="A171" s="17">
        <v>2013</v>
      </c>
      <c r="B171" s="18" t="s">
        <v>437</v>
      </c>
      <c r="C171" s="18" t="s">
        <v>438</v>
      </c>
      <c r="D171" s="19">
        <v>3062000</v>
      </c>
      <c r="E171" s="19">
        <v>0</v>
      </c>
      <c r="F171" s="19"/>
      <c r="G171" s="19">
        <v>10</v>
      </c>
      <c r="H171" s="19">
        <v>1</v>
      </c>
      <c r="I171" s="19" t="s">
        <v>448</v>
      </c>
      <c r="J171" s="19" t="s">
        <v>24</v>
      </c>
      <c r="K171" s="19" t="b">
        <v>1</v>
      </c>
      <c r="L171" s="15">
        <v>2024</v>
      </c>
      <c r="M171" s="16">
        <v>406676072</v>
      </c>
      <c r="N171" s="20">
        <v>41550</v>
      </c>
      <c r="O171" s="20">
        <v>41550</v>
      </c>
    </row>
    <row r="172" spans="1:15" ht="14.25">
      <c r="A172" s="17">
        <v>2013</v>
      </c>
      <c r="B172" s="18" t="s">
        <v>437</v>
      </c>
      <c r="C172" s="18" t="s">
        <v>438</v>
      </c>
      <c r="D172" s="19">
        <v>3062000</v>
      </c>
      <c r="E172" s="19">
        <v>0</v>
      </c>
      <c r="F172" s="19"/>
      <c r="G172" s="19">
        <v>140</v>
      </c>
      <c r="H172" s="19" t="s">
        <v>57</v>
      </c>
      <c r="I172" s="19"/>
      <c r="J172" s="19" t="s">
        <v>58</v>
      </c>
      <c r="K172" s="19" t="b">
        <v>1</v>
      </c>
      <c r="L172" s="15">
        <v>2019</v>
      </c>
      <c r="M172" s="16">
        <v>10375569.55</v>
      </c>
      <c r="N172" s="20">
        <v>41550</v>
      </c>
      <c r="O172" s="20">
        <v>41550</v>
      </c>
    </row>
    <row r="173" spans="1:15" ht="14.25">
      <c r="A173" s="17">
        <v>2013</v>
      </c>
      <c r="B173" s="18" t="s">
        <v>437</v>
      </c>
      <c r="C173" s="18" t="s">
        <v>438</v>
      </c>
      <c r="D173" s="19">
        <v>3062000</v>
      </c>
      <c r="E173" s="19">
        <v>0</v>
      </c>
      <c r="F173" s="19"/>
      <c r="G173" s="19">
        <v>380</v>
      </c>
      <c r="H173" s="19">
        <v>6.2</v>
      </c>
      <c r="I173" s="19" t="s">
        <v>445</v>
      </c>
      <c r="J173" s="19" t="s">
        <v>88</v>
      </c>
      <c r="K173" s="19" t="b">
        <v>0</v>
      </c>
      <c r="L173" s="15">
        <v>2021</v>
      </c>
      <c r="M173" s="16">
        <v>0.0206</v>
      </c>
      <c r="N173" s="20">
        <v>41550</v>
      </c>
      <c r="O173" s="20">
        <v>41550</v>
      </c>
    </row>
    <row r="174" spans="1:15" ht="14.25">
      <c r="A174" s="17">
        <v>2013</v>
      </c>
      <c r="B174" s="18" t="s">
        <v>437</v>
      </c>
      <c r="C174" s="18" t="s">
        <v>438</v>
      </c>
      <c r="D174" s="19">
        <v>3062000</v>
      </c>
      <c r="E174" s="19">
        <v>0</v>
      </c>
      <c r="F174" s="19"/>
      <c r="G174" s="19">
        <v>450</v>
      </c>
      <c r="H174" s="19">
        <v>9.1</v>
      </c>
      <c r="I174" s="19" t="s">
        <v>450</v>
      </c>
      <c r="J174" s="19" t="s">
        <v>93</v>
      </c>
      <c r="K174" s="19" t="b">
        <v>1</v>
      </c>
      <c r="L174" s="15">
        <v>2018</v>
      </c>
      <c r="M174" s="16">
        <v>0.0754</v>
      </c>
      <c r="N174" s="20">
        <v>41550</v>
      </c>
      <c r="O174" s="20">
        <v>41550</v>
      </c>
    </row>
    <row r="175" spans="1:15" ht="14.25">
      <c r="A175" s="17">
        <v>2013</v>
      </c>
      <c r="B175" s="18" t="s">
        <v>437</v>
      </c>
      <c r="C175" s="18" t="s">
        <v>438</v>
      </c>
      <c r="D175" s="19">
        <v>3062000</v>
      </c>
      <c r="E175" s="19">
        <v>0</v>
      </c>
      <c r="F175" s="19"/>
      <c r="G175" s="19">
        <v>480</v>
      </c>
      <c r="H175" s="19">
        <v>9.4</v>
      </c>
      <c r="I175" s="19" t="s">
        <v>446</v>
      </c>
      <c r="J175" s="19" t="s">
        <v>95</v>
      </c>
      <c r="K175" s="19" t="b">
        <v>0</v>
      </c>
      <c r="L175" s="15">
        <v>2025</v>
      </c>
      <c r="M175" s="16">
        <v>0.0226</v>
      </c>
      <c r="N175" s="20">
        <v>41550</v>
      </c>
      <c r="O175" s="20">
        <v>41550</v>
      </c>
    </row>
    <row r="176" spans="1:15" ht="14.25">
      <c r="A176" s="17">
        <v>2013</v>
      </c>
      <c r="B176" s="18" t="s">
        <v>437</v>
      </c>
      <c r="C176" s="18" t="s">
        <v>438</v>
      </c>
      <c r="D176" s="19">
        <v>3062000</v>
      </c>
      <c r="E176" s="19">
        <v>0</v>
      </c>
      <c r="F176" s="19"/>
      <c r="G176" s="19">
        <v>200</v>
      </c>
      <c r="H176" s="19">
        <v>3</v>
      </c>
      <c r="I176" s="19" t="s">
        <v>457</v>
      </c>
      <c r="J176" s="19" t="s">
        <v>21</v>
      </c>
      <c r="K176" s="19" t="b">
        <v>0</v>
      </c>
      <c r="L176" s="15">
        <v>2019</v>
      </c>
      <c r="M176" s="16">
        <v>15571200</v>
      </c>
      <c r="N176" s="20">
        <v>41550</v>
      </c>
      <c r="O176" s="20">
        <v>41550</v>
      </c>
    </row>
    <row r="177" spans="1:15" ht="14.25">
      <c r="A177" s="17">
        <v>2013</v>
      </c>
      <c r="B177" s="18" t="s">
        <v>437</v>
      </c>
      <c r="C177" s="18" t="s">
        <v>438</v>
      </c>
      <c r="D177" s="19">
        <v>3062000</v>
      </c>
      <c r="E177" s="19">
        <v>0</v>
      </c>
      <c r="F177" s="19"/>
      <c r="G177" s="19">
        <v>10</v>
      </c>
      <c r="H177" s="19">
        <v>1</v>
      </c>
      <c r="I177" s="19" t="s">
        <v>448</v>
      </c>
      <c r="J177" s="19" t="s">
        <v>24</v>
      </c>
      <c r="K177" s="19" t="b">
        <v>1</v>
      </c>
      <c r="L177" s="15">
        <v>2018</v>
      </c>
      <c r="M177" s="16">
        <v>406676072</v>
      </c>
      <c r="N177" s="20">
        <v>41550</v>
      </c>
      <c r="O177" s="20">
        <v>41550</v>
      </c>
    </row>
    <row r="178" spans="1:15" ht="14.25">
      <c r="A178" s="17">
        <v>2013</v>
      </c>
      <c r="B178" s="18" t="s">
        <v>437</v>
      </c>
      <c r="C178" s="18" t="s">
        <v>438</v>
      </c>
      <c r="D178" s="19">
        <v>3062000</v>
      </c>
      <c r="E178" s="19">
        <v>0</v>
      </c>
      <c r="F178" s="19"/>
      <c r="G178" s="19">
        <v>550</v>
      </c>
      <c r="H178" s="19">
        <v>10</v>
      </c>
      <c r="I178" s="19"/>
      <c r="J178" s="19" t="s">
        <v>106</v>
      </c>
      <c r="K178" s="19" t="b">
        <v>0</v>
      </c>
      <c r="L178" s="15">
        <v>2026</v>
      </c>
      <c r="M178" s="16">
        <v>81200</v>
      </c>
      <c r="N178" s="20">
        <v>41550</v>
      </c>
      <c r="O178" s="20">
        <v>41550</v>
      </c>
    </row>
    <row r="179" spans="1:15" ht="14.25">
      <c r="A179" s="17">
        <v>2013</v>
      </c>
      <c r="B179" s="18" t="s">
        <v>437</v>
      </c>
      <c r="C179" s="18" t="s">
        <v>438</v>
      </c>
      <c r="D179" s="19">
        <v>3062000</v>
      </c>
      <c r="E179" s="19">
        <v>0</v>
      </c>
      <c r="F179" s="19"/>
      <c r="G179" s="19">
        <v>200</v>
      </c>
      <c r="H179" s="19">
        <v>3</v>
      </c>
      <c r="I179" s="19" t="s">
        <v>457</v>
      </c>
      <c r="J179" s="19" t="s">
        <v>21</v>
      </c>
      <c r="K179" s="19" t="b">
        <v>0</v>
      </c>
      <c r="L179" s="15">
        <v>2016</v>
      </c>
      <c r="M179" s="16">
        <v>14799780</v>
      </c>
      <c r="N179" s="20">
        <v>41550</v>
      </c>
      <c r="O179" s="20">
        <v>41550</v>
      </c>
    </row>
    <row r="180" spans="1:15" ht="14.25">
      <c r="A180" s="17">
        <v>2013</v>
      </c>
      <c r="B180" s="18" t="s">
        <v>437</v>
      </c>
      <c r="C180" s="18" t="s">
        <v>438</v>
      </c>
      <c r="D180" s="19">
        <v>3062000</v>
      </c>
      <c r="E180" s="19">
        <v>0</v>
      </c>
      <c r="F180" s="19"/>
      <c r="G180" s="19">
        <v>170</v>
      </c>
      <c r="H180" s="19" t="s">
        <v>63</v>
      </c>
      <c r="I180" s="19"/>
      <c r="J180" s="19" t="s">
        <v>64</v>
      </c>
      <c r="K180" s="19" t="b">
        <v>1</v>
      </c>
      <c r="L180" s="15">
        <v>2017</v>
      </c>
      <c r="M180" s="16">
        <v>5000000</v>
      </c>
      <c r="N180" s="20">
        <v>41550</v>
      </c>
      <c r="O180" s="20">
        <v>41550</v>
      </c>
    </row>
    <row r="181" spans="1:15" ht="14.25">
      <c r="A181" s="17">
        <v>2013</v>
      </c>
      <c r="B181" s="18" t="s">
        <v>437</v>
      </c>
      <c r="C181" s="18" t="s">
        <v>438</v>
      </c>
      <c r="D181" s="19">
        <v>3062000</v>
      </c>
      <c r="E181" s="19">
        <v>0</v>
      </c>
      <c r="F181" s="19"/>
      <c r="G181" s="19">
        <v>310</v>
      </c>
      <c r="H181" s="19">
        <v>5.1</v>
      </c>
      <c r="I181" s="19"/>
      <c r="J181" s="19" t="s">
        <v>79</v>
      </c>
      <c r="K181" s="19" t="b">
        <v>1</v>
      </c>
      <c r="L181" s="15">
        <v>2018</v>
      </c>
      <c r="M181" s="16">
        <v>16071200</v>
      </c>
      <c r="N181" s="20">
        <v>41550</v>
      </c>
      <c r="O181" s="20">
        <v>41550</v>
      </c>
    </row>
    <row r="182" spans="1:15" ht="14.25">
      <c r="A182" s="17">
        <v>2013</v>
      </c>
      <c r="B182" s="18" t="s">
        <v>437</v>
      </c>
      <c r="C182" s="18" t="s">
        <v>438</v>
      </c>
      <c r="D182" s="19">
        <v>3062000</v>
      </c>
      <c r="E182" s="19">
        <v>0</v>
      </c>
      <c r="F182" s="19"/>
      <c r="G182" s="19">
        <v>390</v>
      </c>
      <c r="H182" s="19">
        <v>6.3</v>
      </c>
      <c r="I182" s="19" t="s">
        <v>442</v>
      </c>
      <c r="J182" s="19" t="s">
        <v>89</v>
      </c>
      <c r="K182" s="19" t="b">
        <v>0</v>
      </c>
      <c r="L182" s="15">
        <v>2019</v>
      </c>
      <c r="M182" s="16">
        <v>0.0992</v>
      </c>
      <c r="N182" s="20">
        <v>41550</v>
      </c>
      <c r="O182" s="20">
        <v>41550</v>
      </c>
    </row>
    <row r="183" spans="1:15" ht="14.25">
      <c r="A183" s="17">
        <v>2013</v>
      </c>
      <c r="B183" s="18" t="s">
        <v>437</v>
      </c>
      <c r="C183" s="18" t="s">
        <v>438</v>
      </c>
      <c r="D183" s="19">
        <v>3062000</v>
      </c>
      <c r="E183" s="19">
        <v>0</v>
      </c>
      <c r="F183" s="19"/>
      <c r="G183" s="19">
        <v>505</v>
      </c>
      <c r="H183" s="19" t="s">
        <v>98</v>
      </c>
      <c r="I183" s="19" t="s">
        <v>441</v>
      </c>
      <c r="J183" s="19" t="s">
        <v>99</v>
      </c>
      <c r="K183" s="19" t="b">
        <v>0</v>
      </c>
      <c r="L183" s="15">
        <v>2024</v>
      </c>
      <c r="M183" s="16">
        <v>0.1266</v>
      </c>
      <c r="N183" s="20">
        <v>41550</v>
      </c>
      <c r="O183" s="20">
        <v>41550</v>
      </c>
    </row>
    <row r="184" spans="1:15" ht="14.25">
      <c r="A184" s="17">
        <v>2013</v>
      </c>
      <c r="B184" s="18" t="s">
        <v>437</v>
      </c>
      <c r="C184" s="18" t="s">
        <v>438</v>
      </c>
      <c r="D184" s="19">
        <v>3062000</v>
      </c>
      <c r="E184" s="19">
        <v>0</v>
      </c>
      <c r="F184" s="19"/>
      <c r="G184" s="19">
        <v>430</v>
      </c>
      <c r="H184" s="19">
        <v>8.2</v>
      </c>
      <c r="I184" s="19" t="s">
        <v>447</v>
      </c>
      <c r="J184" s="19" t="s">
        <v>92</v>
      </c>
      <c r="K184" s="19" t="b">
        <v>0</v>
      </c>
      <c r="L184" s="15">
        <v>2020</v>
      </c>
      <c r="M184" s="16">
        <v>51048580</v>
      </c>
      <c r="N184" s="20">
        <v>41550</v>
      </c>
      <c r="O184" s="20">
        <v>41550</v>
      </c>
    </row>
    <row r="185" spans="1:15" ht="14.25">
      <c r="A185" s="17">
        <v>2013</v>
      </c>
      <c r="B185" s="18" t="s">
        <v>437</v>
      </c>
      <c r="C185" s="18" t="s">
        <v>438</v>
      </c>
      <c r="D185" s="19">
        <v>3062000</v>
      </c>
      <c r="E185" s="19">
        <v>0</v>
      </c>
      <c r="F185" s="19"/>
      <c r="G185" s="19">
        <v>350</v>
      </c>
      <c r="H185" s="19">
        <v>6</v>
      </c>
      <c r="I185" s="19"/>
      <c r="J185" s="19" t="s">
        <v>25</v>
      </c>
      <c r="K185" s="19" t="b">
        <v>1</v>
      </c>
      <c r="L185" s="15">
        <v>2013</v>
      </c>
      <c r="M185" s="16">
        <v>116312210.64</v>
      </c>
      <c r="N185" s="20">
        <v>41550</v>
      </c>
      <c r="O185" s="20">
        <v>41550</v>
      </c>
    </row>
    <row r="186" spans="1:15" ht="14.25">
      <c r="A186" s="17">
        <v>2013</v>
      </c>
      <c r="B186" s="18" t="s">
        <v>437</v>
      </c>
      <c r="C186" s="18" t="s">
        <v>438</v>
      </c>
      <c r="D186" s="19">
        <v>3062000</v>
      </c>
      <c r="E186" s="19">
        <v>0</v>
      </c>
      <c r="F186" s="19"/>
      <c r="G186" s="19">
        <v>620</v>
      </c>
      <c r="H186" s="19" t="s">
        <v>114</v>
      </c>
      <c r="I186" s="19"/>
      <c r="J186" s="19" t="s">
        <v>115</v>
      </c>
      <c r="K186" s="19" t="b">
        <v>1</v>
      </c>
      <c r="L186" s="15">
        <v>2014</v>
      </c>
      <c r="M186" s="16">
        <v>23060991.83</v>
      </c>
      <c r="N186" s="20">
        <v>41550</v>
      </c>
      <c r="O186" s="20">
        <v>41550</v>
      </c>
    </row>
    <row r="187" spans="1:15" ht="14.25">
      <c r="A187" s="17">
        <v>2013</v>
      </c>
      <c r="B187" s="18" t="s">
        <v>437</v>
      </c>
      <c r="C187" s="18" t="s">
        <v>438</v>
      </c>
      <c r="D187" s="19">
        <v>3062000</v>
      </c>
      <c r="E187" s="19">
        <v>0</v>
      </c>
      <c r="F187" s="19"/>
      <c r="G187" s="19">
        <v>610</v>
      </c>
      <c r="H187" s="19" t="s">
        <v>112</v>
      </c>
      <c r="I187" s="19"/>
      <c r="J187" s="19" t="s">
        <v>113</v>
      </c>
      <c r="K187" s="19" t="b">
        <v>1</v>
      </c>
      <c r="L187" s="15">
        <v>2016</v>
      </c>
      <c r="M187" s="16">
        <v>2685863</v>
      </c>
      <c r="N187" s="20">
        <v>41550</v>
      </c>
      <c r="O187" s="20">
        <v>41550</v>
      </c>
    </row>
    <row r="188" spans="1:15" ht="14.25">
      <c r="A188" s="17">
        <v>2013</v>
      </c>
      <c r="B188" s="18" t="s">
        <v>437</v>
      </c>
      <c r="C188" s="18" t="s">
        <v>438</v>
      </c>
      <c r="D188" s="19">
        <v>3062000</v>
      </c>
      <c r="E188" s="19">
        <v>0</v>
      </c>
      <c r="F188" s="19"/>
      <c r="G188" s="19">
        <v>20</v>
      </c>
      <c r="H188" s="19">
        <v>1.1</v>
      </c>
      <c r="I188" s="19"/>
      <c r="J188" s="19" t="s">
        <v>38</v>
      </c>
      <c r="K188" s="19" t="b">
        <v>1</v>
      </c>
      <c r="L188" s="15">
        <v>2022</v>
      </c>
      <c r="M188" s="16">
        <v>406676072</v>
      </c>
      <c r="N188" s="20">
        <v>41550</v>
      </c>
      <c r="O188" s="20">
        <v>41550</v>
      </c>
    </row>
    <row r="189" spans="1:15" ht="14.25">
      <c r="A189" s="17">
        <v>2013</v>
      </c>
      <c r="B189" s="18" t="s">
        <v>437</v>
      </c>
      <c r="C189" s="18" t="s">
        <v>438</v>
      </c>
      <c r="D189" s="19">
        <v>3062000</v>
      </c>
      <c r="E189" s="19">
        <v>0</v>
      </c>
      <c r="F189" s="19"/>
      <c r="G189" s="19">
        <v>450</v>
      </c>
      <c r="H189" s="19">
        <v>9.1</v>
      </c>
      <c r="I189" s="19" t="s">
        <v>450</v>
      </c>
      <c r="J189" s="19" t="s">
        <v>93</v>
      </c>
      <c r="K189" s="19" t="b">
        <v>1</v>
      </c>
      <c r="L189" s="15">
        <v>2021</v>
      </c>
      <c r="M189" s="16">
        <v>0.062</v>
      </c>
      <c r="N189" s="20">
        <v>41550</v>
      </c>
      <c r="O189" s="20">
        <v>41550</v>
      </c>
    </row>
    <row r="190" spans="1:15" ht="14.25">
      <c r="A190" s="17">
        <v>2013</v>
      </c>
      <c r="B190" s="18" t="s">
        <v>437</v>
      </c>
      <c r="C190" s="18" t="s">
        <v>438</v>
      </c>
      <c r="D190" s="19">
        <v>3062000</v>
      </c>
      <c r="E190" s="19">
        <v>0</v>
      </c>
      <c r="F190" s="19"/>
      <c r="G190" s="19">
        <v>170</v>
      </c>
      <c r="H190" s="19" t="s">
        <v>63</v>
      </c>
      <c r="I190" s="19"/>
      <c r="J190" s="19" t="s">
        <v>64</v>
      </c>
      <c r="K190" s="19" t="b">
        <v>1</v>
      </c>
      <c r="L190" s="15">
        <v>2020</v>
      </c>
      <c r="M190" s="16">
        <v>2350000</v>
      </c>
      <c r="N190" s="20">
        <v>41550</v>
      </c>
      <c r="O190" s="20">
        <v>41550</v>
      </c>
    </row>
    <row r="191" spans="1:15" ht="14.25">
      <c r="A191" s="17">
        <v>2013</v>
      </c>
      <c r="B191" s="18" t="s">
        <v>437</v>
      </c>
      <c r="C191" s="18" t="s">
        <v>438</v>
      </c>
      <c r="D191" s="19">
        <v>3062000</v>
      </c>
      <c r="E191" s="19">
        <v>0</v>
      </c>
      <c r="F191" s="19"/>
      <c r="G191" s="19">
        <v>450</v>
      </c>
      <c r="H191" s="19">
        <v>9.1</v>
      </c>
      <c r="I191" s="19" t="s">
        <v>450</v>
      </c>
      <c r="J191" s="19" t="s">
        <v>93</v>
      </c>
      <c r="K191" s="19" t="b">
        <v>1</v>
      </c>
      <c r="L191" s="15">
        <v>2027</v>
      </c>
      <c r="M191" s="16">
        <v>0.0213</v>
      </c>
      <c r="N191" s="20">
        <v>41550</v>
      </c>
      <c r="O191" s="20">
        <v>41550</v>
      </c>
    </row>
    <row r="192" spans="1:15" ht="14.25">
      <c r="A192" s="17">
        <v>2013</v>
      </c>
      <c r="B192" s="18" t="s">
        <v>437</v>
      </c>
      <c r="C192" s="18" t="s">
        <v>438</v>
      </c>
      <c r="D192" s="19">
        <v>3062000</v>
      </c>
      <c r="E192" s="19">
        <v>0</v>
      </c>
      <c r="F192" s="19"/>
      <c r="G192" s="19">
        <v>520</v>
      </c>
      <c r="H192" s="19" t="s">
        <v>101</v>
      </c>
      <c r="I192" s="19"/>
      <c r="J192" s="19" t="s">
        <v>449</v>
      </c>
      <c r="K192" s="19" t="b">
        <v>1</v>
      </c>
      <c r="L192" s="15">
        <v>2020</v>
      </c>
      <c r="M192" s="16">
        <v>0.1277</v>
      </c>
      <c r="N192" s="20">
        <v>41550</v>
      </c>
      <c r="O192" s="20">
        <v>41550</v>
      </c>
    </row>
    <row r="193" spans="1:15" ht="14.25">
      <c r="A193" s="17">
        <v>2013</v>
      </c>
      <c r="B193" s="18" t="s">
        <v>437</v>
      </c>
      <c r="C193" s="18" t="s">
        <v>438</v>
      </c>
      <c r="D193" s="19">
        <v>3062000</v>
      </c>
      <c r="E193" s="19">
        <v>0</v>
      </c>
      <c r="F193" s="19"/>
      <c r="G193" s="19">
        <v>260</v>
      </c>
      <c r="H193" s="19">
        <v>4.3</v>
      </c>
      <c r="I193" s="19"/>
      <c r="J193" s="19" t="s">
        <v>74</v>
      </c>
      <c r="K193" s="19" t="b">
        <v>1</v>
      </c>
      <c r="L193" s="15">
        <v>2014</v>
      </c>
      <c r="M193" s="16">
        <v>10000000</v>
      </c>
      <c r="N193" s="20">
        <v>41550</v>
      </c>
      <c r="O193" s="20">
        <v>41550</v>
      </c>
    </row>
    <row r="194" spans="1:15" ht="14.25">
      <c r="A194" s="17">
        <v>2013</v>
      </c>
      <c r="B194" s="18" t="s">
        <v>437</v>
      </c>
      <c r="C194" s="18" t="s">
        <v>438</v>
      </c>
      <c r="D194" s="19">
        <v>3062000</v>
      </c>
      <c r="E194" s="19">
        <v>0</v>
      </c>
      <c r="F194" s="19"/>
      <c r="G194" s="19">
        <v>640</v>
      </c>
      <c r="H194" s="19">
        <v>11.5</v>
      </c>
      <c r="I194" s="19"/>
      <c r="J194" s="19" t="s">
        <v>117</v>
      </c>
      <c r="K194" s="19" t="b">
        <v>1</v>
      </c>
      <c r="L194" s="15">
        <v>2017</v>
      </c>
      <c r="M194" s="16">
        <v>30000000</v>
      </c>
      <c r="N194" s="20">
        <v>41550</v>
      </c>
      <c r="O194" s="20">
        <v>41550</v>
      </c>
    </row>
    <row r="195" spans="1:15" ht="14.25">
      <c r="A195" s="17">
        <v>2013</v>
      </c>
      <c r="B195" s="18" t="s">
        <v>437</v>
      </c>
      <c r="C195" s="18" t="s">
        <v>438</v>
      </c>
      <c r="D195" s="19">
        <v>3062000</v>
      </c>
      <c r="E195" s="19">
        <v>0</v>
      </c>
      <c r="F195" s="19"/>
      <c r="G195" s="19">
        <v>480</v>
      </c>
      <c r="H195" s="19">
        <v>9.4</v>
      </c>
      <c r="I195" s="19" t="s">
        <v>446</v>
      </c>
      <c r="J195" s="19" t="s">
        <v>95</v>
      </c>
      <c r="K195" s="19" t="b">
        <v>0</v>
      </c>
      <c r="L195" s="15">
        <v>2024</v>
      </c>
      <c r="M195" s="16">
        <v>0.0233</v>
      </c>
      <c r="N195" s="20">
        <v>41550</v>
      </c>
      <c r="O195" s="20">
        <v>41550</v>
      </c>
    </row>
    <row r="196" spans="1:15" ht="14.25">
      <c r="A196" s="17">
        <v>2013</v>
      </c>
      <c r="B196" s="18" t="s">
        <v>437</v>
      </c>
      <c r="C196" s="18" t="s">
        <v>438</v>
      </c>
      <c r="D196" s="19">
        <v>3062000</v>
      </c>
      <c r="E196" s="19">
        <v>0</v>
      </c>
      <c r="F196" s="19"/>
      <c r="G196" s="19">
        <v>550</v>
      </c>
      <c r="H196" s="19">
        <v>10</v>
      </c>
      <c r="I196" s="19"/>
      <c r="J196" s="19" t="s">
        <v>106</v>
      </c>
      <c r="K196" s="19" t="b">
        <v>0</v>
      </c>
      <c r="L196" s="15">
        <v>2018</v>
      </c>
      <c r="M196" s="16">
        <v>16071200</v>
      </c>
      <c r="N196" s="20">
        <v>41550</v>
      </c>
      <c r="O196" s="20">
        <v>41550</v>
      </c>
    </row>
    <row r="197" spans="1:15" ht="14.25">
      <c r="A197" s="17">
        <v>2013</v>
      </c>
      <c r="B197" s="18" t="s">
        <v>437</v>
      </c>
      <c r="C197" s="18" t="s">
        <v>438</v>
      </c>
      <c r="D197" s="19">
        <v>3062000</v>
      </c>
      <c r="E197" s="19">
        <v>0</v>
      </c>
      <c r="F197" s="19"/>
      <c r="G197" s="19">
        <v>420</v>
      </c>
      <c r="H197" s="19">
        <v>8.1</v>
      </c>
      <c r="I197" s="19" t="s">
        <v>440</v>
      </c>
      <c r="J197" s="19" t="s">
        <v>91</v>
      </c>
      <c r="K197" s="19" t="b">
        <v>0</v>
      </c>
      <c r="L197" s="15">
        <v>2017</v>
      </c>
      <c r="M197" s="16">
        <v>52168580</v>
      </c>
      <c r="N197" s="20">
        <v>41550</v>
      </c>
      <c r="O197" s="20">
        <v>41550</v>
      </c>
    </row>
    <row r="198" spans="1:15" ht="14.25">
      <c r="A198" s="17">
        <v>2013</v>
      </c>
      <c r="B198" s="18" t="s">
        <v>437</v>
      </c>
      <c r="C198" s="18" t="s">
        <v>438</v>
      </c>
      <c r="D198" s="19">
        <v>3062000</v>
      </c>
      <c r="E198" s="19">
        <v>0</v>
      </c>
      <c r="F198" s="19"/>
      <c r="G198" s="19">
        <v>300</v>
      </c>
      <c r="H198" s="19">
        <v>5</v>
      </c>
      <c r="I198" s="19" t="s">
        <v>455</v>
      </c>
      <c r="J198" s="19" t="s">
        <v>78</v>
      </c>
      <c r="K198" s="19" t="b">
        <v>0</v>
      </c>
      <c r="L198" s="15">
        <v>2014</v>
      </c>
      <c r="M198" s="16">
        <v>13364524.92</v>
      </c>
      <c r="N198" s="20">
        <v>41550</v>
      </c>
      <c r="O198" s="20">
        <v>41550</v>
      </c>
    </row>
    <row r="199" spans="1:15" ht="14.25">
      <c r="A199" s="17">
        <v>2013</v>
      </c>
      <c r="B199" s="18" t="s">
        <v>437</v>
      </c>
      <c r="C199" s="18" t="s">
        <v>438</v>
      </c>
      <c r="D199" s="19">
        <v>3062000</v>
      </c>
      <c r="E199" s="19">
        <v>0</v>
      </c>
      <c r="F199" s="19"/>
      <c r="G199" s="19">
        <v>140</v>
      </c>
      <c r="H199" s="19" t="s">
        <v>57</v>
      </c>
      <c r="I199" s="19"/>
      <c r="J199" s="19" t="s">
        <v>58</v>
      </c>
      <c r="K199" s="19" t="b">
        <v>1</v>
      </c>
      <c r="L199" s="15">
        <v>2024</v>
      </c>
      <c r="M199" s="16">
        <v>9251753.76</v>
      </c>
      <c r="N199" s="20">
        <v>41550</v>
      </c>
      <c r="O199" s="20">
        <v>41550</v>
      </c>
    </row>
    <row r="200" spans="1:15" ht="14.25">
      <c r="A200" s="17">
        <v>2013</v>
      </c>
      <c r="B200" s="18" t="s">
        <v>437</v>
      </c>
      <c r="C200" s="18" t="s">
        <v>438</v>
      </c>
      <c r="D200" s="19">
        <v>3062000</v>
      </c>
      <c r="E200" s="19">
        <v>0</v>
      </c>
      <c r="F200" s="19"/>
      <c r="G200" s="19">
        <v>470</v>
      </c>
      <c r="H200" s="19">
        <v>9.3</v>
      </c>
      <c r="I200" s="19" t="s">
        <v>450</v>
      </c>
      <c r="J200" s="19" t="s">
        <v>451</v>
      </c>
      <c r="K200" s="19" t="b">
        <v>1</v>
      </c>
      <c r="L200" s="15">
        <v>2025</v>
      </c>
      <c r="M200" s="16">
        <v>0.0226</v>
      </c>
      <c r="N200" s="20">
        <v>41550</v>
      </c>
      <c r="O200" s="20">
        <v>41550</v>
      </c>
    </row>
    <row r="201" spans="1:15" ht="14.25">
      <c r="A201" s="17">
        <v>2013</v>
      </c>
      <c r="B201" s="18" t="s">
        <v>437</v>
      </c>
      <c r="C201" s="18" t="s">
        <v>438</v>
      </c>
      <c r="D201" s="19">
        <v>3062000</v>
      </c>
      <c r="E201" s="19">
        <v>0</v>
      </c>
      <c r="F201" s="19"/>
      <c r="G201" s="19">
        <v>20</v>
      </c>
      <c r="H201" s="19">
        <v>1.1</v>
      </c>
      <c r="I201" s="19"/>
      <c r="J201" s="19" t="s">
        <v>38</v>
      </c>
      <c r="K201" s="19" t="b">
        <v>1</v>
      </c>
      <c r="L201" s="15">
        <v>2015</v>
      </c>
      <c r="M201" s="16">
        <v>392010500</v>
      </c>
      <c r="N201" s="20">
        <v>41550</v>
      </c>
      <c r="O201" s="20">
        <v>41550</v>
      </c>
    </row>
    <row r="202" spans="1:15" ht="14.25">
      <c r="A202" s="17">
        <v>2013</v>
      </c>
      <c r="B202" s="18" t="s">
        <v>437</v>
      </c>
      <c r="C202" s="18" t="s">
        <v>438</v>
      </c>
      <c r="D202" s="19">
        <v>3062000</v>
      </c>
      <c r="E202" s="19">
        <v>0</v>
      </c>
      <c r="F202" s="19"/>
      <c r="G202" s="19">
        <v>530</v>
      </c>
      <c r="H202" s="19">
        <v>9.8</v>
      </c>
      <c r="I202" s="19" t="s">
        <v>444</v>
      </c>
      <c r="J202" s="19" t="s">
        <v>103</v>
      </c>
      <c r="K202" s="19" t="b">
        <v>0</v>
      </c>
      <c r="L202" s="15">
        <v>2019</v>
      </c>
      <c r="M202" s="16">
        <v>534</v>
      </c>
      <c r="N202" s="20">
        <v>41550</v>
      </c>
      <c r="O202" s="20">
        <v>41550</v>
      </c>
    </row>
    <row r="203" spans="1:15" ht="14.25">
      <c r="A203" s="17">
        <v>2013</v>
      </c>
      <c r="B203" s="18" t="s">
        <v>437</v>
      </c>
      <c r="C203" s="18" t="s">
        <v>438</v>
      </c>
      <c r="D203" s="19">
        <v>3062000</v>
      </c>
      <c r="E203" s="19">
        <v>0</v>
      </c>
      <c r="F203" s="19"/>
      <c r="G203" s="19">
        <v>700</v>
      </c>
      <c r="H203" s="19">
        <v>12.2</v>
      </c>
      <c r="I203" s="19"/>
      <c r="J203" s="19" t="s">
        <v>125</v>
      </c>
      <c r="K203" s="19" t="b">
        <v>0</v>
      </c>
      <c r="L203" s="15">
        <v>2013</v>
      </c>
      <c r="M203" s="16">
        <v>2497896.86</v>
      </c>
      <c r="N203" s="20">
        <v>41550</v>
      </c>
      <c r="O203" s="20">
        <v>41550</v>
      </c>
    </row>
    <row r="204" spans="1:15" ht="14.25">
      <c r="A204" s="17">
        <v>2013</v>
      </c>
      <c r="B204" s="18" t="s">
        <v>437</v>
      </c>
      <c r="C204" s="18" t="s">
        <v>438</v>
      </c>
      <c r="D204" s="19">
        <v>3062000</v>
      </c>
      <c r="E204" s="19">
        <v>0</v>
      </c>
      <c r="F204" s="19"/>
      <c r="G204" s="19">
        <v>190</v>
      </c>
      <c r="H204" s="19">
        <v>2.2</v>
      </c>
      <c r="I204" s="19"/>
      <c r="J204" s="19" t="s">
        <v>67</v>
      </c>
      <c r="K204" s="19" t="b">
        <v>0</v>
      </c>
      <c r="L204" s="15">
        <v>2017</v>
      </c>
      <c r="M204" s="16">
        <v>34368800</v>
      </c>
      <c r="N204" s="20">
        <v>41550</v>
      </c>
      <c r="O204" s="20">
        <v>41550</v>
      </c>
    </row>
    <row r="205" spans="1:15" ht="14.25">
      <c r="A205" s="17">
        <v>2013</v>
      </c>
      <c r="B205" s="18" t="s">
        <v>437</v>
      </c>
      <c r="C205" s="18" t="s">
        <v>438</v>
      </c>
      <c r="D205" s="19">
        <v>3062000</v>
      </c>
      <c r="E205" s="19">
        <v>0</v>
      </c>
      <c r="F205" s="19"/>
      <c r="G205" s="19">
        <v>550</v>
      </c>
      <c r="H205" s="19">
        <v>10</v>
      </c>
      <c r="I205" s="19"/>
      <c r="J205" s="19" t="s">
        <v>106</v>
      </c>
      <c r="K205" s="19" t="b">
        <v>0</v>
      </c>
      <c r="L205" s="15">
        <v>2017</v>
      </c>
      <c r="M205" s="16">
        <v>18799780</v>
      </c>
      <c r="N205" s="20">
        <v>41550</v>
      </c>
      <c r="O205" s="20">
        <v>41550</v>
      </c>
    </row>
    <row r="206" spans="1:15" ht="14.25">
      <c r="A206" s="17">
        <v>2013</v>
      </c>
      <c r="B206" s="18" t="s">
        <v>437</v>
      </c>
      <c r="C206" s="18" t="s">
        <v>438</v>
      </c>
      <c r="D206" s="19">
        <v>3062000</v>
      </c>
      <c r="E206" s="19">
        <v>0</v>
      </c>
      <c r="F206" s="19"/>
      <c r="G206" s="19">
        <v>480</v>
      </c>
      <c r="H206" s="19">
        <v>9.4</v>
      </c>
      <c r="I206" s="19" t="s">
        <v>446</v>
      </c>
      <c r="J206" s="19" t="s">
        <v>95</v>
      </c>
      <c r="K206" s="19" t="b">
        <v>0</v>
      </c>
      <c r="L206" s="15">
        <v>2023</v>
      </c>
      <c r="M206" s="16">
        <v>0.0253</v>
      </c>
      <c r="N206" s="20">
        <v>41550</v>
      </c>
      <c r="O206" s="20">
        <v>41550</v>
      </c>
    </row>
    <row r="207" spans="1:15" ht="14.25">
      <c r="A207" s="17">
        <v>2013</v>
      </c>
      <c r="B207" s="18" t="s">
        <v>437</v>
      </c>
      <c r="C207" s="18" t="s">
        <v>438</v>
      </c>
      <c r="D207" s="19">
        <v>3062000</v>
      </c>
      <c r="E207" s="19">
        <v>0</v>
      </c>
      <c r="F207" s="19"/>
      <c r="G207" s="19">
        <v>420</v>
      </c>
      <c r="H207" s="19">
        <v>8.1</v>
      </c>
      <c r="I207" s="19" t="s">
        <v>440</v>
      </c>
      <c r="J207" s="19" t="s">
        <v>91</v>
      </c>
      <c r="K207" s="19" t="b">
        <v>0</v>
      </c>
      <c r="L207" s="15">
        <v>2021</v>
      </c>
      <c r="M207" s="16">
        <v>51168580</v>
      </c>
      <c r="N207" s="20">
        <v>41550</v>
      </c>
      <c r="O207" s="20">
        <v>41550</v>
      </c>
    </row>
    <row r="208" spans="1:15" ht="14.25">
      <c r="A208" s="17">
        <v>2013</v>
      </c>
      <c r="B208" s="18" t="s">
        <v>437</v>
      </c>
      <c r="C208" s="18" t="s">
        <v>438</v>
      </c>
      <c r="D208" s="19">
        <v>3062000</v>
      </c>
      <c r="E208" s="19">
        <v>0</v>
      </c>
      <c r="F208" s="19"/>
      <c r="G208" s="19">
        <v>40</v>
      </c>
      <c r="H208" s="19" t="s">
        <v>41</v>
      </c>
      <c r="I208" s="19"/>
      <c r="J208" s="19" t="s">
        <v>42</v>
      </c>
      <c r="K208" s="19" t="b">
        <v>1</v>
      </c>
      <c r="L208" s="15">
        <v>2017</v>
      </c>
      <c r="M208" s="16">
        <v>9615760</v>
      </c>
      <c r="N208" s="20">
        <v>41550</v>
      </c>
      <c r="O208" s="20">
        <v>41550</v>
      </c>
    </row>
    <row r="209" spans="1:15" ht="14.25">
      <c r="A209" s="17">
        <v>2013</v>
      </c>
      <c r="B209" s="18" t="s">
        <v>437</v>
      </c>
      <c r="C209" s="18" t="s">
        <v>438</v>
      </c>
      <c r="D209" s="19">
        <v>3062000</v>
      </c>
      <c r="E209" s="19">
        <v>0</v>
      </c>
      <c r="F209" s="19"/>
      <c r="G209" s="19">
        <v>20</v>
      </c>
      <c r="H209" s="19">
        <v>1.1</v>
      </c>
      <c r="I209" s="19"/>
      <c r="J209" s="19" t="s">
        <v>38</v>
      </c>
      <c r="K209" s="19" t="b">
        <v>1</v>
      </c>
      <c r="L209" s="15">
        <v>2023</v>
      </c>
      <c r="M209" s="16">
        <v>406676072</v>
      </c>
      <c r="N209" s="20">
        <v>41550</v>
      </c>
      <c r="O209" s="20">
        <v>41550</v>
      </c>
    </row>
    <row r="210" spans="1:15" ht="14.25">
      <c r="A210" s="17">
        <v>2013</v>
      </c>
      <c r="B210" s="18" t="s">
        <v>437</v>
      </c>
      <c r="C210" s="18" t="s">
        <v>438</v>
      </c>
      <c r="D210" s="19">
        <v>3062000</v>
      </c>
      <c r="E210" s="19">
        <v>0</v>
      </c>
      <c r="F210" s="19"/>
      <c r="G210" s="19">
        <v>310</v>
      </c>
      <c r="H210" s="19">
        <v>5.1</v>
      </c>
      <c r="I210" s="19"/>
      <c r="J210" s="19" t="s">
        <v>79</v>
      </c>
      <c r="K210" s="19" t="b">
        <v>1</v>
      </c>
      <c r="L210" s="15">
        <v>2019</v>
      </c>
      <c r="M210" s="16">
        <v>15571200</v>
      </c>
      <c r="N210" s="20">
        <v>41550</v>
      </c>
      <c r="O210" s="20">
        <v>41550</v>
      </c>
    </row>
    <row r="211" spans="1:15" ht="14.25">
      <c r="A211" s="17">
        <v>2013</v>
      </c>
      <c r="B211" s="18" t="s">
        <v>437</v>
      </c>
      <c r="C211" s="18" t="s">
        <v>438</v>
      </c>
      <c r="D211" s="19">
        <v>3062000</v>
      </c>
      <c r="E211" s="19">
        <v>0</v>
      </c>
      <c r="F211" s="19"/>
      <c r="G211" s="19">
        <v>120</v>
      </c>
      <c r="H211" s="19">
        <v>2</v>
      </c>
      <c r="I211" s="19" t="s">
        <v>443</v>
      </c>
      <c r="J211" s="19" t="s">
        <v>19</v>
      </c>
      <c r="K211" s="19" t="b">
        <v>0</v>
      </c>
      <c r="L211" s="15">
        <v>2014</v>
      </c>
      <c r="M211" s="16">
        <v>379440475.08</v>
      </c>
      <c r="N211" s="20">
        <v>41550</v>
      </c>
      <c r="O211" s="20">
        <v>41550</v>
      </c>
    </row>
    <row r="212" spans="1:15" ht="14.25">
      <c r="A212" s="17">
        <v>2013</v>
      </c>
      <c r="B212" s="18" t="s">
        <v>437</v>
      </c>
      <c r="C212" s="18" t="s">
        <v>438</v>
      </c>
      <c r="D212" s="19">
        <v>3062000</v>
      </c>
      <c r="E212" s="19">
        <v>0</v>
      </c>
      <c r="F212" s="19"/>
      <c r="G212" s="19">
        <v>530</v>
      </c>
      <c r="H212" s="19">
        <v>9.8</v>
      </c>
      <c r="I212" s="19" t="s">
        <v>444</v>
      </c>
      <c r="J212" s="19" t="s">
        <v>103</v>
      </c>
      <c r="K212" s="19" t="b">
        <v>0</v>
      </c>
      <c r="L212" s="15">
        <v>2024</v>
      </c>
      <c r="M212" s="16">
        <v>1028</v>
      </c>
      <c r="N212" s="20">
        <v>41550</v>
      </c>
      <c r="O212" s="20">
        <v>41550</v>
      </c>
    </row>
    <row r="213" spans="1:15" ht="14.25">
      <c r="A213" s="17">
        <v>2013</v>
      </c>
      <c r="B213" s="18" t="s">
        <v>437</v>
      </c>
      <c r="C213" s="18" t="s">
        <v>438</v>
      </c>
      <c r="D213" s="19">
        <v>3062000</v>
      </c>
      <c r="E213" s="19">
        <v>0</v>
      </c>
      <c r="F213" s="19"/>
      <c r="G213" s="19">
        <v>170</v>
      </c>
      <c r="H213" s="19" t="s">
        <v>63</v>
      </c>
      <c r="I213" s="19"/>
      <c r="J213" s="19" t="s">
        <v>64</v>
      </c>
      <c r="K213" s="19" t="b">
        <v>1</v>
      </c>
      <c r="L213" s="15">
        <v>2018</v>
      </c>
      <c r="M213" s="16">
        <v>4000000</v>
      </c>
      <c r="N213" s="20">
        <v>41550</v>
      </c>
      <c r="O213" s="20">
        <v>41550</v>
      </c>
    </row>
    <row r="214" spans="1:15" ht="14.25">
      <c r="A214" s="17">
        <v>2013</v>
      </c>
      <c r="B214" s="18" t="s">
        <v>437</v>
      </c>
      <c r="C214" s="18" t="s">
        <v>438</v>
      </c>
      <c r="D214" s="19">
        <v>3062000</v>
      </c>
      <c r="E214" s="19">
        <v>0</v>
      </c>
      <c r="F214" s="19"/>
      <c r="G214" s="19">
        <v>380</v>
      </c>
      <c r="H214" s="19">
        <v>6.2</v>
      </c>
      <c r="I214" s="19" t="s">
        <v>445</v>
      </c>
      <c r="J214" s="19" t="s">
        <v>88</v>
      </c>
      <c r="K214" s="19" t="b">
        <v>0</v>
      </c>
      <c r="L214" s="15">
        <v>2014</v>
      </c>
      <c r="M214" s="16">
        <v>0.2951</v>
      </c>
      <c r="N214" s="20">
        <v>41550</v>
      </c>
      <c r="O214" s="20">
        <v>41550</v>
      </c>
    </row>
    <row r="215" spans="1:15" ht="14.25">
      <c r="A215" s="17">
        <v>2013</v>
      </c>
      <c r="B215" s="18" t="s">
        <v>437</v>
      </c>
      <c r="C215" s="18" t="s">
        <v>438</v>
      </c>
      <c r="D215" s="19">
        <v>3062000</v>
      </c>
      <c r="E215" s="19">
        <v>0</v>
      </c>
      <c r="F215" s="19"/>
      <c r="G215" s="19">
        <v>540</v>
      </c>
      <c r="H215" s="19" t="s">
        <v>104</v>
      </c>
      <c r="I215" s="19" t="s">
        <v>453</v>
      </c>
      <c r="J215" s="19" t="s">
        <v>105</v>
      </c>
      <c r="K215" s="19" t="b">
        <v>0</v>
      </c>
      <c r="L215" s="15">
        <v>2018</v>
      </c>
      <c r="M215" s="16">
        <v>402</v>
      </c>
      <c r="N215" s="20">
        <v>41550</v>
      </c>
      <c r="O215" s="20">
        <v>41550</v>
      </c>
    </row>
    <row r="216" spans="1:15" ht="14.25">
      <c r="A216" s="17">
        <v>2013</v>
      </c>
      <c r="B216" s="18" t="s">
        <v>437</v>
      </c>
      <c r="C216" s="18" t="s">
        <v>438</v>
      </c>
      <c r="D216" s="19">
        <v>3062000</v>
      </c>
      <c r="E216" s="19">
        <v>0</v>
      </c>
      <c r="F216" s="19"/>
      <c r="G216" s="19">
        <v>480</v>
      </c>
      <c r="H216" s="19">
        <v>9.4</v>
      </c>
      <c r="I216" s="19" t="s">
        <v>446</v>
      </c>
      <c r="J216" s="19" t="s">
        <v>95</v>
      </c>
      <c r="K216" s="19" t="b">
        <v>0</v>
      </c>
      <c r="L216" s="15">
        <v>2020</v>
      </c>
      <c r="M216" s="16">
        <v>0.075</v>
      </c>
      <c r="N216" s="20">
        <v>41550</v>
      </c>
      <c r="O216" s="20">
        <v>41550</v>
      </c>
    </row>
    <row r="217" spans="1:15" ht="14.25">
      <c r="A217" s="17">
        <v>2013</v>
      </c>
      <c r="B217" s="18" t="s">
        <v>437</v>
      </c>
      <c r="C217" s="18" t="s">
        <v>438</v>
      </c>
      <c r="D217" s="19">
        <v>3062000</v>
      </c>
      <c r="E217" s="19">
        <v>0</v>
      </c>
      <c r="F217" s="19"/>
      <c r="G217" s="19">
        <v>130</v>
      </c>
      <c r="H217" s="19">
        <v>2.1</v>
      </c>
      <c r="I217" s="19"/>
      <c r="J217" s="19" t="s">
        <v>56</v>
      </c>
      <c r="K217" s="19" t="b">
        <v>1</v>
      </c>
      <c r="L217" s="15">
        <v>2025</v>
      </c>
      <c r="M217" s="16">
        <v>355207492</v>
      </c>
      <c r="N217" s="20">
        <v>41550</v>
      </c>
      <c r="O217" s="20">
        <v>41550</v>
      </c>
    </row>
    <row r="218" spans="1:15" ht="14.25">
      <c r="A218" s="17">
        <v>2013</v>
      </c>
      <c r="B218" s="18" t="s">
        <v>437</v>
      </c>
      <c r="C218" s="18" t="s">
        <v>438</v>
      </c>
      <c r="D218" s="19">
        <v>3062000</v>
      </c>
      <c r="E218" s="19">
        <v>0</v>
      </c>
      <c r="F218" s="19"/>
      <c r="G218" s="19">
        <v>540</v>
      </c>
      <c r="H218" s="19" t="s">
        <v>104</v>
      </c>
      <c r="I218" s="19" t="s">
        <v>453</v>
      </c>
      <c r="J218" s="19" t="s">
        <v>105</v>
      </c>
      <c r="K218" s="19" t="b">
        <v>0</v>
      </c>
      <c r="L218" s="15">
        <v>2013</v>
      </c>
      <c r="M218" s="16">
        <v>-204</v>
      </c>
      <c r="N218" s="20">
        <v>41550</v>
      </c>
      <c r="O218" s="20">
        <v>41550</v>
      </c>
    </row>
    <row r="219" spans="1:15" ht="14.25">
      <c r="A219" s="17">
        <v>2013</v>
      </c>
      <c r="B219" s="18" t="s">
        <v>437</v>
      </c>
      <c r="C219" s="18" t="s">
        <v>438</v>
      </c>
      <c r="D219" s="19">
        <v>3062000</v>
      </c>
      <c r="E219" s="19">
        <v>0</v>
      </c>
      <c r="F219" s="19"/>
      <c r="G219" s="19">
        <v>350</v>
      </c>
      <c r="H219" s="19">
        <v>6</v>
      </c>
      <c r="I219" s="19"/>
      <c r="J219" s="19" t="s">
        <v>25</v>
      </c>
      <c r="K219" s="19" t="b">
        <v>1</v>
      </c>
      <c r="L219" s="15">
        <v>2024</v>
      </c>
      <c r="M219" s="16">
        <v>210000</v>
      </c>
      <c r="N219" s="20">
        <v>41550</v>
      </c>
      <c r="O219" s="20">
        <v>41550</v>
      </c>
    </row>
    <row r="220" spans="1:15" ht="14.25">
      <c r="A220" s="17">
        <v>2013</v>
      </c>
      <c r="B220" s="18" t="s">
        <v>437</v>
      </c>
      <c r="C220" s="18" t="s">
        <v>438</v>
      </c>
      <c r="D220" s="19">
        <v>3062000</v>
      </c>
      <c r="E220" s="19">
        <v>0</v>
      </c>
      <c r="F220" s="19"/>
      <c r="G220" s="19">
        <v>450</v>
      </c>
      <c r="H220" s="19">
        <v>9.1</v>
      </c>
      <c r="I220" s="19" t="s">
        <v>450</v>
      </c>
      <c r="J220" s="19" t="s">
        <v>93</v>
      </c>
      <c r="K220" s="19" t="b">
        <v>1</v>
      </c>
      <c r="L220" s="15">
        <v>2024</v>
      </c>
      <c r="M220" s="16">
        <v>0.0233</v>
      </c>
      <c r="N220" s="20">
        <v>41550</v>
      </c>
      <c r="O220" s="20">
        <v>41550</v>
      </c>
    </row>
    <row r="221" spans="1:15" ht="14.25">
      <c r="A221" s="17">
        <v>2013</v>
      </c>
      <c r="B221" s="18" t="s">
        <v>437</v>
      </c>
      <c r="C221" s="18" t="s">
        <v>438</v>
      </c>
      <c r="D221" s="19">
        <v>3062000</v>
      </c>
      <c r="E221" s="19">
        <v>0</v>
      </c>
      <c r="F221" s="19"/>
      <c r="G221" s="19">
        <v>530</v>
      </c>
      <c r="H221" s="19">
        <v>9.8</v>
      </c>
      <c r="I221" s="19" t="s">
        <v>444</v>
      </c>
      <c r="J221" s="19" t="s">
        <v>103</v>
      </c>
      <c r="K221" s="19" t="b">
        <v>0</v>
      </c>
      <c r="L221" s="15">
        <v>2025</v>
      </c>
      <c r="M221" s="16">
        <v>1038</v>
      </c>
      <c r="N221" s="20">
        <v>41550</v>
      </c>
      <c r="O221" s="20">
        <v>41550</v>
      </c>
    </row>
    <row r="222" spans="1:15" ht="14.25">
      <c r="A222" s="17">
        <v>2013</v>
      </c>
      <c r="B222" s="18" t="s">
        <v>437</v>
      </c>
      <c r="C222" s="18" t="s">
        <v>438</v>
      </c>
      <c r="D222" s="19">
        <v>3062000</v>
      </c>
      <c r="E222" s="19">
        <v>0</v>
      </c>
      <c r="F222" s="19"/>
      <c r="G222" s="19">
        <v>200</v>
      </c>
      <c r="H222" s="19">
        <v>3</v>
      </c>
      <c r="I222" s="19" t="s">
        <v>457</v>
      </c>
      <c r="J222" s="19" t="s">
        <v>21</v>
      </c>
      <c r="K222" s="19" t="b">
        <v>0</v>
      </c>
      <c r="L222" s="15">
        <v>2015</v>
      </c>
      <c r="M222" s="16">
        <v>7367725.72</v>
      </c>
      <c r="N222" s="20">
        <v>41550</v>
      </c>
      <c r="O222" s="20">
        <v>41550</v>
      </c>
    </row>
    <row r="223" spans="1:15" ht="14.25">
      <c r="A223" s="17">
        <v>2013</v>
      </c>
      <c r="B223" s="18" t="s">
        <v>437</v>
      </c>
      <c r="C223" s="18" t="s">
        <v>438</v>
      </c>
      <c r="D223" s="19">
        <v>3062000</v>
      </c>
      <c r="E223" s="19">
        <v>0</v>
      </c>
      <c r="F223" s="19"/>
      <c r="G223" s="19">
        <v>430</v>
      </c>
      <c r="H223" s="19">
        <v>8.2</v>
      </c>
      <c r="I223" s="19" t="s">
        <v>447</v>
      </c>
      <c r="J223" s="19" t="s">
        <v>92</v>
      </c>
      <c r="K223" s="19" t="b">
        <v>0</v>
      </c>
      <c r="L223" s="15">
        <v>2016</v>
      </c>
      <c r="M223" s="16">
        <v>46368580</v>
      </c>
      <c r="N223" s="20">
        <v>41550</v>
      </c>
      <c r="O223" s="20">
        <v>41550</v>
      </c>
    </row>
    <row r="224" spans="1:15" ht="14.25">
      <c r="A224" s="17">
        <v>2013</v>
      </c>
      <c r="B224" s="18" t="s">
        <v>437</v>
      </c>
      <c r="C224" s="18" t="s">
        <v>438</v>
      </c>
      <c r="D224" s="19">
        <v>3062000</v>
      </c>
      <c r="E224" s="19">
        <v>0</v>
      </c>
      <c r="F224" s="19"/>
      <c r="G224" s="19">
        <v>590</v>
      </c>
      <c r="H224" s="19">
        <v>11.2</v>
      </c>
      <c r="I224" s="19"/>
      <c r="J224" s="19" t="s">
        <v>110</v>
      </c>
      <c r="K224" s="19" t="b">
        <v>1</v>
      </c>
      <c r="L224" s="15">
        <v>2016</v>
      </c>
      <c r="M224" s="16">
        <v>29820010</v>
      </c>
      <c r="N224" s="20">
        <v>41550</v>
      </c>
      <c r="O224" s="20">
        <v>41550</v>
      </c>
    </row>
    <row r="225" spans="1:15" ht="14.25">
      <c r="A225" s="17">
        <v>2013</v>
      </c>
      <c r="B225" s="18" t="s">
        <v>437</v>
      </c>
      <c r="C225" s="18" t="s">
        <v>438</v>
      </c>
      <c r="D225" s="19">
        <v>3062000</v>
      </c>
      <c r="E225" s="19">
        <v>0</v>
      </c>
      <c r="F225" s="19"/>
      <c r="G225" s="19">
        <v>190</v>
      </c>
      <c r="H225" s="19">
        <v>2.2</v>
      </c>
      <c r="I225" s="19"/>
      <c r="J225" s="19" t="s">
        <v>67</v>
      </c>
      <c r="K225" s="19" t="b">
        <v>0</v>
      </c>
      <c r="L225" s="15">
        <v>2024</v>
      </c>
      <c r="M225" s="16">
        <v>51387380</v>
      </c>
      <c r="N225" s="20">
        <v>41550</v>
      </c>
      <c r="O225" s="20">
        <v>41550</v>
      </c>
    </row>
    <row r="226" spans="1:15" ht="14.25">
      <c r="A226" s="17">
        <v>2013</v>
      </c>
      <c r="B226" s="18" t="s">
        <v>437</v>
      </c>
      <c r="C226" s="18" t="s">
        <v>438</v>
      </c>
      <c r="D226" s="19">
        <v>3062000</v>
      </c>
      <c r="E226" s="19">
        <v>0</v>
      </c>
      <c r="F226" s="19"/>
      <c r="G226" s="19">
        <v>20</v>
      </c>
      <c r="H226" s="19">
        <v>1.1</v>
      </c>
      <c r="I226" s="19"/>
      <c r="J226" s="19" t="s">
        <v>38</v>
      </c>
      <c r="K226" s="19" t="b">
        <v>1</v>
      </c>
      <c r="L226" s="15">
        <v>2025</v>
      </c>
      <c r="M226" s="16">
        <v>406676072</v>
      </c>
      <c r="N226" s="20">
        <v>41550</v>
      </c>
      <c r="O226" s="20">
        <v>41550</v>
      </c>
    </row>
    <row r="227" spans="1:15" ht="14.25">
      <c r="A227" s="17">
        <v>2013</v>
      </c>
      <c r="B227" s="18" t="s">
        <v>437</v>
      </c>
      <c r="C227" s="18" t="s">
        <v>438</v>
      </c>
      <c r="D227" s="19">
        <v>3062000</v>
      </c>
      <c r="E227" s="19">
        <v>0</v>
      </c>
      <c r="F227" s="19"/>
      <c r="G227" s="19">
        <v>60</v>
      </c>
      <c r="H227" s="19" t="s">
        <v>45</v>
      </c>
      <c r="I227" s="19"/>
      <c r="J227" s="19" t="s">
        <v>46</v>
      </c>
      <c r="K227" s="19" t="b">
        <v>1</v>
      </c>
      <c r="L227" s="15">
        <v>2017</v>
      </c>
      <c r="M227" s="16">
        <v>65075900</v>
      </c>
      <c r="N227" s="20">
        <v>41550</v>
      </c>
      <c r="O227" s="20">
        <v>41550</v>
      </c>
    </row>
    <row r="228" spans="1:15" ht="14.25">
      <c r="A228" s="17">
        <v>2013</v>
      </c>
      <c r="B228" s="18" t="s">
        <v>437</v>
      </c>
      <c r="C228" s="18" t="s">
        <v>438</v>
      </c>
      <c r="D228" s="19">
        <v>3062000</v>
      </c>
      <c r="E228" s="19">
        <v>0</v>
      </c>
      <c r="F228" s="19"/>
      <c r="G228" s="19">
        <v>20</v>
      </c>
      <c r="H228" s="19">
        <v>1.1</v>
      </c>
      <c r="I228" s="19"/>
      <c r="J228" s="19" t="s">
        <v>38</v>
      </c>
      <c r="K228" s="19" t="b">
        <v>1</v>
      </c>
      <c r="L228" s="15">
        <v>2024</v>
      </c>
      <c r="M228" s="16">
        <v>406676072</v>
      </c>
      <c r="N228" s="20">
        <v>41550</v>
      </c>
      <c r="O228" s="20">
        <v>41550</v>
      </c>
    </row>
    <row r="229" spans="1:15" ht="14.25">
      <c r="A229" s="17">
        <v>2013</v>
      </c>
      <c r="B229" s="18" t="s">
        <v>437</v>
      </c>
      <c r="C229" s="18" t="s">
        <v>438</v>
      </c>
      <c r="D229" s="19">
        <v>3062000</v>
      </c>
      <c r="E229" s="19">
        <v>0</v>
      </c>
      <c r="F229" s="19"/>
      <c r="G229" s="19">
        <v>450</v>
      </c>
      <c r="H229" s="19">
        <v>9.1</v>
      </c>
      <c r="I229" s="19" t="s">
        <v>450</v>
      </c>
      <c r="J229" s="19" t="s">
        <v>93</v>
      </c>
      <c r="K229" s="19" t="b">
        <v>1</v>
      </c>
      <c r="L229" s="15">
        <v>2019</v>
      </c>
      <c r="M229" s="16">
        <v>0.0717</v>
      </c>
      <c r="N229" s="20">
        <v>41550</v>
      </c>
      <c r="O229" s="20">
        <v>41550</v>
      </c>
    </row>
    <row r="230" spans="1:15" ht="14.25">
      <c r="A230" s="17">
        <v>2013</v>
      </c>
      <c r="B230" s="18" t="s">
        <v>437</v>
      </c>
      <c r="C230" s="18" t="s">
        <v>438</v>
      </c>
      <c r="D230" s="19">
        <v>3062000</v>
      </c>
      <c r="E230" s="19">
        <v>0</v>
      </c>
      <c r="F230" s="19"/>
      <c r="G230" s="19">
        <v>420</v>
      </c>
      <c r="H230" s="19">
        <v>8.1</v>
      </c>
      <c r="I230" s="19" t="s">
        <v>440</v>
      </c>
      <c r="J230" s="19" t="s">
        <v>91</v>
      </c>
      <c r="K230" s="19" t="b">
        <v>0</v>
      </c>
      <c r="L230" s="15">
        <v>2020</v>
      </c>
      <c r="M230" s="16">
        <v>51048580</v>
      </c>
      <c r="N230" s="20">
        <v>41550</v>
      </c>
      <c r="O230" s="20">
        <v>41550</v>
      </c>
    </row>
    <row r="231" spans="1:15" ht="14.25">
      <c r="A231" s="17">
        <v>2013</v>
      </c>
      <c r="B231" s="18" t="s">
        <v>437</v>
      </c>
      <c r="C231" s="18" t="s">
        <v>438</v>
      </c>
      <c r="D231" s="19">
        <v>3062000</v>
      </c>
      <c r="E231" s="19">
        <v>0</v>
      </c>
      <c r="F231" s="19"/>
      <c r="G231" s="19">
        <v>420</v>
      </c>
      <c r="H231" s="19">
        <v>8.1</v>
      </c>
      <c r="I231" s="19" t="s">
        <v>440</v>
      </c>
      <c r="J231" s="19" t="s">
        <v>91</v>
      </c>
      <c r="K231" s="19" t="b">
        <v>0</v>
      </c>
      <c r="L231" s="15">
        <v>2023</v>
      </c>
      <c r="M231" s="16">
        <v>51468580</v>
      </c>
      <c r="N231" s="20">
        <v>41550</v>
      </c>
      <c r="O231" s="20">
        <v>41550</v>
      </c>
    </row>
    <row r="232" spans="1:15" ht="14.25">
      <c r="A232" s="17">
        <v>2013</v>
      </c>
      <c r="B232" s="18" t="s">
        <v>437</v>
      </c>
      <c r="C232" s="18" t="s">
        <v>438</v>
      </c>
      <c r="D232" s="19">
        <v>3062000</v>
      </c>
      <c r="E232" s="19">
        <v>0</v>
      </c>
      <c r="F232" s="19"/>
      <c r="G232" s="19">
        <v>170</v>
      </c>
      <c r="H232" s="19" t="s">
        <v>63</v>
      </c>
      <c r="I232" s="19"/>
      <c r="J232" s="19" t="s">
        <v>64</v>
      </c>
      <c r="K232" s="19" t="b">
        <v>1</v>
      </c>
      <c r="L232" s="15">
        <v>2015</v>
      </c>
      <c r="M232" s="16">
        <v>6230000</v>
      </c>
      <c r="N232" s="20">
        <v>41550</v>
      </c>
      <c r="O232" s="20">
        <v>41550</v>
      </c>
    </row>
    <row r="233" spans="1:15" ht="14.25">
      <c r="A233" s="17">
        <v>2013</v>
      </c>
      <c r="B233" s="18" t="s">
        <v>437</v>
      </c>
      <c r="C233" s="18" t="s">
        <v>438</v>
      </c>
      <c r="D233" s="19">
        <v>3062000</v>
      </c>
      <c r="E233" s="19">
        <v>0</v>
      </c>
      <c r="F233" s="19"/>
      <c r="G233" s="19">
        <v>30</v>
      </c>
      <c r="H233" s="19" t="s">
        <v>39</v>
      </c>
      <c r="I233" s="19"/>
      <c r="J233" s="19" t="s">
        <v>40</v>
      </c>
      <c r="K233" s="19" t="b">
        <v>1</v>
      </c>
      <c r="L233" s="15">
        <v>2015</v>
      </c>
      <c r="M233" s="16">
        <v>81860500</v>
      </c>
      <c r="N233" s="20">
        <v>41550</v>
      </c>
      <c r="O233" s="20">
        <v>41550</v>
      </c>
    </row>
    <row r="234" spans="1:15" ht="14.25">
      <c r="A234" s="17">
        <v>2013</v>
      </c>
      <c r="B234" s="18" t="s">
        <v>437</v>
      </c>
      <c r="C234" s="18" t="s">
        <v>438</v>
      </c>
      <c r="D234" s="19">
        <v>3062000</v>
      </c>
      <c r="E234" s="19">
        <v>0</v>
      </c>
      <c r="F234" s="19"/>
      <c r="G234" s="19">
        <v>420</v>
      </c>
      <c r="H234" s="19">
        <v>8.1</v>
      </c>
      <c r="I234" s="19" t="s">
        <v>440</v>
      </c>
      <c r="J234" s="19" t="s">
        <v>91</v>
      </c>
      <c r="K234" s="19" t="b">
        <v>0</v>
      </c>
      <c r="L234" s="15">
        <v>2018</v>
      </c>
      <c r="M234" s="16">
        <v>51668580</v>
      </c>
      <c r="N234" s="20">
        <v>41550</v>
      </c>
      <c r="O234" s="20">
        <v>41550</v>
      </c>
    </row>
    <row r="235" spans="1:15" ht="14.25">
      <c r="A235" s="17">
        <v>2013</v>
      </c>
      <c r="B235" s="18" t="s">
        <v>437</v>
      </c>
      <c r="C235" s="18" t="s">
        <v>438</v>
      </c>
      <c r="D235" s="19">
        <v>3062000</v>
      </c>
      <c r="E235" s="19">
        <v>0</v>
      </c>
      <c r="F235" s="19"/>
      <c r="G235" s="19">
        <v>170</v>
      </c>
      <c r="H235" s="19" t="s">
        <v>63</v>
      </c>
      <c r="I235" s="19"/>
      <c r="J235" s="19" t="s">
        <v>64</v>
      </c>
      <c r="K235" s="19" t="b">
        <v>1</v>
      </c>
      <c r="L235" s="15">
        <v>2025</v>
      </c>
      <c r="M235" s="16">
        <v>100000</v>
      </c>
      <c r="N235" s="20">
        <v>41550</v>
      </c>
      <c r="O235" s="20">
        <v>41550</v>
      </c>
    </row>
    <row r="236" spans="1:15" ht="14.25">
      <c r="A236" s="17">
        <v>2013</v>
      </c>
      <c r="B236" s="18" t="s">
        <v>437</v>
      </c>
      <c r="C236" s="18" t="s">
        <v>438</v>
      </c>
      <c r="D236" s="19">
        <v>3062000</v>
      </c>
      <c r="E236" s="19">
        <v>0</v>
      </c>
      <c r="F236" s="19"/>
      <c r="G236" s="19">
        <v>470</v>
      </c>
      <c r="H236" s="19">
        <v>9.3</v>
      </c>
      <c r="I236" s="19" t="s">
        <v>450</v>
      </c>
      <c r="J236" s="19" t="s">
        <v>451</v>
      </c>
      <c r="K236" s="19" t="b">
        <v>1</v>
      </c>
      <c r="L236" s="15">
        <v>2024</v>
      </c>
      <c r="M236" s="16">
        <v>0.0233</v>
      </c>
      <c r="N236" s="20">
        <v>41550</v>
      </c>
      <c r="O236" s="20">
        <v>41550</v>
      </c>
    </row>
    <row r="237" spans="1:15" ht="14.25">
      <c r="A237" s="17">
        <v>2013</v>
      </c>
      <c r="B237" s="18" t="s">
        <v>437</v>
      </c>
      <c r="C237" s="18" t="s">
        <v>438</v>
      </c>
      <c r="D237" s="19">
        <v>3062000</v>
      </c>
      <c r="E237" s="19">
        <v>0</v>
      </c>
      <c r="F237" s="19"/>
      <c r="G237" s="19">
        <v>120</v>
      </c>
      <c r="H237" s="19">
        <v>2</v>
      </c>
      <c r="I237" s="19" t="s">
        <v>443</v>
      </c>
      <c r="J237" s="19" t="s">
        <v>19</v>
      </c>
      <c r="K237" s="19" t="b">
        <v>0</v>
      </c>
      <c r="L237" s="15">
        <v>2016</v>
      </c>
      <c r="M237" s="16">
        <v>387076292</v>
      </c>
      <c r="N237" s="20">
        <v>41550</v>
      </c>
      <c r="O237" s="20">
        <v>41550</v>
      </c>
    </row>
    <row r="238" spans="1:15" ht="14.25">
      <c r="A238" s="17">
        <v>2013</v>
      </c>
      <c r="B238" s="18" t="s">
        <v>437</v>
      </c>
      <c r="C238" s="18" t="s">
        <v>438</v>
      </c>
      <c r="D238" s="19">
        <v>3062000</v>
      </c>
      <c r="E238" s="19">
        <v>0</v>
      </c>
      <c r="F238" s="19"/>
      <c r="G238" s="19">
        <v>550</v>
      </c>
      <c r="H238" s="19">
        <v>10</v>
      </c>
      <c r="I238" s="19"/>
      <c r="J238" s="19" t="s">
        <v>106</v>
      </c>
      <c r="K238" s="19" t="b">
        <v>0</v>
      </c>
      <c r="L238" s="15">
        <v>2016</v>
      </c>
      <c r="M238" s="16">
        <v>14799780</v>
      </c>
      <c r="N238" s="20">
        <v>41550</v>
      </c>
      <c r="O238" s="20">
        <v>41550</v>
      </c>
    </row>
    <row r="239" spans="1:15" ht="14.25">
      <c r="A239" s="17">
        <v>2013</v>
      </c>
      <c r="B239" s="18" t="s">
        <v>437</v>
      </c>
      <c r="C239" s="18" t="s">
        <v>438</v>
      </c>
      <c r="D239" s="19">
        <v>3062000</v>
      </c>
      <c r="E239" s="19">
        <v>0</v>
      </c>
      <c r="F239" s="19"/>
      <c r="G239" s="19">
        <v>70</v>
      </c>
      <c r="H239" s="19" t="s">
        <v>47</v>
      </c>
      <c r="I239" s="19"/>
      <c r="J239" s="19" t="s">
        <v>48</v>
      </c>
      <c r="K239" s="19" t="b">
        <v>1</v>
      </c>
      <c r="L239" s="15">
        <v>2016</v>
      </c>
      <c r="M239" s="16">
        <v>125611900</v>
      </c>
      <c r="N239" s="20">
        <v>41550</v>
      </c>
      <c r="O239" s="20">
        <v>41550</v>
      </c>
    </row>
    <row r="240" spans="1:15" ht="14.25">
      <c r="A240" s="17">
        <v>2013</v>
      </c>
      <c r="B240" s="18" t="s">
        <v>437</v>
      </c>
      <c r="C240" s="18" t="s">
        <v>438</v>
      </c>
      <c r="D240" s="19">
        <v>3062000</v>
      </c>
      <c r="E240" s="19">
        <v>0</v>
      </c>
      <c r="F240" s="19"/>
      <c r="G240" s="19">
        <v>20</v>
      </c>
      <c r="H240" s="19">
        <v>1.1</v>
      </c>
      <c r="I240" s="19"/>
      <c r="J240" s="19" t="s">
        <v>38</v>
      </c>
      <c r="K240" s="19" t="b">
        <v>1</v>
      </c>
      <c r="L240" s="15">
        <v>2018</v>
      </c>
      <c r="M240" s="16">
        <v>406676072</v>
      </c>
      <c r="N240" s="20">
        <v>41550</v>
      </c>
      <c r="O240" s="20">
        <v>41550</v>
      </c>
    </row>
    <row r="241" spans="1:15" ht="14.25">
      <c r="A241" s="17">
        <v>2013</v>
      </c>
      <c r="B241" s="18" t="s">
        <v>437</v>
      </c>
      <c r="C241" s="18" t="s">
        <v>438</v>
      </c>
      <c r="D241" s="19">
        <v>3062000</v>
      </c>
      <c r="E241" s="19">
        <v>0</v>
      </c>
      <c r="F241" s="19"/>
      <c r="G241" s="19">
        <v>20</v>
      </c>
      <c r="H241" s="19">
        <v>1.1</v>
      </c>
      <c r="I241" s="19"/>
      <c r="J241" s="19" t="s">
        <v>38</v>
      </c>
      <c r="K241" s="19" t="b">
        <v>1</v>
      </c>
      <c r="L241" s="15">
        <v>2014</v>
      </c>
      <c r="M241" s="16">
        <v>381005000</v>
      </c>
      <c r="N241" s="20">
        <v>41550</v>
      </c>
      <c r="O241" s="20">
        <v>41550</v>
      </c>
    </row>
    <row r="242" spans="1:15" ht="14.25">
      <c r="A242" s="17">
        <v>2013</v>
      </c>
      <c r="B242" s="18" t="s">
        <v>437</v>
      </c>
      <c r="C242" s="18" t="s">
        <v>438</v>
      </c>
      <c r="D242" s="19">
        <v>3062000</v>
      </c>
      <c r="E242" s="19">
        <v>0</v>
      </c>
      <c r="F242" s="19"/>
      <c r="G242" s="19">
        <v>20</v>
      </c>
      <c r="H242" s="19">
        <v>1.1</v>
      </c>
      <c r="I242" s="19"/>
      <c r="J242" s="19" t="s">
        <v>38</v>
      </c>
      <c r="K242" s="19" t="b">
        <v>1</v>
      </c>
      <c r="L242" s="15">
        <v>2017</v>
      </c>
      <c r="M242" s="16">
        <v>406676072</v>
      </c>
      <c r="N242" s="20">
        <v>41550</v>
      </c>
      <c r="O242" s="20">
        <v>41550</v>
      </c>
    </row>
    <row r="243" spans="1:15" ht="14.25">
      <c r="A243" s="17">
        <v>2013</v>
      </c>
      <c r="B243" s="18" t="s">
        <v>437</v>
      </c>
      <c r="C243" s="18" t="s">
        <v>438</v>
      </c>
      <c r="D243" s="19">
        <v>3062000</v>
      </c>
      <c r="E243" s="19">
        <v>0</v>
      </c>
      <c r="F243" s="19"/>
      <c r="G243" s="19">
        <v>200</v>
      </c>
      <c r="H243" s="19">
        <v>3</v>
      </c>
      <c r="I243" s="19" t="s">
        <v>457</v>
      </c>
      <c r="J243" s="19" t="s">
        <v>21</v>
      </c>
      <c r="K243" s="19" t="b">
        <v>0</v>
      </c>
      <c r="L243" s="15">
        <v>2025</v>
      </c>
      <c r="M243" s="16">
        <v>81200</v>
      </c>
      <c r="N243" s="20">
        <v>41550</v>
      </c>
      <c r="O243" s="20">
        <v>41550</v>
      </c>
    </row>
    <row r="244" spans="1:15" ht="14.25">
      <c r="A244" s="17">
        <v>2013</v>
      </c>
      <c r="B244" s="18" t="s">
        <v>437</v>
      </c>
      <c r="C244" s="18" t="s">
        <v>438</v>
      </c>
      <c r="D244" s="19">
        <v>3062000</v>
      </c>
      <c r="E244" s="19">
        <v>0</v>
      </c>
      <c r="F244" s="19"/>
      <c r="G244" s="19">
        <v>480</v>
      </c>
      <c r="H244" s="19">
        <v>9.4</v>
      </c>
      <c r="I244" s="19" t="s">
        <v>446</v>
      </c>
      <c r="J244" s="19" t="s">
        <v>95</v>
      </c>
      <c r="K244" s="19" t="b">
        <v>0</v>
      </c>
      <c r="L244" s="15">
        <v>2016</v>
      </c>
      <c r="M244" s="16">
        <v>0.0511</v>
      </c>
      <c r="N244" s="20">
        <v>41550</v>
      </c>
      <c r="O244" s="20">
        <v>41550</v>
      </c>
    </row>
    <row r="245" spans="1:15" ht="14.25">
      <c r="A245" s="17">
        <v>2013</v>
      </c>
      <c r="B245" s="18" t="s">
        <v>437</v>
      </c>
      <c r="C245" s="18" t="s">
        <v>438</v>
      </c>
      <c r="D245" s="19">
        <v>3062000</v>
      </c>
      <c r="E245" s="19">
        <v>0</v>
      </c>
      <c r="F245" s="19"/>
      <c r="G245" s="19">
        <v>630</v>
      </c>
      <c r="H245" s="19">
        <v>11.4</v>
      </c>
      <c r="I245" s="19"/>
      <c r="J245" s="19" t="s">
        <v>116</v>
      </c>
      <c r="K245" s="19" t="b">
        <v>1</v>
      </c>
      <c r="L245" s="15">
        <v>2014</v>
      </c>
      <c r="M245" s="16">
        <v>5560000</v>
      </c>
      <c r="N245" s="20">
        <v>41550</v>
      </c>
      <c r="O245" s="20">
        <v>41550</v>
      </c>
    </row>
    <row r="246" spans="1:15" ht="14.25">
      <c r="A246" s="17">
        <v>2013</v>
      </c>
      <c r="B246" s="18" t="s">
        <v>437</v>
      </c>
      <c r="C246" s="18" t="s">
        <v>438</v>
      </c>
      <c r="D246" s="19">
        <v>3062000</v>
      </c>
      <c r="E246" s="19">
        <v>0</v>
      </c>
      <c r="F246" s="19"/>
      <c r="G246" s="19">
        <v>505</v>
      </c>
      <c r="H246" s="19" t="s">
        <v>98</v>
      </c>
      <c r="I246" s="19" t="s">
        <v>441</v>
      </c>
      <c r="J246" s="19" t="s">
        <v>99</v>
      </c>
      <c r="K246" s="19" t="b">
        <v>0</v>
      </c>
      <c r="L246" s="15">
        <v>2013</v>
      </c>
      <c r="M246" s="16">
        <v>0.0574</v>
      </c>
      <c r="N246" s="20">
        <v>41550</v>
      </c>
      <c r="O246" s="20">
        <v>41550</v>
      </c>
    </row>
    <row r="247" spans="1:15" ht="14.25">
      <c r="A247" s="17">
        <v>2013</v>
      </c>
      <c r="B247" s="18" t="s">
        <v>437</v>
      </c>
      <c r="C247" s="18" t="s">
        <v>438</v>
      </c>
      <c r="D247" s="19">
        <v>3062000</v>
      </c>
      <c r="E247" s="19">
        <v>0</v>
      </c>
      <c r="F247" s="19"/>
      <c r="G247" s="19">
        <v>10</v>
      </c>
      <c r="H247" s="19">
        <v>1</v>
      </c>
      <c r="I247" s="19" t="s">
        <v>448</v>
      </c>
      <c r="J247" s="19" t="s">
        <v>24</v>
      </c>
      <c r="K247" s="19" t="b">
        <v>1</v>
      </c>
      <c r="L247" s="15">
        <v>2017</v>
      </c>
      <c r="M247" s="16">
        <v>407676072</v>
      </c>
      <c r="N247" s="20">
        <v>41550</v>
      </c>
      <c r="O247" s="20">
        <v>41550</v>
      </c>
    </row>
    <row r="248" spans="1:15" ht="14.25">
      <c r="A248" s="17">
        <v>2013</v>
      </c>
      <c r="B248" s="18" t="s">
        <v>437</v>
      </c>
      <c r="C248" s="18" t="s">
        <v>438</v>
      </c>
      <c r="D248" s="19">
        <v>3062000</v>
      </c>
      <c r="E248" s="19">
        <v>0</v>
      </c>
      <c r="F248" s="19"/>
      <c r="G248" s="19">
        <v>310</v>
      </c>
      <c r="H248" s="19">
        <v>5.1</v>
      </c>
      <c r="I248" s="19"/>
      <c r="J248" s="19" t="s">
        <v>79</v>
      </c>
      <c r="K248" s="19" t="b">
        <v>1</v>
      </c>
      <c r="L248" s="15">
        <v>2027</v>
      </c>
      <c r="M248" s="16">
        <v>47600</v>
      </c>
      <c r="N248" s="20">
        <v>41550</v>
      </c>
      <c r="O248" s="20">
        <v>41550</v>
      </c>
    </row>
    <row r="249" spans="1:15" ht="14.25">
      <c r="A249" s="17">
        <v>2013</v>
      </c>
      <c r="B249" s="18" t="s">
        <v>437</v>
      </c>
      <c r="C249" s="18" t="s">
        <v>438</v>
      </c>
      <c r="D249" s="19">
        <v>3062000</v>
      </c>
      <c r="E249" s="19">
        <v>0</v>
      </c>
      <c r="F249" s="19"/>
      <c r="G249" s="19">
        <v>460</v>
      </c>
      <c r="H249" s="19">
        <v>9.2</v>
      </c>
      <c r="I249" s="19" t="s">
        <v>446</v>
      </c>
      <c r="J249" s="19" t="s">
        <v>94</v>
      </c>
      <c r="K249" s="19" t="b">
        <v>0</v>
      </c>
      <c r="L249" s="15">
        <v>2015</v>
      </c>
      <c r="M249" s="16">
        <v>0.0599</v>
      </c>
      <c r="N249" s="20">
        <v>41550</v>
      </c>
      <c r="O249" s="20">
        <v>41550</v>
      </c>
    </row>
    <row r="250" spans="1:15" ht="14.25">
      <c r="A250" s="17">
        <v>2013</v>
      </c>
      <c r="B250" s="18" t="s">
        <v>437</v>
      </c>
      <c r="C250" s="18" t="s">
        <v>438</v>
      </c>
      <c r="D250" s="19">
        <v>3062000</v>
      </c>
      <c r="E250" s="19">
        <v>0</v>
      </c>
      <c r="F250" s="19"/>
      <c r="G250" s="19">
        <v>200</v>
      </c>
      <c r="H250" s="19">
        <v>3</v>
      </c>
      <c r="I250" s="19" t="s">
        <v>457</v>
      </c>
      <c r="J250" s="19" t="s">
        <v>21</v>
      </c>
      <c r="K250" s="19" t="b">
        <v>0</v>
      </c>
      <c r="L250" s="15">
        <v>2026</v>
      </c>
      <c r="M250" s="16">
        <v>81200</v>
      </c>
      <c r="N250" s="20">
        <v>41550</v>
      </c>
      <c r="O250" s="20">
        <v>41550</v>
      </c>
    </row>
    <row r="251" spans="1:15" ht="14.25">
      <c r="A251" s="17">
        <v>2013</v>
      </c>
      <c r="B251" s="18" t="s">
        <v>437</v>
      </c>
      <c r="C251" s="18" t="s">
        <v>438</v>
      </c>
      <c r="D251" s="19">
        <v>3062000</v>
      </c>
      <c r="E251" s="19">
        <v>0</v>
      </c>
      <c r="F251" s="19"/>
      <c r="G251" s="19">
        <v>130</v>
      </c>
      <c r="H251" s="19">
        <v>2.1</v>
      </c>
      <c r="I251" s="19"/>
      <c r="J251" s="19" t="s">
        <v>56</v>
      </c>
      <c r="K251" s="19" t="b">
        <v>1</v>
      </c>
      <c r="L251" s="15">
        <v>2024</v>
      </c>
      <c r="M251" s="16">
        <v>355207492</v>
      </c>
      <c r="N251" s="20">
        <v>41550</v>
      </c>
      <c r="O251" s="20">
        <v>41550</v>
      </c>
    </row>
    <row r="252" spans="1:15" ht="14.25">
      <c r="A252" s="17">
        <v>2013</v>
      </c>
      <c r="B252" s="18" t="s">
        <v>437</v>
      </c>
      <c r="C252" s="18" t="s">
        <v>438</v>
      </c>
      <c r="D252" s="19">
        <v>3062000</v>
      </c>
      <c r="E252" s="19">
        <v>0</v>
      </c>
      <c r="F252" s="19"/>
      <c r="G252" s="19">
        <v>580</v>
      </c>
      <c r="H252" s="19">
        <v>11.1</v>
      </c>
      <c r="I252" s="19"/>
      <c r="J252" s="19" t="s">
        <v>109</v>
      </c>
      <c r="K252" s="19" t="b">
        <v>0</v>
      </c>
      <c r="L252" s="15">
        <v>2014</v>
      </c>
      <c r="M252" s="16">
        <v>182750000</v>
      </c>
      <c r="N252" s="20">
        <v>41550</v>
      </c>
      <c r="O252" s="20">
        <v>41550</v>
      </c>
    </row>
    <row r="253" spans="1:15" ht="14.25">
      <c r="A253" s="17">
        <v>2013</v>
      </c>
      <c r="B253" s="18" t="s">
        <v>437</v>
      </c>
      <c r="C253" s="18" t="s">
        <v>438</v>
      </c>
      <c r="D253" s="19">
        <v>3062000</v>
      </c>
      <c r="E253" s="19">
        <v>0</v>
      </c>
      <c r="F253" s="19"/>
      <c r="G253" s="19">
        <v>520</v>
      </c>
      <c r="H253" s="19" t="s">
        <v>101</v>
      </c>
      <c r="I253" s="19"/>
      <c r="J253" s="19" t="s">
        <v>449</v>
      </c>
      <c r="K253" s="19" t="b">
        <v>1</v>
      </c>
      <c r="L253" s="15">
        <v>2019</v>
      </c>
      <c r="M253" s="16">
        <v>0.1251</v>
      </c>
      <c r="N253" s="20">
        <v>41550</v>
      </c>
      <c r="O253" s="20">
        <v>41550</v>
      </c>
    </row>
    <row r="254" spans="1:15" ht="14.25">
      <c r="A254" s="17">
        <v>2013</v>
      </c>
      <c r="B254" s="18" t="s">
        <v>437</v>
      </c>
      <c r="C254" s="18" t="s">
        <v>438</v>
      </c>
      <c r="D254" s="19">
        <v>3062000</v>
      </c>
      <c r="E254" s="19">
        <v>0</v>
      </c>
      <c r="F254" s="19"/>
      <c r="G254" s="19">
        <v>650</v>
      </c>
      <c r="H254" s="19">
        <v>11.6</v>
      </c>
      <c r="I254" s="19"/>
      <c r="J254" s="19" t="s">
        <v>118</v>
      </c>
      <c r="K254" s="19" t="b">
        <v>1</v>
      </c>
      <c r="L254" s="15">
        <v>2013</v>
      </c>
      <c r="M254" s="16">
        <v>2438000</v>
      </c>
      <c r="N254" s="20">
        <v>41550</v>
      </c>
      <c r="O254" s="20">
        <v>41550</v>
      </c>
    </row>
    <row r="255" spans="1:15" ht="14.25">
      <c r="A255" s="17">
        <v>2013</v>
      </c>
      <c r="B255" s="18" t="s">
        <v>437</v>
      </c>
      <c r="C255" s="18" t="s">
        <v>438</v>
      </c>
      <c r="D255" s="19">
        <v>3062000</v>
      </c>
      <c r="E255" s="19">
        <v>0</v>
      </c>
      <c r="F255" s="19"/>
      <c r="G255" s="19">
        <v>510</v>
      </c>
      <c r="H255" s="19">
        <v>9.7</v>
      </c>
      <c r="I255" s="19"/>
      <c r="J255" s="19" t="s">
        <v>452</v>
      </c>
      <c r="K255" s="19" t="b">
        <v>1</v>
      </c>
      <c r="L255" s="15">
        <v>2019</v>
      </c>
      <c r="M255" s="16">
        <v>0.1251</v>
      </c>
      <c r="N255" s="20">
        <v>41550</v>
      </c>
      <c r="O255" s="20">
        <v>41550</v>
      </c>
    </row>
    <row r="256" spans="1:15" ht="14.25">
      <c r="A256" s="17">
        <v>2013</v>
      </c>
      <c r="B256" s="18" t="s">
        <v>437</v>
      </c>
      <c r="C256" s="18" t="s">
        <v>438</v>
      </c>
      <c r="D256" s="19">
        <v>3062000</v>
      </c>
      <c r="E256" s="19">
        <v>0</v>
      </c>
      <c r="F256" s="19"/>
      <c r="G256" s="19">
        <v>450</v>
      </c>
      <c r="H256" s="19">
        <v>9.1</v>
      </c>
      <c r="I256" s="19" t="s">
        <v>450</v>
      </c>
      <c r="J256" s="19" t="s">
        <v>93</v>
      </c>
      <c r="K256" s="19" t="b">
        <v>1</v>
      </c>
      <c r="L256" s="15">
        <v>2026</v>
      </c>
      <c r="M256" s="16">
        <v>0.0221</v>
      </c>
      <c r="N256" s="20">
        <v>41550</v>
      </c>
      <c r="O256" s="20">
        <v>41550</v>
      </c>
    </row>
    <row r="257" spans="1:15" ht="14.25">
      <c r="A257" s="17">
        <v>2013</v>
      </c>
      <c r="B257" s="18" t="s">
        <v>437</v>
      </c>
      <c r="C257" s="18" t="s">
        <v>438</v>
      </c>
      <c r="D257" s="19">
        <v>3062000</v>
      </c>
      <c r="E257" s="19">
        <v>0</v>
      </c>
      <c r="F257" s="19"/>
      <c r="G257" s="19">
        <v>500</v>
      </c>
      <c r="H257" s="19">
        <v>9.6</v>
      </c>
      <c r="I257" s="19" t="s">
        <v>454</v>
      </c>
      <c r="J257" s="19" t="s">
        <v>97</v>
      </c>
      <c r="K257" s="19" t="b">
        <v>0</v>
      </c>
      <c r="L257" s="15">
        <v>2021</v>
      </c>
      <c r="M257" s="16">
        <v>0.062</v>
      </c>
      <c r="N257" s="20">
        <v>41550</v>
      </c>
      <c r="O257" s="20">
        <v>41550</v>
      </c>
    </row>
    <row r="258" spans="1:15" ht="14.25">
      <c r="A258" s="17">
        <v>2013</v>
      </c>
      <c r="B258" s="18" t="s">
        <v>437</v>
      </c>
      <c r="C258" s="18" t="s">
        <v>438</v>
      </c>
      <c r="D258" s="19">
        <v>3062000</v>
      </c>
      <c r="E258" s="19">
        <v>0</v>
      </c>
      <c r="F258" s="19"/>
      <c r="G258" s="19">
        <v>450</v>
      </c>
      <c r="H258" s="19">
        <v>9.1</v>
      </c>
      <c r="I258" s="19" t="s">
        <v>450</v>
      </c>
      <c r="J258" s="19" t="s">
        <v>93</v>
      </c>
      <c r="K258" s="19" t="b">
        <v>1</v>
      </c>
      <c r="L258" s="15">
        <v>2025</v>
      </c>
      <c r="M258" s="16">
        <v>0.0226</v>
      </c>
      <c r="N258" s="20">
        <v>41550</v>
      </c>
      <c r="O258" s="20">
        <v>41550</v>
      </c>
    </row>
    <row r="259" spans="1:15" ht="14.25">
      <c r="A259" s="17">
        <v>2013</v>
      </c>
      <c r="B259" s="18" t="s">
        <v>437</v>
      </c>
      <c r="C259" s="18" t="s">
        <v>438</v>
      </c>
      <c r="D259" s="19">
        <v>3062000</v>
      </c>
      <c r="E259" s="19">
        <v>0</v>
      </c>
      <c r="F259" s="19"/>
      <c r="G259" s="19">
        <v>430</v>
      </c>
      <c r="H259" s="19">
        <v>8.2</v>
      </c>
      <c r="I259" s="19" t="s">
        <v>447</v>
      </c>
      <c r="J259" s="19" t="s">
        <v>92</v>
      </c>
      <c r="K259" s="19" t="b">
        <v>0</v>
      </c>
      <c r="L259" s="15">
        <v>2023</v>
      </c>
      <c r="M259" s="16">
        <v>51468580</v>
      </c>
      <c r="N259" s="20">
        <v>41550</v>
      </c>
      <c r="O259" s="20">
        <v>41550</v>
      </c>
    </row>
    <row r="260" spans="1:15" ht="14.25">
      <c r="A260" s="17">
        <v>2013</v>
      </c>
      <c r="B260" s="18" t="s">
        <v>437</v>
      </c>
      <c r="C260" s="18" t="s">
        <v>438</v>
      </c>
      <c r="D260" s="19">
        <v>3062000</v>
      </c>
      <c r="E260" s="19">
        <v>0</v>
      </c>
      <c r="F260" s="19"/>
      <c r="G260" s="19">
        <v>460</v>
      </c>
      <c r="H260" s="19">
        <v>9.2</v>
      </c>
      <c r="I260" s="19" t="s">
        <v>446</v>
      </c>
      <c r="J260" s="19" t="s">
        <v>94</v>
      </c>
      <c r="K260" s="19" t="b">
        <v>0</v>
      </c>
      <c r="L260" s="15">
        <v>2016</v>
      </c>
      <c r="M260" s="16">
        <v>0.0511</v>
      </c>
      <c r="N260" s="20">
        <v>41550</v>
      </c>
      <c r="O260" s="20">
        <v>41550</v>
      </c>
    </row>
    <row r="261" spans="1:15" ht="14.25">
      <c r="A261" s="17">
        <v>2013</v>
      </c>
      <c r="B261" s="18" t="s">
        <v>437</v>
      </c>
      <c r="C261" s="18" t="s">
        <v>438</v>
      </c>
      <c r="D261" s="19">
        <v>3062000</v>
      </c>
      <c r="E261" s="19">
        <v>0</v>
      </c>
      <c r="F261" s="19"/>
      <c r="G261" s="19">
        <v>10</v>
      </c>
      <c r="H261" s="19">
        <v>1</v>
      </c>
      <c r="I261" s="19" t="s">
        <v>448</v>
      </c>
      <c r="J261" s="19" t="s">
        <v>24</v>
      </c>
      <c r="K261" s="19" t="b">
        <v>1</v>
      </c>
      <c r="L261" s="15">
        <v>2021</v>
      </c>
      <c r="M261" s="16">
        <v>406676072</v>
      </c>
      <c r="N261" s="20">
        <v>41550</v>
      </c>
      <c r="O261" s="20">
        <v>41550</v>
      </c>
    </row>
    <row r="262" spans="1:15" ht="14.25">
      <c r="A262" s="17">
        <v>2013</v>
      </c>
      <c r="B262" s="18" t="s">
        <v>437</v>
      </c>
      <c r="C262" s="18" t="s">
        <v>438</v>
      </c>
      <c r="D262" s="19">
        <v>3062000</v>
      </c>
      <c r="E262" s="19">
        <v>0</v>
      </c>
      <c r="F262" s="19"/>
      <c r="G262" s="19">
        <v>30</v>
      </c>
      <c r="H262" s="19" t="s">
        <v>39</v>
      </c>
      <c r="I262" s="19"/>
      <c r="J262" s="19" t="s">
        <v>40</v>
      </c>
      <c r="K262" s="19" t="b">
        <v>1</v>
      </c>
      <c r="L262" s="15">
        <v>2017</v>
      </c>
      <c r="M262" s="16">
        <v>89110400</v>
      </c>
      <c r="N262" s="20">
        <v>41550</v>
      </c>
      <c r="O262" s="20">
        <v>41550</v>
      </c>
    </row>
    <row r="263" spans="1:15" ht="14.25">
      <c r="A263" s="17">
        <v>2013</v>
      </c>
      <c r="B263" s="18" t="s">
        <v>437</v>
      </c>
      <c r="C263" s="18" t="s">
        <v>438</v>
      </c>
      <c r="D263" s="19">
        <v>3062000</v>
      </c>
      <c r="E263" s="19">
        <v>0</v>
      </c>
      <c r="F263" s="19"/>
      <c r="G263" s="19">
        <v>630</v>
      </c>
      <c r="H263" s="19">
        <v>11.4</v>
      </c>
      <c r="I263" s="19"/>
      <c r="J263" s="19" t="s">
        <v>116</v>
      </c>
      <c r="K263" s="19" t="b">
        <v>1</v>
      </c>
      <c r="L263" s="15">
        <v>2015</v>
      </c>
      <c r="M263" s="16">
        <v>110000</v>
      </c>
      <c r="N263" s="20">
        <v>41550</v>
      </c>
      <c r="O263" s="20">
        <v>41550</v>
      </c>
    </row>
    <row r="264" spans="1:15" ht="14.25">
      <c r="A264" s="17">
        <v>2013</v>
      </c>
      <c r="B264" s="18" t="s">
        <v>437</v>
      </c>
      <c r="C264" s="18" t="s">
        <v>438</v>
      </c>
      <c r="D264" s="19">
        <v>3062000</v>
      </c>
      <c r="E264" s="19">
        <v>0</v>
      </c>
      <c r="F264" s="19"/>
      <c r="G264" s="19">
        <v>560</v>
      </c>
      <c r="H264" s="19">
        <v>10.1</v>
      </c>
      <c r="I264" s="19"/>
      <c r="J264" s="19" t="s">
        <v>107</v>
      </c>
      <c r="K264" s="19" t="b">
        <v>0</v>
      </c>
      <c r="L264" s="15">
        <v>2014</v>
      </c>
      <c r="M264" s="16">
        <v>3364524.92</v>
      </c>
      <c r="N264" s="20">
        <v>41550</v>
      </c>
      <c r="O264" s="20">
        <v>41550</v>
      </c>
    </row>
    <row r="265" spans="1:15" ht="14.25">
      <c r="A265" s="17">
        <v>2013</v>
      </c>
      <c r="B265" s="18" t="s">
        <v>437</v>
      </c>
      <c r="C265" s="18" t="s">
        <v>438</v>
      </c>
      <c r="D265" s="19">
        <v>3062000</v>
      </c>
      <c r="E265" s="19">
        <v>0</v>
      </c>
      <c r="F265" s="19"/>
      <c r="G265" s="19">
        <v>640</v>
      </c>
      <c r="H265" s="19">
        <v>11.5</v>
      </c>
      <c r="I265" s="19"/>
      <c r="J265" s="19" t="s">
        <v>117</v>
      </c>
      <c r="K265" s="19" t="b">
        <v>1</v>
      </c>
      <c r="L265" s="15">
        <v>2016</v>
      </c>
      <c r="M265" s="16">
        <v>30000000</v>
      </c>
      <c r="N265" s="20">
        <v>41550</v>
      </c>
      <c r="O265" s="20">
        <v>41550</v>
      </c>
    </row>
    <row r="266" spans="1:15" ht="14.25">
      <c r="A266" s="17">
        <v>2013</v>
      </c>
      <c r="B266" s="18" t="s">
        <v>437</v>
      </c>
      <c r="C266" s="18" t="s">
        <v>438</v>
      </c>
      <c r="D266" s="19">
        <v>3062000</v>
      </c>
      <c r="E266" s="19">
        <v>0</v>
      </c>
      <c r="F266" s="19"/>
      <c r="G266" s="19">
        <v>770</v>
      </c>
      <c r="H266" s="19" t="s">
        <v>136</v>
      </c>
      <c r="I266" s="19"/>
      <c r="J266" s="19" t="s">
        <v>137</v>
      </c>
      <c r="K266" s="19" t="b">
        <v>1</v>
      </c>
      <c r="L266" s="15">
        <v>2013</v>
      </c>
      <c r="M266" s="16">
        <v>2411911</v>
      </c>
      <c r="N266" s="20">
        <v>41550</v>
      </c>
      <c r="O266" s="20">
        <v>41550</v>
      </c>
    </row>
    <row r="267" spans="1:15" ht="14.25">
      <c r="A267" s="17">
        <v>2013</v>
      </c>
      <c r="B267" s="18" t="s">
        <v>437</v>
      </c>
      <c r="C267" s="18" t="s">
        <v>438</v>
      </c>
      <c r="D267" s="19">
        <v>3062000</v>
      </c>
      <c r="E267" s="19">
        <v>0</v>
      </c>
      <c r="F267" s="19"/>
      <c r="G267" s="19">
        <v>640</v>
      </c>
      <c r="H267" s="19">
        <v>11.5</v>
      </c>
      <c r="I267" s="19"/>
      <c r="J267" s="19" t="s">
        <v>117</v>
      </c>
      <c r="K267" s="19" t="b">
        <v>1</v>
      </c>
      <c r="L267" s="15">
        <v>2015</v>
      </c>
      <c r="M267" s="16">
        <v>30000000</v>
      </c>
      <c r="N267" s="20">
        <v>41550</v>
      </c>
      <c r="O267" s="20">
        <v>41550</v>
      </c>
    </row>
    <row r="268" spans="1:15" ht="14.25">
      <c r="A268" s="17">
        <v>2013</v>
      </c>
      <c r="B268" s="18" t="s">
        <v>437</v>
      </c>
      <c r="C268" s="18" t="s">
        <v>438</v>
      </c>
      <c r="D268" s="19">
        <v>3062000</v>
      </c>
      <c r="E268" s="19">
        <v>0</v>
      </c>
      <c r="F268" s="19"/>
      <c r="G268" s="19">
        <v>880</v>
      </c>
      <c r="H268" s="19">
        <v>14.1</v>
      </c>
      <c r="I268" s="19"/>
      <c r="J268" s="19" t="s">
        <v>149</v>
      </c>
      <c r="K268" s="19" t="b">
        <v>1</v>
      </c>
      <c r="L268" s="15">
        <v>2015</v>
      </c>
      <c r="M268" s="16">
        <v>16646525.72</v>
      </c>
      <c r="N268" s="20">
        <v>41550</v>
      </c>
      <c r="O268" s="20">
        <v>41550</v>
      </c>
    </row>
    <row r="269" spans="1:15" ht="14.25">
      <c r="A269" s="17">
        <v>2013</v>
      </c>
      <c r="B269" s="18" t="s">
        <v>437</v>
      </c>
      <c r="C269" s="18" t="s">
        <v>438</v>
      </c>
      <c r="D269" s="19">
        <v>3062000</v>
      </c>
      <c r="E269" s="19">
        <v>0</v>
      </c>
      <c r="F269" s="19"/>
      <c r="G269" s="19">
        <v>130</v>
      </c>
      <c r="H269" s="19">
        <v>2.1</v>
      </c>
      <c r="I269" s="19"/>
      <c r="J269" s="19" t="s">
        <v>56</v>
      </c>
      <c r="K269" s="19" t="b">
        <v>1</v>
      </c>
      <c r="L269" s="15">
        <v>2022</v>
      </c>
      <c r="M269" s="16">
        <v>355481492</v>
      </c>
      <c r="N269" s="20">
        <v>41550</v>
      </c>
      <c r="O269" s="20">
        <v>41550</v>
      </c>
    </row>
    <row r="270" spans="1:15" ht="14.25">
      <c r="A270" s="17">
        <v>2013</v>
      </c>
      <c r="B270" s="18" t="s">
        <v>437</v>
      </c>
      <c r="C270" s="18" t="s">
        <v>438</v>
      </c>
      <c r="D270" s="19">
        <v>3062000</v>
      </c>
      <c r="E270" s="19">
        <v>0</v>
      </c>
      <c r="F270" s="19"/>
      <c r="G270" s="19">
        <v>380</v>
      </c>
      <c r="H270" s="19">
        <v>6.2</v>
      </c>
      <c r="I270" s="19" t="s">
        <v>445</v>
      </c>
      <c r="J270" s="19" t="s">
        <v>88</v>
      </c>
      <c r="K270" s="19" t="b">
        <v>0</v>
      </c>
      <c r="L270" s="15">
        <v>2024</v>
      </c>
      <c r="M270" s="16">
        <v>0.0005</v>
      </c>
      <c r="N270" s="20">
        <v>41550</v>
      </c>
      <c r="O270" s="20">
        <v>41550</v>
      </c>
    </row>
    <row r="271" spans="1:15" ht="14.25">
      <c r="A271" s="17">
        <v>2013</v>
      </c>
      <c r="B271" s="18" t="s">
        <v>437</v>
      </c>
      <c r="C271" s="18" t="s">
        <v>438</v>
      </c>
      <c r="D271" s="19">
        <v>3062000</v>
      </c>
      <c r="E271" s="19">
        <v>0</v>
      </c>
      <c r="F271" s="19"/>
      <c r="G271" s="19">
        <v>450</v>
      </c>
      <c r="H271" s="19">
        <v>9.1</v>
      </c>
      <c r="I271" s="19" t="s">
        <v>450</v>
      </c>
      <c r="J271" s="19" t="s">
        <v>93</v>
      </c>
      <c r="K271" s="19" t="b">
        <v>1</v>
      </c>
      <c r="L271" s="15">
        <v>2016</v>
      </c>
      <c r="M271" s="16">
        <v>0.0511</v>
      </c>
      <c r="N271" s="20">
        <v>41550</v>
      </c>
      <c r="O271" s="20">
        <v>41550</v>
      </c>
    </row>
    <row r="272" spans="1:15" ht="14.25">
      <c r="A272" s="17">
        <v>2013</v>
      </c>
      <c r="B272" s="18" t="s">
        <v>437</v>
      </c>
      <c r="C272" s="18" t="s">
        <v>438</v>
      </c>
      <c r="D272" s="19">
        <v>3062000</v>
      </c>
      <c r="E272" s="19">
        <v>0</v>
      </c>
      <c r="F272" s="19"/>
      <c r="G272" s="19">
        <v>530</v>
      </c>
      <c r="H272" s="19">
        <v>9.8</v>
      </c>
      <c r="I272" s="19" t="s">
        <v>444</v>
      </c>
      <c r="J272" s="19" t="s">
        <v>103</v>
      </c>
      <c r="K272" s="19" t="b">
        <v>0</v>
      </c>
      <c r="L272" s="15">
        <v>2020</v>
      </c>
      <c r="M272" s="16">
        <v>527</v>
      </c>
      <c r="N272" s="20">
        <v>41550</v>
      </c>
      <c r="O272" s="20">
        <v>41550</v>
      </c>
    </row>
    <row r="273" spans="1:15" ht="14.25">
      <c r="A273" s="17">
        <v>2013</v>
      </c>
      <c r="B273" s="18" t="s">
        <v>437</v>
      </c>
      <c r="C273" s="18" t="s">
        <v>438</v>
      </c>
      <c r="D273" s="19">
        <v>3062000</v>
      </c>
      <c r="E273" s="19">
        <v>0</v>
      </c>
      <c r="F273" s="19"/>
      <c r="G273" s="19">
        <v>350</v>
      </c>
      <c r="H273" s="19">
        <v>6</v>
      </c>
      <c r="I273" s="19"/>
      <c r="J273" s="19" t="s">
        <v>25</v>
      </c>
      <c r="K273" s="19" t="b">
        <v>1</v>
      </c>
      <c r="L273" s="15">
        <v>2023</v>
      </c>
      <c r="M273" s="16">
        <v>291200</v>
      </c>
      <c r="N273" s="20">
        <v>41550</v>
      </c>
      <c r="O273" s="20">
        <v>41550</v>
      </c>
    </row>
    <row r="274" spans="1:15" ht="14.25">
      <c r="A274" s="17">
        <v>2013</v>
      </c>
      <c r="B274" s="18" t="s">
        <v>437</v>
      </c>
      <c r="C274" s="18" t="s">
        <v>438</v>
      </c>
      <c r="D274" s="19">
        <v>3062000</v>
      </c>
      <c r="E274" s="19">
        <v>0</v>
      </c>
      <c r="F274" s="19"/>
      <c r="G274" s="19">
        <v>450</v>
      </c>
      <c r="H274" s="19">
        <v>9.1</v>
      </c>
      <c r="I274" s="19" t="s">
        <v>450</v>
      </c>
      <c r="J274" s="19" t="s">
        <v>93</v>
      </c>
      <c r="K274" s="19" t="b">
        <v>1</v>
      </c>
      <c r="L274" s="15">
        <v>2015</v>
      </c>
      <c r="M274" s="16">
        <v>0.0599</v>
      </c>
      <c r="N274" s="20">
        <v>41550</v>
      </c>
      <c r="O274" s="20">
        <v>41550</v>
      </c>
    </row>
    <row r="275" spans="1:15" ht="14.25">
      <c r="A275" s="17">
        <v>2013</v>
      </c>
      <c r="B275" s="18" t="s">
        <v>437</v>
      </c>
      <c r="C275" s="18" t="s">
        <v>438</v>
      </c>
      <c r="D275" s="19">
        <v>3062000</v>
      </c>
      <c r="E275" s="19">
        <v>0</v>
      </c>
      <c r="F275" s="19"/>
      <c r="G275" s="19">
        <v>500</v>
      </c>
      <c r="H275" s="19">
        <v>9.6</v>
      </c>
      <c r="I275" s="19" t="s">
        <v>454</v>
      </c>
      <c r="J275" s="19" t="s">
        <v>97</v>
      </c>
      <c r="K275" s="19" t="b">
        <v>0</v>
      </c>
      <c r="L275" s="15">
        <v>2023</v>
      </c>
      <c r="M275" s="16">
        <v>0.0253</v>
      </c>
      <c r="N275" s="20">
        <v>41550</v>
      </c>
      <c r="O275" s="20">
        <v>41550</v>
      </c>
    </row>
    <row r="276" spans="1:15" ht="14.25">
      <c r="A276" s="17">
        <v>2013</v>
      </c>
      <c r="B276" s="18" t="s">
        <v>437</v>
      </c>
      <c r="C276" s="18" t="s">
        <v>438</v>
      </c>
      <c r="D276" s="19">
        <v>3062000</v>
      </c>
      <c r="E276" s="19">
        <v>0</v>
      </c>
      <c r="F276" s="19"/>
      <c r="G276" s="19">
        <v>550</v>
      </c>
      <c r="H276" s="19">
        <v>10</v>
      </c>
      <c r="I276" s="19"/>
      <c r="J276" s="19" t="s">
        <v>106</v>
      </c>
      <c r="K276" s="19" t="b">
        <v>0</v>
      </c>
      <c r="L276" s="15">
        <v>2020</v>
      </c>
      <c r="M276" s="16">
        <v>18001200</v>
      </c>
      <c r="N276" s="20">
        <v>41550</v>
      </c>
      <c r="O276" s="20">
        <v>41550</v>
      </c>
    </row>
    <row r="277" spans="1:15" ht="14.25">
      <c r="A277" s="17">
        <v>2013</v>
      </c>
      <c r="B277" s="18" t="s">
        <v>437</v>
      </c>
      <c r="C277" s="18" t="s">
        <v>438</v>
      </c>
      <c r="D277" s="19">
        <v>3062000</v>
      </c>
      <c r="E277" s="19">
        <v>0</v>
      </c>
      <c r="F277" s="19"/>
      <c r="G277" s="19">
        <v>450</v>
      </c>
      <c r="H277" s="19">
        <v>9.1</v>
      </c>
      <c r="I277" s="19" t="s">
        <v>450</v>
      </c>
      <c r="J277" s="19" t="s">
        <v>93</v>
      </c>
      <c r="K277" s="19" t="b">
        <v>1</v>
      </c>
      <c r="L277" s="15">
        <v>2023</v>
      </c>
      <c r="M277" s="16">
        <v>0.0253</v>
      </c>
      <c r="N277" s="20">
        <v>41550</v>
      </c>
      <c r="O277" s="20">
        <v>41550</v>
      </c>
    </row>
    <row r="278" spans="1:15" ht="14.25">
      <c r="A278" s="17">
        <v>2013</v>
      </c>
      <c r="B278" s="18" t="s">
        <v>437</v>
      </c>
      <c r="C278" s="18" t="s">
        <v>438</v>
      </c>
      <c r="D278" s="19">
        <v>3062000</v>
      </c>
      <c r="E278" s="19">
        <v>0</v>
      </c>
      <c r="F278" s="19"/>
      <c r="G278" s="19">
        <v>880</v>
      </c>
      <c r="H278" s="19">
        <v>14.1</v>
      </c>
      <c r="I278" s="19"/>
      <c r="J278" s="19" t="s">
        <v>149</v>
      </c>
      <c r="K278" s="19" t="b">
        <v>1</v>
      </c>
      <c r="L278" s="15">
        <v>2016</v>
      </c>
      <c r="M278" s="16">
        <v>11078580</v>
      </c>
      <c r="N278" s="20">
        <v>41550</v>
      </c>
      <c r="O278" s="20">
        <v>41550</v>
      </c>
    </row>
    <row r="279" spans="1:15" ht="14.25">
      <c r="A279" s="17">
        <v>2013</v>
      </c>
      <c r="B279" s="18" t="s">
        <v>437</v>
      </c>
      <c r="C279" s="18" t="s">
        <v>438</v>
      </c>
      <c r="D279" s="19">
        <v>3062000</v>
      </c>
      <c r="E279" s="19">
        <v>0</v>
      </c>
      <c r="F279" s="19"/>
      <c r="G279" s="19">
        <v>50</v>
      </c>
      <c r="H279" s="19" t="s">
        <v>43</v>
      </c>
      <c r="I279" s="19"/>
      <c r="J279" s="19" t="s">
        <v>44</v>
      </c>
      <c r="K279" s="19" t="b">
        <v>1</v>
      </c>
      <c r="L279" s="15">
        <v>2015</v>
      </c>
      <c r="M279" s="16">
        <v>123259500</v>
      </c>
      <c r="N279" s="20">
        <v>41550</v>
      </c>
      <c r="O279" s="20">
        <v>41550</v>
      </c>
    </row>
    <row r="280" spans="1:15" ht="14.25">
      <c r="A280" s="17">
        <v>2013</v>
      </c>
      <c r="B280" s="18" t="s">
        <v>437</v>
      </c>
      <c r="C280" s="18" t="s">
        <v>438</v>
      </c>
      <c r="D280" s="19">
        <v>3062000</v>
      </c>
      <c r="E280" s="19">
        <v>0</v>
      </c>
      <c r="F280" s="19"/>
      <c r="G280" s="19">
        <v>505</v>
      </c>
      <c r="H280" s="19" t="s">
        <v>98</v>
      </c>
      <c r="I280" s="19" t="s">
        <v>441</v>
      </c>
      <c r="J280" s="19" t="s">
        <v>99</v>
      </c>
      <c r="K280" s="19" t="b">
        <v>0</v>
      </c>
      <c r="L280" s="15">
        <v>2021</v>
      </c>
      <c r="M280" s="16">
        <v>0.1258</v>
      </c>
      <c r="N280" s="20">
        <v>41550</v>
      </c>
      <c r="O280" s="20">
        <v>41550</v>
      </c>
    </row>
    <row r="281" spans="1:15" ht="14.25">
      <c r="A281" s="17">
        <v>2013</v>
      </c>
      <c r="B281" s="18" t="s">
        <v>437</v>
      </c>
      <c r="C281" s="18" t="s">
        <v>438</v>
      </c>
      <c r="D281" s="19">
        <v>3062000</v>
      </c>
      <c r="E281" s="19">
        <v>0</v>
      </c>
      <c r="F281" s="19"/>
      <c r="G281" s="19">
        <v>40</v>
      </c>
      <c r="H281" s="19" t="s">
        <v>41</v>
      </c>
      <c r="I281" s="19"/>
      <c r="J281" s="19" t="s">
        <v>42</v>
      </c>
      <c r="K281" s="19" t="b">
        <v>1</v>
      </c>
      <c r="L281" s="15">
        <v>2015</v>
      </c>
      <c r="M281" s="16">
        <v>8819200</v>
      </c>
      <c r="N281" s="20">
        <v>41550</v>
      </c>
      <c r="O281" s="20">
        <v>41550</v>
      </c>
    </row>
    <row r="282" spans="1:15" ht="14.25">
      <c r="A282" s="17">
        <v>2013</v>
      </c>
      <c r="B282" s="18" t="s">
        <v>437</v>
      </c>
      <c r="C282" s="18" t="s">
        <v>438</v>
      </c>
      <c r="D282" s="19">
        <v>3062000</v>
      </c>
      <c r="E282" s="19">
        <v>0</v>
      </c>
      <c r="F282" s="19"/>
      <c r="G282" s="19">
        <v>740</v>
      </c>
      <c r="H282" s="19" t="s">
        <v>131</v>
      </c>
      <c r="I282" s="19"/>
      <c r="J282" s="19" t="s">
        <v>132</v>
      </c>
      <c r="K282" s="19" t="b">
        <v>0</v>
      </c>
      <c r="L282" s="15">
        <v>2013</v>
      </c>
      <c r="M282" s="16">
        <v>7641300.25</v>
      </c>
      <c r="N282" s="20">
        <v>41550</v>
      </c>
      <c r="O282" s="20">
        <v>41550</v>
      </c>
    </row>
    <row r="283" spans="1:15" ht="14.25">
      <c r="A283" s="17">
        <v>2013</v>
      </c>
      <c r="B283" s="18" t="s">
        <v>437</v>
      </c>
      <c r="C283" s="18" t="s">
        <v>438</v>
      </c>
      <c r="D283" s="19">
        <v>3062000</v>
      </c>
      <c r="E283" s="19">
        <v>0</v>
      </c>
      <c r="F283" s="19"/>
      <c r="G283" s="19">
        <v>480</v>
      </c>
      <c r="H283" s="19">
        <v>9.4</v>
      </c>
      <c r="I283" s="19" t="s">
        <v>446</v>
      </c>
      <c r="J283" s="19" t="s">
        <v>95</v>
      </c>
      <c r="K283" s="19" t="b">
        <v>0</v>
      </c>
      <c r="L283" s="15">
        <v>2017</v>
      </c>
      <c r="M283" s="16">
        <v>0.0849</v>
      </c>
      <c r="N283" s="20">
        <v>41550</v>
      </c>
      <c r="O283" s="20">
        <v>41550</v>
      </c>
    </row>
    <row r="284" spans="1:15" ht="14.25">
      <c r="A284" s="17">
        <v>2013</v>
      </c>
      <c r="B284" s="18" t="s">
        <v>437</v>
      </c>
      <c r="C284" s="18" t="s">
        <v>438</v>
      </c>
      <c r="D284" s="19">
        <v>3062000</v>
      </c>
      <c r="E284" s="19">
        <v>0</v>
      </c>
      <c r="F284" s="19"/>
      <c r="G284" s="19">
        <v>480</v>
      </c>
      <c r="H284" s="19">
        <v>9.4</v>
      </c>
      <c r="I284" s="19" t="s">
        <v>446</v>
      </c>
      <c r="J284" s="19" t="s">
        <v>95</v>
      </c>
      <c r="K284" s="19" t="b">
        <v>0</v>
      </c>
      <c r="L284" s="15">
        <v>2026</v>
      </c>
      <c r="M284" s="16">
        <v>0.0221</v>
      </c>
      <c r="N284" s="20">
        <v>41550</v>
      </c>
      <c r="O284" s="20">
        <v>41550</v>
      </c>
    </row>
    <row r="285" spans="1:15" ht="14.25">
      <c r="A285" s="17">
        <v>2013</v>
      </c>
      <c r="B285" s="18" t="s">
        <v>437</v>
      </c>
      <c r="C285" s="18" t="s">
        <v>438</v>
      </c>
      <c r="D285" s="19">
        <v>3062000</v>
      </c>
      <c r="E285" s="19">
        <v>0</v>
      </c>
      <c r="F285" s="19"/>
      <c r="G285" s="19">
        <v>120</v>
      </c>
      <c r="H285" s="19">
        <v>2</v>
      </c>
      <c r="I285" s="19" t="s">
        <v>443</v>
      </c>
      <c r="J285" s="19" t="s">
        <v>19</v>
      </c>
      <c r="K285" s="19" t="b">
        <v>0</v>
      </c>
      <c r="L285" s="15">
        <v>2018</v>
      </c>
      <c r="M285" s="16">
        <v>390604872</v>
      </c>
      <c r="N285" s="20">
        <v>41550</v>
      </c>
      <c r="O285" s="20">
        <v>41550</v>
      </c>
    </row>
    <row r="286" spans="1:15" ht="14.25">
      <c r="A286" s="17">
        <v>2013</v>
      </c>
      <c r="B286" s="18" t="s">
        <v>437</v>
      </c>
      <c r="C286" s="18" t="s">
        <v>438</v>
      </c>
      <c r="D286" s="19">
        <v>3062000</v>
      </c>
      <c r="E286" s="19">
        <v>0</v>
      </c>
      <c r="F286" s="19"/>
      <c r="G286" s="19">
        <v>430</v>
      </c>
      <c r="H286" s="19">
        <v>8.2</v>
      </c>
      <c r="I286" s="19" t="s">
        <v>447</v>
      </c>
      <c r="J286" s="19" t="s">
        <v>92</v>
      </c>
      <c r="K286" s="19" t="b">
        <v>0</v>
      </c>
      <c r="L286" s="15">
        <v>2025</v>
      </c>
      <c r="M286" s="16">
        <v>51468580</v>
      </c>
      <c r="N286" s="20">
        <v>41550</v>
      </c>
      <c r="O286" s="20">
        <v>41550</v>
      </c>
    </row>
    <row r="287" spans="1:15" ht="14.25">
      <c r="A287" s="17">
        <v>2013</v>
      </c>
      <c r="B287" s="18" t="s">
        <v>437</v>
      </c>
      <c r="C287" s="18" t="s">
        <v>438</v>
      </c>
      <c r="D287" s="19">
        <v>3062000</v>
      </c>
      <c r="E287" s="19">
        <v>0</v>
      </c>
      <c r="F287" s="19"/>
      <c r="G287" s="19">
        <v>300</v>
      </c>
      <c r="H287" s="19">
        <v>5</v>
      </c>
      <c r="I287" s="19" t="s">
        <v>455</v>
      </c>
      <c r="J287" s="19" t="s">
        <v>78</v>
      </c>
      <c r="K287" s="19" t="b">
        <v>0</v>
      </c>
      <c r="L287" s="15">
        <v>2023</v>
      </c>
      <c r="M287" s="16">
        <v>671200</v>
      </c>
      <c r="N287" s="20">
        <v>41550</v>
      </c>
      <c r="O287" s="20">
        <v>41550</v>
      </c>
    </row>
    <row r="288" spans="1:15" ht="14.25">
      <c r="A288" s="17">
        <v>2013</v>
      </c>
      <c r="B288" s="18" t="s">
        <v>437</v>
      </c>
      <c r="C288" s="18" t="s">
        <v>438</v>
      </c>
      <c r="D288" s="19">
        <v>3062000</v>
      </c>
      <c r="E288" s="19">
        <v>0</v>
      </c>
      <c r="F288" s="19"/>
      <c r="G288" s="19">
        <v>180</v>
      </c>
      <c r="H288" s="19" t="s">
        <v>65</v>
      </c>
      <c r="I288" s="19"/>
      <c r="J288" s="19" t="s">
        <v>66</v>
      </c>
      <c r="K288" s="19" t="b">
        <v>0</v>
      </c>
      <c r="L288" s="15">
        <v>2013</v>
      </c>
      <c r="M288" s="16">
        <v>7150000</v>
      </c>
      <c r="N288" s="20">
        <v>41550</v>
      </c>
      <c r="O288" s="20">
        <v>41550</v>
      </c>
    </row>
    <row r="289" spans="1:15" ht="14.25">
      <c r="A289" s="17">
        <v>2013</v>
      </c>
      <c r="B289" s="18" t="s">
        <v>437</v>
      </c>
      <c r="C289" s="18" t="s">
        <v>438</v>
      </c>
      <c r="D289" s="19">
        <v>3062000</v>
      </c>
      <c r="E289" s="19">
        <v>0</v>
      </c>
      <c r="F289" s="19"/>
      <c r="G289" s="19">
        <v>170</v>
      </c>
      <c r="H289" s="19" t="s">
        <v>63</v>
      </c>
      <c r="I289" s="19"/>
      <c r="J289" s="19" t="s">
        <v>64</v>
      </c>
      <c r="K289" s="19" t="b">
        <v>1</v>
      </c>
      <c r="L289" s="15">
        <v>2021</v>
      </c>
      <c r="M289" s="16">
        <v>1300000</v>
      </c>
      <c r="N289" s="20">
        <v>41550</v>
      </c>
      <c r="O289" s="20">
        <v>41550</v>
      </c>
    </row>
    <row r="290" spans="1:15" ht="14.25">
      <c r="A290" s="17">
        <v>2013</v>
      </c>
      <c r="B290" s="18" t="s">
        <v>437</v>
      </c>
      <c r="C290" s="18" t="s">
        <v>438</v>
      </c>
      <c r="D290" s="19">
        <v>3062000</v>
      </c>
      <c r="E290" s="19">
        <v>0</v>
      </c>
      <c r="F290" s="19"/>
      <c r="G290" s="19">
        <v>420</v>
      </c>
      <c r="H290" s="19">
        <v>8.1</v>
      </c>
      <c r="I290" s="19" t="s">
        <v>440</v>
      </c>
      <c r="J290" s="19" t="s">
        <v>91</v>
      </c>
      <c r="K290" s="19" t="b">
        <v>0</v>
      </c>
      <c r="L290" s="15">
        <v>2014</v>
      </c>
      <c r="M290" s="16">
        <v>26805000</v>
      </c>
      <c r="N290" s="20">
        <v>41550</v>
      </c>
      <c r="O290" s="20">
        <v>41550</v>
      </c>
    </row>
    <row r="291" spans="1:15" ht="14.25">
      <c r="A291" s="17">
        <v>2013</v>
      </c>
      <c r="B291" s="18" t="s">
        <v>437</v>
      </c>
      <c r="C291" s="18" t="s">
        <v>438</v>
      </c>
      <c r="D291" s="19">
        <v>3062000</v>
      </c>
      <c r="E291" s="19">
        <v>0</v>
      </c>
      <c r="F291" s="19"/>
      <c r="G291" s="19">
        <v>130</v>
      </c>
      <c r="H291" s="19">
        <v>2.1</v>
      </c>
      <c r="I291" s="19"/>
      <c r="J291" s="19" t="s">
        <v>56</v>
      </c>
      <c r="K291" s="19" t="b">
        <v>1</v>
      </c>
      <c r="L291" s="15">
        <v>2013</v>
      </c>
      <c r="M291" s="16">
        <v>367276007.87</v>
      </c>
      <c r="N291" s="20">
        <v>41550</v>
      </c>
      <c r="O291" s="20">
        <v>41550</v>
      </c>
    </row>
    <row r="292" spans="1:15" ht="14.25">
      <c r="A292" s="17">
        <v>2013</v>
      </c>
      <c r="B292" s="18" t="s">
        <v>437</v>
      </c>
      <c r="C292" s="18" t="s">
        <v>438</v>
      </c>
      <c r="D292" s="19">
        <v>3062000</v>
      </c>
      <c r="E292" s="19">
        <v>0</v>
      </c>
      <c r="F292" s="19"/>
      <c r="G292" s="19">
        <v>500</v>
      </c>
      <c r="H292" s="19">
        <v>9.6</v>
      </c>
      <c r="I292" s="19" t="s">
        <v>454</v>
      </c>
      <c r="J292" s="19" t="s">
        <v>97</v>
      </c>
      <c r="K292" s="19" t="b">
        <v>0</v>
      </c>
      <c r="L292" s="15">
        <v>2013</v>
      </c>
      <c r="M292" s="16">
        <v>0.0749</v>
      </c>
      <c r="N292" s="20">
        <v>41550</v>
      </c>
      <c r="O292" s="20">
        <v>41550</v>
      </c>
    </row>
    <row r="293" spans="1:15" ht="14.25">
      <c r="A293" s="17">
        <v>2013</v>
      </c>
      <c r="B293" s="18" t="s">
        <v>437</v>
      </c>
      <c r="C293" s="18" t="s">
        <v>438</v>
      </c>
      <c r="D293" s="19">
        <v>3062000</v>
      </c>
      <c r="E293" s="19">
        <v>0</v>
      </c>
      <c r="F293" s="19"/>
      <c r="G293" s="19">
        <v>200</v>
      </c>
      <c r="H293" s="19">
        <v>3</v>
      </c>
      <c r="I293" s="19" t="s">
        <v>457</v>
      </c>
      <c r="J293" s="19" t="s">
        <v>21</v>
      </c>
      <c r="K293" s="19" t="b">
        <v>0</v>
      </c>
      <c r="L293" s="15">
        <v>2018</v>
      </c>
      <c r="M293" s="16">
        <v>16071200</v>
      </c>
      <c r="N293" s="20">
        <v>41550</v>
      </c>
      <c r="O293" s="20">
        <v>41550</v>
      </c>
    </row>
    <row r="294" spans="1:15" ht="14.25">
      <c r="A294" s="17">
        <v>2013</v>
      </c>
      <c r="B294" s="18" t="s">
        <v>437</v>
      </c>
      <c r="C294" s="18" t="s">
        <v>438</v>
      </c>
      <c r="D294" s="19">
        <v>3062000</v>
      </c>
      <c r="E294" s="19">
        <v>0</v>
      </c>
      <c r="F294" s="19"/>
      <c r="G294" s="19">
        <v>500</v>
      </c>
      <c r="H294" s="19">
        <v>9.6</v>
      </c>
      <c r="I294" s="19" t="s">
        <v>454</v>
      </c>
      <c r="J294" s="19" t="s">
        <v>97</v>
      </c>
      <c r="K294" s="19" t="b">
        <v>0</v>
      </c>
      <c r="L294" s="15">
        <v>2016</v>
      </c>
      <c r="M294" s="16">
        <v>0.0511</v>
      </c>
      <c r="N294" s="20">
        <v>41550</v>
      </c>
      <c r="O294" s="20">
        <v>41550</v>
      </c>
    </row>
    <row r="295" spans="1:15" ht="14.25">
      <c r="A295" s="17">
        <v>2013</v>
      </c>
      <c r="B295" s="18" t="s">
        <v>437</v>
      </c>
      <c r="C295" s="18" t="s">
        <v>438</v>
      </c>
      <c r="D295" s="19">
        <v>3062000</v>
      </c>
      <c r="E295" s="19">
        <v>0</v>
      </c>
      <c r="F295" s="19"/>
      <c r="G295" s="19">
        <v>130</v>
      </c>
      <c r="H295" s="19">
        <v>2.1</v>
      </c>
      <c r="I295" s="19"/>
      <c r="J295" s="19" t="s">
        <v>56</v>
      </c>
      <c r="K295" s="19" t="b">
        <v>1</v>
      </c>
      <c r="L295" s="15">
        <v>2014</v>
      </c>
      <c r="M295" s="16">
        <v>354200000</v>
      </c>
      <c r="N295" s="20">
        <v>41550</v>
      </c>
      <c r="O295" s="20">
        <v>41550</v>
      </c>
    </row>
    <row r="296" spans="1:15" ht="14.25">
      <c r="A296" s="17">
        <v>2013</v>
      </c>
      <c r="B296" s="18" t="s">
        <v>437</v>
      </c>
      <c r="C296" s="18" t="s">
        <v>438</v>
      </c>
      <c r="D296" s="19">
        <v>3062000</v>
      </c>
      <c r="E296" s="19">
        <v>0</v>
      </c>
      <c r="F296" s="19"/>
      <c r="G296" s="19">
        <v>60</v>
      </c>
      <c r="H296" s="19" t="s">
        <v>45</v>
      </c>
      <c r="I296" s="19"/>
      <c r="J296" s="19" t="s">
        <v>46</v>
      </c>
      <c r="K296" s="19" t="b">
        <v>1</v>
      </c>
      <c r="L296" s="15">
        <v>2016</v>
      </c>
      <c r="M296" s="16">
        <v>64742130</v>
      </c>
      <c r="N296" s="20">
        <v>41550</v>
      </c>
      <c r="O296" s="20">
        <v>41550</v>
      </c>
    </row>
    <row r="297" spans="1:15" ht="14.25">
      <c r="A297" s="17">
        <v>2013</v>
      </c>
      <c r="B297" s="18" t="s">
        <v>437</v>
      </c>
      <c r="C297" s="18" t="s">
        <v>438</v>
      </c>
      <c r="D297" s="19">
        <v>3062000</v>
      </c>
      <c r="E297" s="19">
        <v>0</v>
      </c>
      <c r="F297" s="19"/>
      <c r="G297" s="19">
        <v>390</v>
      </c>
      <c r="H297" s="19">
        <v>6.3</v>
      </c>
      <c r="I297" s="19" t="s">
        <v>442</v>
      </c>
      <c r="J297" s="19" t="s">
        <v>89</v>
      </c>
      <c r="K297" s="19" t="b">
        <v>0</v>
      </c>
      <c r="L297" s="15">
        <v>2017</v>
      </c>
      <c r="M297" s="16">
        <v>0.1766</v>
      </c>
      <c r="N297" s="20">
        <v>41550</v>
      </c>
      <c r="O297" s="20">
        <v>41550</v>
      </c>
    </row>
    <row r="298" spans="1:15" ht="14.25">
      <c r="A298" s="17">
        <v>2013</v>
      </c>
      <c r="B298" s="18" t="s">
        <v>437</v>
      </c>
      <c r="C298" s="18" t="s">
        <v>438</v>
      </c>
      <c r="D298" s="19">
        <v>3062000</v>
      </c>
      <c r="E298" s="19">
        <v>0</v>
      </c>
      <c r="F298" s="19"/>
      <c r="G298" s="19">
        <v>550</v>
      </c>
      <c r="H298" s="19">
        <v>10</v>
      </c>
      <c r="I298" s="19"/>
      <c r="J298" s="19" t="s">
        <v>106</v>
      </c>
      <c r="K298" s="19" t="b">
        <v>0</v>
      </c>
      <c r="L298" s="15">
        <v>2019</v>
      </c>
      <c r="M298" s="16">
        <v>15571200</v>
      </c>
      <c r="N298" s="20">
        <v>41550</v>
      </c>
      <c r="O298" s="20">
        <v>41550</v>
      </c>
    </row>
    <row r="299" spans="1:15" ht="14.25">
      <c r="A299" s="17">
        <v>2013</v>
      </c>
      <c r="B299" s="18" t="s">
        <v>437</v>
      </c>
      <c r="C299" s="18" t="s">
        <v>438</v>
      </c>
      <c r="D299" s="19">
        <v>3062000</v>
      </c>
      <c r="E299" s="19">
        <v>0</v>
      </c>
      <c r="F299" s="19"/>
      <c r="G299" s="19">
        <v>560</v>
      </c>
      <c r="H299" s="19">
        <v>10.1</v>
      </c>
      <c r="I299" s="19"/>
      <c r="J299" s="19" t="s">
        <v>107</v>
      </c>
      <c r="K299" s="19" t="b">
        <v>0</v>
      </c>
      <c r="L299" s="15">
        <v>2022</v>
      </c>
      <c r="M299" s="16">
        <v>7397200</v>
      </c>
      <c r="N299" s="20">
        <v>41550</v>
      </c>
      <c r="O299" s="20">
        <v>41550</v>
      </c>
    </row>
    <row r="300" spans="1:15" ht="14.25">
      <c r="A300" s="17">
        <v>2013</v>
      </c>
      <c r="B300" s="18" t="s">
        <v>437</v>
      </c>
      <c r="C300" s="18" t="s">
        <v>438</v>
      </c>
      <c r="D300" s="19">
        <v>3062000</v>
      </c>
      <c r="E300" s="19">
        <v>0</v>
      </c>
      <c r="F300" s="19"/>
      <c r="G300" s="19">
        <v>470</v>
      </c>
      <c r="H300" s="19">
        <v>9.3</v>
      </c>
      <c r="I300" s="19" t="s">
        <v>450</v>
      </c>
      <c r="J300" s="19" t="s">
        <v>451</v>
      </c>
      <c r="K300" s="19" t="b">
        <v>1</v>
      </c>
      <c r="L300" s="15">
        <v>2015</v>
      </c>
      <c r="M300" s="16">
        <v>0.0599</v>
      </c>
      <c r="N300" s="20">
        <v>41550</v>
      </c>
      <c r="O300" s="20">
        <v>41550</v>
      </c>
    </row>
    <row r="301" spans="1:15" ht="14.25">
      <c r="A301" s="17">
        <v>2013</v>
      </c>
      <c r="B301" s="18" t="s">
        <v>437</v>
      </c>
      <c r="C301" s="18" t="s">
        <v>438</v>
      </c>
      <c r="D301" s="19">
        <v>3062000</v>
      </c>
      <c r="E301" s="19">
        <v>0</v>
      </c>
      <c r="F301" s="19"/>
      <c r="G301" s="19">
        <v>300</v>
      </c>
      <c r="H301" s="19">
        <v>5</v>
      </c>
      <c r="I301" s="19" t="s">
        <v>455</v>
      </c>
      <c r="J301" s="19" t="s">
        <v>78</v>
      </c>
      <c r="K301" s="19" t="b">
        <v>0</v>
      </c>
      <c r="L301" s="15">
        <v>2013</v>
      </c>
      <c r="M301" s="16">
        <v>23585724.84</v>
      </c>
      <c r="N301" s="20">
        <v>41550</v>
      </c>
      <c r="O301" s="20">
        <v>41550</v>
      </c>
    </row>
    <row r="302" spans="1:15" ht="14.25">
      <c r="A302" s="17">
        <v>2013</v>
      </c>
      <c r="B302" s="18" t="s">
        <v>437</v>
      </c>
      <c r="C302" s="18" t="s">
        <v>438</v>
      </c>
      <c r="D302" s="19">
        <v>3062000</v>
      </c>
      <c r="E302" s="19">
        <v>0</v>
      </c>
      <c r="F302" s="19"/>
      <c r="G302" s="19">
        <v>180</v>
      </c>
      <c r="H302" s="19" t="s">
        <v>65</v>
      </c>
      <c r="I302" s="19"/>
      <c r="J302" s="19" t="s">
        <v>66</v>
      </c>
      <c r="K302" s="19" t="b">
        <v>0</v>
      </c>
      <c r="L302" s="15">
        <v>2021</v>
      </c>
      <c r="M302" s="16">
        <v>1300000</v>
      </c>
      <c r="N302" s="20">
        <v>41550</v>
      </c>
      <c r="O302" s="20">
        <v>41550</v>
      </c>
    </row>
    <row r="303" spans="1:15" ht="14.25">
      <c r="A303" s="17">
        <v>2013</v>
      </c>
      <c r="B303" s="18" t="s">
        <v>437</v>
      </c>
      <c r="C303" s="18" t="s">
        <v>438</v>
      </c>
      <c r="D303" s="19">
        <v>3062000</v>
      </c>
      <c r="E303" s="19">
        <v>0</v>
      </c>
      <c r="F303" s="19"/>
      <c r="G303" s="19">
        <v>380</v>
      </c>
      <c r="H303" s="19">
        <v>6.2</v>
      </c>
      <c r="I303" s="19" t="s">
        <v>445</v>
      </c>
      <c r="J303" s="19" t="s">
        <v>88</v>
      </c>
      <c r="K303" s="19" t="b">
        <v>0</v>
      </c>
      <c r="L303" s="15">
        <v>2019</v>
      </c>
      <c r="M303" s="16">
        <v>0.0992</v>
      </c>
      <c r="N303" s="20">
        <v>41550</v>
      </c>
      <c r="O303" s="20">
        <v>41550</v>
      </c>
    </row>
    <row r="304" spans="1:15" ht="14.25">
      <c r="A304" s="17">
        <v>2013</v>
      </c>
      <c r="B304" s="18" t="s">
        <v>437</v>
      </c>
      <c r="C304" s="18" t="s">
        <v>438</v>
      </c>
      <c r="D304" s="19">
        <v>3062000</v>
      </c>
      <c r="E304" s="19">
        <v>0</v>
      </c>
      <c r="F304" s="19"/>
      <c r="G304" s="19">
        <v>190</v>
      </c>
      <c r="H304" s="19">
        <v>2.2</v>
      </c>
      <c r="I304" s="19"/>
      <c r="J304" s="19" t="s">
        <v>67</v>
      </c>
      <c r="K304" s="19" t="b">
        <v>0</v>
      </c>
      <c r="L304" s="15">
        <v>2022</v>
      </c>
      <c r="M304" s="16">
        <v>43797380</v>
      </c>
      <c r="N304" s="20">
        <v>41550</v>
      </c>
      <c r="O304" s="20">
        <v>41550</v>
      </c>
    </row>
    <row r="305" spans="1:15" ht="14.25">
      <c r="A305" s="17">
        <v>2013</v>
      </c>
      <c r="B305" s="18" t="s">
        <v>437</v>
      </c>
      <c r="C305" s="18" t="s">
        <v>438</v>
      </c>
      <c r="D305" s="19">
        <v>3062000</v>
      </c>
      <c r="E305" s="19">
        <v>0</v>
      </c>
      <c r="F305" s="19"/>
      <c r="G305" s="19">
        <v>10</v>
      </c>
      <c r="H305" s="19">
        <v>1</v>
      </c>
      <c r="I305" s="19" t="s">
        <v>448</v>
      </c>
      <c r="J305" s="19" t="s">
        <v>24</v>
      </c>
      <c r="K305" s="19" t="b">
        <v>1</v>
      </c>
      <c r="L305" s="15">
        <v>2027</v>
      </c>
      <c r="M305" s="16">
        <v>406676072</v>
      </c>
      <c r="N305" s="20">
        <v>41550</v>
      </c>
      <c r="O305" s="20">
        <v>41550</v>
      </c>
    </row>
    <row r="306" spans="1:15" ht="14.25">
      <c r="A306" s="17">
        <v>2013</v>
      </c>
      <c r="B306" s="18" t="s">
        <v>437</v>
      </c>
      <c r="C306" s="18" t="s">
        <v>438</v>
      </c>
      <c r="D306" s="19">
        <v>3062000</v>
      </c>
      <c r="E306" s="19">
        <v>0</v>
      </c>
      <c r="F306" s="19"/>
      <c r="G306" s="19">
        <v>40</v>
      </c>
      <c r="H306" s="19" t="s">
        <v>41</v>
      </c>
      <c r="I306" s="19"/>
      <c r="J306" s="19" t="s">
        <v>42</v>
      </c>
      <c r="K306" s="19" t="b">
        <v>1</v>
      </c>
      <c r="L306" s="15">
        <v>2016</v>
      </c>
      <c r="M306" s="16">
        <v>9348352</v>
      </c>
      <c r="N306" s="20">
        <v>41550</v>
      </c>
      <c r="O306" s="20">
        <v>41550</v>
      </c>
    </row>
    <row r="307" spans="1:15" ht="14.25">
      <c r="A307" s="17">
        <v>2013</v>
      </c>
      <c r="B307" s="18" t="s">
        <v>437</v>
      </c>
      <c r="C307" s="18" t="s">
        <v>438</v>
      </c>
      <c r="D307" s="19">
        <v>3062000</v>
      </c>
      <c r="E307" s="19">
        <v>0</v>
      </c>
      <c r="F307" s="19"/>
      <c r="G307" s="19">
        <v>470</v>
      </c>
      <c r="H307" s="19">
        <v>9.3</v>
      </c>
      <c r="I307" s="19" t="s">
        <v>450</v>
      </c>
      <c r="J307" s="19" t="s">
        <v>451</v>
      </c>
      <c r="K307" s="19" t="b">
        <v>1</v>
      </c>
      <c r="L307" s="15">
        <v>2026</v>
      </c>
      <c r="M307" s="16">
        <v>0.0221</v>
      </c>
      <c r="N307" s="20">
        <v>41550</v>
      </c>
      <c r="O307" s="20">
        <v>41550</v>
      </c>
    </row>
    <row r="308" spans="1:15" ht="14.25">
      <c r="A308" s="17">
        <v>2013</v>
      </c>
      <c r="B308" s="18" t="s">
        <v>437</v>
      </c>
      <c r="C308" s="18" t="s">
        <v>438</v>
      </c>
      <c r="D308" s="19">
        <v>3062000</v>
      </c>
      <c r="E308" s="19">
        <v>0</v>
      </c>
      <c r="F308" s="19"/>
      <c r="G308" s="19">
        <v>300</v>
      </c>
      <c r="H308" s="19">
        <v>5</v>
      </c>
      <c r="I308" s="19" t="s">
        <v>455</v>
      </c>
      <c r="J308" s="19" t="s">
        <v>78</v>
      </c>
      <c r="K308" s="19" t="b">
        <v>0</v>
      </c>
      <c r="L308" s="15">
        <v>2024</v>
      </c>
      <c r="M308" s="16">
        <v>81200</v>
      </c>
      <c r="N308" s="20">
        <v>41550</v>
      </c>
      <c r="O308" s="20">
        <v>41550</v>
      </c>
    </row>
    <row r="309" spans="1:15" ht="14.25">
      <c r="A309" s="17">
        <v>2013</v>
      </c>
      <c r="B309" s="18" t="s">
        <v>437</v>
      </c>
      <c r="C309" s="18" t="s">
        <v>438</v>
      </c>
      <c r="D309" s="19">
        <v>3062000</v>
      </c>
      <c r="E309" s="19">
        <v>0</v>
      </c>
      <c r="F309" s="19"/>
      <c r="G309" s="19">
        <v>30</v>
      </c>
      <c r="H309" s="19" t="s">
        <v>39</v>
      </c>
      <c r="I309" s="19"/>
      <c r="J309" s="19" t="s">
        <v>40</v>
      </c>
      <c r="K309" s="19" t="b">
        <v>1</v>
      </c>
      <c r="L309" s="15">
        <v>2016</v>
      </c>
      <c r="M309" s="16">
        <v>86900800</v>
      </c>
      <c r="N309" s="20">
        <v>41550</v>
      </c>
      <c r="O309" s="20">
        <v>41550</v>
      </c>
    </row>
    <row r="310" spans="1:15" ht="14.25">
      <c r="A310" s="17">
        <v>2013</v>
      </c>
      <c r="B310" s="18" t="s">
        <v>437</v>
      </c>
      <c r="C310" s="18" t="s">
        <v>438</v>
      </c>
      <c r="D310" s="19">
        <v>3062000</v>
      </c>
      <c r="E310" s="19">
        <v>0</v>
      </c>
      <c r="F310" s="19"/>
      <c r="G310" s="19">
        <v>580</v>
      </c>
      <c r="H310" s="19">
        <v>11.1</v>
      </c>
      <c r="I310" s="19"/>
      <c r="J310" s="19" t="s">
        <v>109</v>
      </c>
      <c r="K310" s="19" t="b">
        <v>0</v>
      </c>
      <c r="L310" s="15">
        <v>2017</v>
      </c>
      <c r="M310" s="16">
        <v>183701000</v>
      </c>
      <c r="N310" s="20">
        <v>41550</v>
      </c>
      <c r="O310" s="20">
        <v>41550</v>
      </c>
    </row>
    <row r="311" spans="1:15" ht="14.25">
      <c r="A311" s="17">
        <v>2013</v>
      </c>
      <c r="B311" s="18" t="s">
        <v>437</v>
      </c>
      <c r="C311" s="18" t="s">
        <v>438</v>
      </c>
      <c r="D311" s="19">
        <v>3062000</v>
      </c>
      <c r="E311" s="19">
        <v>0</v>
      </c>
      <c r="F311" s="19"/>
      <c r="G311" s="19">
        <v>550</v>
      </c>
      <c r="H311" s="19">
        <v>10</v>
      </c>
      <c r="I311" s="19"/>
      <c r="J311" s="19" t="s">
        <v>106</v>
      </c>
      <c r="K311" s="19" t="b">
        <v>0</v>
      </c>
      <c r="L311" s="15">
        <v>2014</v>
      </c>
      <c r="M311" s="16">
        <v>3364524.92</v>
      </c>
      <c r="N311" s="20">
        <v>41550</v>
      </c>
      <c r="O311" s="20">
        <v>41550</v>
      </c>
    </row>
    <row r="312" spans="1:15" ht="14.25">
      <c r="A312" s="17">
        <v>2013</v>
      </c>
      <c r="B312" s="18" t="s">
        <v>437</v>
      </c>
      <c r="C312" s="18" t="s">
        <v>438</v>
      </c>
      <c r="D312" s="19">
        <v>3062000</v>
      </c>
      <c r="E312" s="19">
        <v>0</v>
      </c>
      <c r="F312" s="19"/>
      <c r="G312" s="19">
        <v>530</v>
      </c>
      <c r="H312" s="19">
        <v>9.8</v>
      </c>
      <c r="I312" s="19" t="s">
        <v>444</v>
      </c>
      <c r="J312" s="19" t="s">
        <v>103</v>
      </c>
      <c r="K312" s="19" t="b">
        <v>0</v>
      </c>
      <c r="L312" s="15">
        <v>2016</v>
      </c>
      <c r="M312" s="16">
        <v>251</v>
      </c>
      <c r="N312" s="20">
        <v>41550</v>
      </c>
      <c r="O312" s="20">
        <v>41550</v>
      </c>
    </row>
    <row r="313" spans="1:15" ht="14.25">
      <c r="A313" s="17">
        <v>2013</v>
      </c>
      <c r="B313" s="18" t="s">
        <v>437</v>
      </c>
      <c r="C313" s="18" t="s">
        <v>438</v>
      </c>
      <c r="D313" s="19">
        <v>3062000</v>
      </c>
      <c r="E313" s="19">
        <v>0</v>
      </c>
      <c r="F313" s="19"/>
      <c r="G313" s="19">
        <v>880</v>
      </c>
      <c r="H313" s="19">
        <v>14.1</v>
      </c>
      <c r="I313" s="19"/>
      <c r="J313" s="19" t="s">
        <v>149</v>
      </c>
      <c r="K313" s="19" t="b">
        <v>1</v>
      </c>
      <c r="L313" s="15">
        <v>2018</v>
      </c>
      <c r="M313" s="16">
        <v>8850000</v>
      </c>
      <c r="N313" s="20">
        <v>41550</v>
      </c>
      <c r="O313" s="20">
        <v>41550</v>
      </c>
    </row>
    <row r="314" spans="1:15" ht="14.25">
      <c r="A314" s="17">
        <v>2013</v>
      </c>
      <c r="B314" s="18" t="s">
        <v>437</v>
      </c>
      <c r="C314" s="18" t="s">
        <v>438</v>
      </c>
      <c r="D314" s="19">
        <v>3062000</v>
      </c>
      <c r="E314" s="19">
        <v>0</v>
      </c>
      <c r="F314" s="19"/>
      <c r="G314" s="19">
        <v>580</v>
      </c>
      <c r="H314" s="19">
        <v>11.1</v>
      </c>
      <c r="I314" s="19"/>
      <c r="J314" s="19" t="s">
        <v>109</v>
      </c>
      <c r="K314" s="19" t="b">
        <v>0</v>
      </c>
      <c r="L314" s="15">
        <v>2013</v>
      </c>
      <c r="M314" s="16">
        <v>184298660.06</v>
      </c>
      <c r="N314" s="20">
        <v>41550</v>
      </c>
      <c r="O314" s="20">
        <v>41550</v>
      </c>
    </row>
    <row r="315" spans="1:15" ht="14.25">
      <c r="A315" s="17">
        <v>2013</v>
      </c>
      <c r="B315" s="18" t="s">
        <v>437</v>
      </c>
      <c r="C315" s="18" t="s">
        <v>438</v>
      </c>
      <c r="D315" s="19">
        <v>3062000</v>
      </c>
      <c r="E315" s="19">
        <v>0</v>
      </c>
      <c r="F315" s="19"/>
      <c r="G315" s="19">
        <v>310</v>
      </c>
      <c r="H315" s="19">
        <v>5.1</v>
      </c>
      <c r="I315" s="19"/>
      <c r="J315" s="19" t="s">
        <v>79</v>
      </c>
      <c r="K315" s="19" t="b">
        <v>1</v>
      </c>
      <c r="L315" s="15">
        <v>2016</v>
      </c>
      <c r="M315" s="16">
        <v>14799780</v>
      </c>
      <c r="N315" s="20">
        <v>41550</v>
      </c>
      <c r="O315" s="20">
        <v>41550</v>
      </c>
    </row>
    <row r="316" spans="1:15" ht="14.25">
      <c r="A316" s="17">
        <v>2013</v>
      </c>
      <c r="B316" s="18" t="s">
        <v>437</v>
      </c>
      <c r="C316" s="18" t="s">
        <v>438</v>
      </c>
      <c r="D316" s="19">
        <v>3062000</v>
      </c>
      <c r="E316" s="19">
        <v>0</v>
      </c>
      <c r="F316" s="19"/>
      <c r="G316" s="19">
        <v>120</v>
      </c>
      <c r="H316" s="19">
        <v>2</v>
      </c>
      <c r="I316" s="19" t="s">
        <v>443</v>
      </c>
      <c r="J316" s="19" t="s">
        <v>19</v>
      </c>
      <c r="K316" s="19" t="b">
        <v>0</v>
      </c>
      <c r="L316" s="15">
        <v>2013</v>
      </c>
      <c r="M316" s="16">
        <v>416900063.22</v>
      </c>
      <c r="N316" s="20">
        <v>41550</v>
      </c>
      <c r="O316" s="20">
        <v>41550</v>
      </c>
    </row>
    <row r="317" spans="1:15" ht="14.25">
      <c r="A317" s="17">
        <v>2013</v>
      </c>
      <c r="B317" s="18" t="s">
        <v>437</v>
      </c>
      <c r="C317" s="18" t="s">
        <v>438</v>
      </c>
      <c r="D317" s="19">
        <v>3062000</v>
      </c>
      <c r="E317" s="19">
        <v>0</v>
      </c>
      <c r="F317" s="19"/>
      <c r="G317" s="19">
        <v>190</v>
      </c>
      <c r="H317" s="19">
        <v>2.2</v>
      </c>
      <c r="I317" s="19"/>
      <c r="J317" s="19" t="s">
        <v>67</v>
      </c>
      <c r="K317" s="19" t="b">
        <v>0</v>
      </c>
      <c r="L317" s="15">
        <v>2025</v>
      </c>
      <c r="M317" s="16">
        <v>51387380</v>
      </c>
      <c r="N317" s="20">
        <v>41550</v>
      </c>
      <c r="O317" s="20">
        <v>41550</v>
      </c>
    </row>
    <row r="318" spans="1:15" ht="14.25">
      <c r="A318" s="17">
        <v>2013</v>
      </c>
      <c r="B318" s="18" t="s">
        <v>437</v>
      </c>
      <c r="C318" s="18" t="s">
        <v>438</v>
      </c>
      <c r="D318" s="19">
        <v>3062000</v>
      </c>
      <c r="E318" s="19">
        <v>0</v>
      </c>
      <c r="F318" s="19"/>
      <c r="G318" s="19">
        <v>540</v>
      </c>
      <c r="H318" s="19" t="s">
        <v>104</v>
      </c>
      <c r="I318" s="19" t="s">
        <v>453</v>
      </c>
      <c r="J318" s="19" t="s">
        <v>105</v>
      </c>
      <c r="K318" s="19" t="b">
        <v>0</v>
      </c>
      <c r="L318" s="15">
        <v>2021</v>
      </c>
      <c r="M318" s="16">
        <v>641</v>
      </c>
      <c r="N318" s="20">
        <v>41550</v>
      </c>
      <c r="O318" s="20">
        <v>41550</v>
      </c>
    </row>
    <row r="319" spans="1:15" ht="14.25">
      <c r="A319" s="17">
        <v>2013</v>
      </c>
      <c r="B319" s="18" t="s">
        <v>437</v>
      </c>
      <c r="C319" s="18" t="s">
        <v>438</v>
      </c>
      <c r="D319" s="19">
        <v>3062000</v>
      </c>
      <c r="E319" s="19">
        <v>0</v>
      </c>
      <c r="F319" s="19"/>
      <c r="G319" s="19">
        <v>200</v>
      </c>
      <c r="H319" s="19">
        <v>3</v>
      </c>
      <c r="I319" s="19" t="s">
        <v>457</v>
      </c>
      <c r="J319" s="19" t="s">
        <v>21</v>
      </c>
      <c r="K319" s="19" t="b">
        <v>0</v>
      </c>
      <c r="L319" s="15">
        <v>2023</v>
      </c>
      <c r="M319" s="16">
        <v>671200</v>
      </c>
      <c r="N319" s="20">
        <v>41550</v>
      </c>
      <c r="O319" s="20">
        <v>41550</v>
      </c>
    </row>
    <row r="320" spans="1:15" ht="14.25">
      <c r="A320" s="17">
        <v>2013</v>
      </c>
      <c r="B320" s="18" t="s">
        <v>437</v>
      </c>
      <c r="C320" s="18" t="s">
        <v>438</v>
      </c>
      <c r="D320" s="19">
        <v>3062000</v>
      </c>
      <c r="E320" s="19">
        <v>0</v>
      </c>
      <c r="F320" s="19"/>
      <c r="G320" s="19">
        <v>130</v>
      </c>
      <c r="H320" s="19">
        <v>2.1</v>
      </c>
      <c r="I320" s="19"/>
      <c r="J320" s="19" t="s">
        <v>56</v>
      </c>
      <c r="K320" s="19" t="b">
        <v>1</v>
      </c>
      <c r="L320" s="15">
        <v>2027</v>
      </c>
      <c r="M320" s="16">
        <v>355107492</v>
      </c>
      <c r="N320" s="20">
        <v>41550</v>
      </c>
      <c r="O320" s="20">
        <v>41550</v>
      </c>
    </row>
    <row r="321" spans="1:15" ht="14.25">
      <c r="A321" s="17">
        <v>2013</v>
      </c>
      <c r="B321" s="18" t="s">
        <v>437</v>
      </c>
      <c r="C321" s="18" t="s">
        <v>438</v>
      </c>
      <c r="D321" s="19">
        <v>3062000</v>
      </c>
      <c r="E321" s="19">
        <v>0</v>
      </c>
      <c r="F321" s="19"/>
      <c r="G321" s="19">
        <v>520</v>
      </c>
      <c r="H321" s="19" t="s">
        <v>101</v>
      </c>
      <c r="I321" s="19"/>
      <c r="J321" s="19" t="s">
        <v>449</v>
      </c>
      <c r="K321" s="19" t="b">
        <v>1</v>
      </c>
      <c r="L321" s="15">
        <v>2015</v>
      </c>
      <c r="M321" s="16">
        <v>0.0641</v>
      </c>
      <c r="N321" s="20">
        <v>41550</v>
      </c>
      <c r="O321" s="20">
        <v>41550</v>
      </c>
    </row>
    <row r="322" spans="1:15" ht="14.25">
      <c r="A322" s="17">
        <v>2013</v>
      </c>
      <c r="B322" s="18" t="s">
        <v>437</v>
      </c>
      <c r="C322" s="18" t="s">
        <v>438</v>
      </c>
      <c r="D322" s="19">
        <v>3062000</v>
      </c>
      <c r="E322" s="19">
        <v>0</v>
      </c>
      <c r="F322" s="19"/>
      <c r="G322" s="19">
        <v>170</v>
      </c>
      <c r="H322" s="19" t="s">
        <v>63</v>
      </c>
      <c r="I322" s="19"/>
      <c r="J322" s="19" t="s">
        <v>64</v>
      </c>
      <c r="K322" s="19" t="b">
        <v>1</v>
      </c>
      <c r="L322" s="15">
        <v>2023</v>
      </c>
      <c r="M322" s="16">
        <v>150000</v>
      </c>
      <c r="N322" s="20">
        <v>41550</v>
      </c>
      <c r="O322" s="20">
        <v>41550</v>
      </c>
    </row>
    <row r="323" spans="1:15" ht="14.25">
      <c r="A323" s="17">
        <v>2013</v>
      </c>
      <c r="B323" s="18" t="s">
        <v>437</v>
      </c>
      <c r="C323" s="18" t="s">
        <v>438</v>
      </c>
      <c r="D323" s="19">
        <v>3062000</v>
      </c>
      <c r="E323" s="19">
        <v>0</v>
      </c>
      <c r="F323" s="19"/>
      <c r="G323" s="19">
        <v>510</v>
      </c>
      <c r="H323" s="19">
        <v>9.7</v>
      </c>
      <c r="I323" s="19"/>
      <c r="J323" s="19" t="s">
        <v>452</v>
      </c>
      <c r="K323" s="19" t="b">
        <v>1</v>
      </c>
      <c r="L323" s="15">
        <v>2013</v>
      </c>
      <c r="M323" s="16">
        <v>0.0468</v>
      </c>
      <c r="N323" s="20">
        <v>41550</v>
      </c>
      <c r="O323" s="20">
        <v>41550</v>
      </c>
    </row>
    <row r="324" spans="1:15" ht="14.25">
      <c r="A324" s="17">
        <v>2013</v>
      </c>
      <c r="B324" s="18" t="s">
        <v>437</v>
      </c>
      <c r="C324" s="18" t="s">
        <v>438</v>
      </c>
      <c r="D324" s="19">
        <v>3062000</v>
      </c>
      <c r="E324" s="19">
        <v>0</v>
      </c>
      <c r="F324" s="19"/>
      <c r="G324" s="19">
        <v>880</v>
      </c>
      <c r="H324" s="19">
        <v>14.1</v>
      </c>
      <c r="I324" s="19"/>
      <c r="J324" s="19" t="s">
        <v>149</v>
      </c>
      <c r="K324" s="19" t="b">
        <v>1</v>
      </c>
      <c r="L324" s="15">
        <v>2014</v>
      </c>
      <c r="M324" s="16">
        <v>13274524.92</v>
      </c>
      <c r="N324" s="20">
        <v>41550</v>
      </c>
      <c r="O324" s="20">
        <v>41550</v>
      </c>
    </row>
    <row r="325" spans="1:15" ht="14.25">
      <c r="A325" s="17">
        <v>2013</v>
      </c>
      <c r="B325" s="18" t="s">
        <v>437</v>
      </c>
      <c r="C325" s="18" t="s">
        <v>438</v>
      </c>
      <c r="D325" s="19">
        <v>3062000</v>
      </c>
      <c r="E325" s="19">
        <v>0</v>
      </c>
      <c r="F325" s="19"/>
      <c r="G325" s="19">
        <v>530</v>
      </c>
      <c r="H325" s="19">
        <v>9.8</v>
      </c>
      <c r="I325" s="19" t="s">
        <v>444</v>
      </c>
      <c r="J325" s="19" t="s">
        <v>103</v>
      </c>
      <c r="K325" s="19" t="b">
        <v>0</v>
      </c>
      <c r="L325" s="15">
        <v>2021</v>
      </c>
      <c r="M325" s="16">
        <v>641</v>
      </c>
      <c r="N325" s="20">
        <v>41550</v>
      </c>
      <c r="O325" s="20">
        <v>41550</v>
      </c>
    </row>
    <row r="326" spans="1:15" ht="14.25">
      <c r="A326" s="17">
        <v>2013</v>
      </c>
      <c r="B326" s="18" t="s">
        <v>437</v>
      </c>
      <c r="C326" s="18" t="s">
        <v>438</v>
      </c>
      <c r="D326" s="19">
        <v>3062000</v>
      </c>
      <c r="E326" s="19">
        <v>0</v>
      </c>
      <c r="F326" s="19"/>
      <c r="G326" s="19">
        <v>500</v>
      </c>
      <c r="H326" s="19">
        <v>9.6</v>
      </c>
      <c r="I326" s="19" t="s">
        <v>454</v>
      </c>
      <c r="J326" s="19" t="s">
        <v>97</v>
      </c>
      <c r="K326" s="19" t="b">
        <v>0</v>
      </c>
      <c r="L326" s="15">
        <v>2027</v>
      </c>
      <c r="M326" s="16">
        <v>0.0213</v>
      </c>
      <c r="N326" s="20">
        <v>41550</v>
      </c>
      <c r="O326" s="20">
        <v>41550</v>
      </c>
    </row>
    <row r="327" spans="1:15" ht="14.25">
      <c r="A327" s="17">
        <v>2013</v>
      </c>
      <c r="B327" s="18" t="s">
        <v>437</v>
      </c>
      <c r="C327" s="18" t="s">
        <v>438</v>
      </c>
      <c r="D327" s="19">
        <v>3062000</v>
      </c>
      <c r="E327" s="19">
        <v>0</v>
      </c>
      <c r="F327" s="19"/>
      <c r="G327" s="19">
        <v>190</v>
      </c>
      <c r="H327" s="19">
        <v>2.2</v>
      </c>
      <c r="I327" s="19"/>
      <c r="J327" s="19" t="s">
        <v>67</v>
      </c>
      <c r="K327" s="19" t="b">
        <v>0</v>
      </c>
      <c r="L327" s="15">
        <v>2026</v>
      </c>
      <c r="M327" s="16">
        <v>51387380</v>
      </c>
      <c r="N327" s="20">
        <v>41550</v>
      </c>
      <c r="O327" s="20">
        <v>41550</v>
      </c>
    </row>
    <row r="328" spans="1:15" ht="14.25">
      <c r="A328" s="17">
        <v>2013</v>
      </c>
      <c r="B328" s="18" t="s">
        <v>437</v>
      </c>
      <c r="C328" s="18" t="s">
        <v>438</v>
      </c>
      <c r="D328" s="19">
        <v>3062000</v>
      </c>
      <c r="E328" s="19">
        <v>0</v>
      </c>
      <c r="F328" s="19"/>
      <c r="G328" s="19">
        <v>50</v>
      </c>
      <c r="H328" s="19" t="s">
        <v>43</v>
      </c>
      <c r="I328" s="19"/>
      <c r="J328" s="19" t="s">
        <v>44</v>
      </c>
      <c r="K328" s="19" t="b">
        <v>1</v>
      </c>
      <c r="L328" s="15">
        <v>2013</v>
      </c>
      <c r="M328" s="16">
        <v>100811857</v>
      </c>
      <c r="N328" s="20">
        <v>41550</v>
      </c>
      <c r="O328" s="20">
        <v>41550</v>
      </c>
    </row>
    <row r="329" spans="1:15" ht="14.25">
      <c r="A329" s="17">
        <v>2013</v>
      </c>
      <c r="B329" s="18" t="s">
        <v>437</v>
      </c>
      <c r="C329" s="18" t="s">
        <v>438</v>
      </c>
      <c r="D329" s="19">
        <v>3062000</v>
      </c>
      <c r="E329" s="19">
        <v>0</v>
      </c>
      <c r="F329" s="19"/>
      <c r="G329" s="19">
        <v>350</v>
      </c>
      <c r="H329" s="19">
        <v>6</v>
      </c>
      <c r="I329" s="19"/>
      <c r="J329" s="19" t="s">
        <v>25</v>
      </c>
      <c r="K329" s="19" t="b">
        <v>1</v>
      </c>
      <c r="L329" s="15">
        <v>2018</v>
      </c>
      <c r="M329" s="16">
        <v>55909200</v>
      </c>
      <c r="N329" s="20">
        <v>41550</v>
      </c>
      <c r="O329" s="20">
        <v>41550</v>
      </c>
    </row>
    <row r="330" spans="1:15" ht="14.25">
      <c r="A330" s="17">
        <v>2013</v>
      </c>
      <c r="B330" s="18" t="s">
        <v>437</v>
      </c>
      <c r="C330" s="18" t="s">
        <v>438</v>
      </c>
      <c r="D330" s="19">
        <v>3062000</v>
      </c>
      <c r="E330" s="19">
        <v>0</v>
      </c>
      <c r="F330" s="19"/>
      <c r="G330" s="19">
        <v>300</v>
      </c>
      <c r="H330" s="19">
        <v>5</v>
      </c>
      <c r="I330" s="19" t="s">
        <v>455</v>
      </c>
      <c r="J330" s="19" t="s">
        <v>78</v>
      </c>
      <c r="K330" s="19" t="b">
        <v>0</v>
      </c>
      <c r="L330" s="15">
        <v>2016</v>
      </c>
      <c r="M330" s="16">
        <v>14799780</v>
      </c>
      <c r="N330" s="20">
        <v>41550</v>
      </c>
      <c r="O330" s="20">
        <v>41550</v>
      </c>
    </row>
    <row r="331" spans="1:15" ht="14.25">
      <c r="A331" s="17">
        <v>2013</v>
      </c>
      <c r="B331" s="18" t="s">
        <v>437</v>
      </c>
      <c r="C331" s="18" t="s">
        <v>438</v>
      </c>
      <c r="D331" s="19">
        <v>3062000</v>
      </c>
      <c r="E331" s="19">
        <v>0</v>
      </c>
      <c r="F331" s="19"/>
      <c r="G331" s="19">
        <v>560</v>
      </c>
      <c r="H331" s="19">
        <v>10.1</v>
      </c>
      <c r="I331" s="19"/>
      <c r="J331" s="19" t="s">
        <v>107</v>
      </c>
      <c r="K331" s="19" t="b">
        <v>0</v>
      </c>
      <c r="L331" s="15">
        <v>2025</v>
      </c>
      <c r="M331" s="16">
        <v>81200</v>
      </c>
      <c r="N331" s="20">
        <v>41550</v>
      </c>
      <c r="O331" s="20">
        <v>41550</v>
      </c>
    </row>
    <row r="332" spans="1:15" ht="14.25">
      <c r="A332" s="17">
        <v>2013</v>
      </c>
      <c r="B332" s="18" t="s">
        <v>437</v>
      </c>
      <c r="C332" s="18" t="s">
        <v>438</v>
      </c>
      <c r="D332" s="19">
        <v>3062000</v>
      </c>
      <c r="E332" s="19">
        <v>0</v>
      </c>
      <c r="F332" s="19"/>
      <c r="G332" s="19">
        <v>170</v>
      </c>
      <c r="H332" s="19" t="s">
        <v>63</v>
      </c>
      <c r="I332" s="19"/>
      <c r="J332" s="19" t="s">
        <v>64</v>
      </c>
      <c r="K332" s="19" t="b">
        <v>1</v>
      </c>
      <c r="L332" s="15">
        <v>2027</v>
      </c>
      <c r="M332" s="16">
        <v>50000</v>
      </c>
      <c r="N332" s="20">
        <v>41550</v>
      </c>
      <c r="O332" s="20">
        <v>41550</v>
      </c>
    </row>
    <row r="333" spans="1:15" ht="14.25">
      <c r="A333" s="17">
        <v>2013</v>
      </c>
      <c r="B333" s="18" t="s">
        <v>437</v>
      </c>
      <c r="C333" s="18" t="s">
        <v>438</v>
      </c>
      <c r="D333" s="19">
        <v>3062000</v>
      </c>
      <c r="E333" s="19">
        <v>0</v>
      </c>
      <c r="F333" s="19"/>
      <c r="G333" s="19">
        <v>540</v>
      </c>
      <c r="H333" s="19" t="s">
        <v>104</v>
      </c>
      <c r="I333" s="19" t="s">
        <v>453</v>
      </c>
      <c r="J333" s="19" t="s">
        <v>105</v>
      </c>
      <c r="K333" s="19" t="b">
        <v>0</v>
      </c>
      <c r="L333" s="15">
        <v>2015</v>
      </c>
      <c r="M333" s="16">
        <v>42</v>
      </c>
      <c r="N333" s="20">
        <v>41550</v>
      </c>
      <c r="O333" s="20">
        <v>41550</v>
      </c>
    </row>
    <row r="334" spans="1:15" ht="14.25">
      <c r="A334" s="17">
        <v>2013</v>
      </c>
      <c r="B334" s="18" t="s">
        <v>437</v>
      </c>
      <c r="C334" s="18" t="s">
        <v>438</v>
      </c>
      <c r="D334" s="19">
        <v>3062000</v>
      </c>
      <c r="E334" s="19">
        <v>0</v>
      </c>
      <c r="F334" s="19"/>
      <c r="G334" s="19">
        <v>500</v>
      </c>
      <c r="H334" s="19">
        <v>9.6</v>
      </c>
      <c r="I334" s="19" t="s">
        <v>454</v>
      </c>
      <c r="J334" s="19" t="s">
        <v>97</v>
      </c>
      <c r="K334" s="19" t="b">
        <v>0</v>
      </c>
      <c r="L334" s="15">
        <v>2014</v>
      </c>
      <c r="M334" s="16">
        <v>0.0516</v>
      </c>
      <c r="N334" s="20">
        <v>41550</v>
      </c>
      <c r="O334" s="20">
        <v>41550</v>
      </c>
    </row>
    <row r="335" spans="1:15" ht="14.25">
      <c r="A335" s="17">
        <v>2013</v>
      </c>
      <c r="B335" s="18" t="s">
        <v>437</v>
      </c>
      <c r="C335" s="18" t="s">
        <v>438</v>
      </c>
      <c r="D335" s="19">
        <v>3062000</v>
      </c>
      <c r="E335" s="19">
        <v>0</v>
      </c>
      <c r="F335" s="19"/>
      <c r="G335" s="19">
        <v>180</v>
      </c>
      <c r="H335" s="19" t="s">
        <v>65</v>
      </c>
      <c r="I335" s="19"/>
      <c r="J335" s="19" t="s">
        <v>66</v>
      </c>
      <c r="K335" s="19" t="b">
        <v>0</v>
      </c>
      <c r="L335" s="15">
        <v>2026</v>
      </c>
      <c r="M335" s="16">
        <v>100000</v>
      </c>
      <c r="N335" s="20">
        <v>41550</v>
      </c>
      <c r="O335" s="20">
        <v>41550</v>
      </c>
    </row>
    <row r="336" spans="1:15" ht="14.25">
      <c r="A336" s="17">
        <v>2013</v>
      </c>
      <c r="B336" s="18" t="s">
        <v>437</v>
      </c>
      <c r="C336" s="18" t="s">
        <v>438</v>
      </c>
      <c r="D336" s="19">
        <v>3062000</v>
      </c>
      <c r="E336" s="19">
        <v>0</v>
      </c>
      <c r="F336" s="19"/>
      <c r="G336" s="19">
        <v>505</v>
      </c>
      <c r="H336" s="19" t="s">
        <v>98</v>
      </c>
      <c r="I336" s="19" t="s">
        <v>441</v>
      </c>
      <c r="J336" s="19" t="s">
        <v>99</v>
      </c>
      <c r="K336" s="19" t="b">
        <v>0</v>
      </c>
      <c r="L336" s="15">
        <v>2015</v>
      </c>
      <c r="M336" s="16">
        <v>0.0985</v>
      </c>
      <c r="N336" s="20">
        <v>41550</v>
      </c>
      <c r="O336" s="20">
        <v>41550</v>
      </c>
    </row>
    <row r="337" spans="1:15" ht="14.25">
      <c r="A337" s="17">
        <v>2013</v>
      </c>
      <c r="B337" s="18" t="s">
        <v>437</v>
      </c>
      <c r="C337" s="18" t="s">
        <v>438</v>
      </c>
      <c r="D337" s="19">
        <v>3062000</v>
      </c>
      <c r="E337" s="19">
        <v>0</v>
      </c>
      <c r="F337" s="19"/>
      <c r="G337" s="19">
        <v>300</v>
      </c>
      <c r="H337" s="19">
        <v>5</v>
      </c>
      <c r="I337" s="19" t="s">
        <v>455</v>
      </c>
      <c r="J337" s="19" t="s">
        <v>78</v>
      </c>
      <c r="K337" s="19" t="b">
        <v>0</v>
      </c>
      <c r="L337" s="15">
        <v>2027</v>
      </c>
      <c r="M337" s="16">
        <v>47600</v>
      </c>
      <c r="N337" s="20">
        <v>41550</v>
      </c>
      <c r="O337" s="20">
        <v>41550</v>
      </c>
    </row>
    <row r="338" spans="1:15" ht="14.25">
      <c r="A338" s="17">
        <v>2013</v>
      </c>
      <c r="B338" s="18" t="s">
        <v>437</v>
      </c>
      <c r="C338" s="18" t="s">
        <v>438</v>
      </c>
      <c r="D338" s="19">
        <v>3062000</v>
      </c>
      <c r="E338" s="19">
        <v>0</v>
      </c>
      <c r="F338" s="19"/>
      <c r="G338" s="19">
        <v>170</v>
      </c>
      <c r="H338" s="19" t="s">
        <v>63</v>
      </c>
      <c r="I338" s="19"/>
      <c r="J338" s="19" t="s">
        <v>64</v>
      </c>
      <c r="K338" s="19" t="b">
        <v>1</v>
      </c>
      <c r="L338" s="15">
        <v>2016</v>
      </c>
      <c r="M338" s="16">
        <v>5750000</v>
      </c>
      <c r="N338" s="20">
        <v>41550</v>
      </c>
      <c r="O338" s="20">
        <v>41550</v>
      </c>
    </row>
    <row r="339" spans="1:15" ht="14.25">
      <c r="A339" s="17">
        <v>2013</v>
      </c>
      <c r="B339" s="18" t="s">
        <v>437</v>
      </c>
      <c r="C339" s="18" t="s">
        <v>438</v>
      </c>
      <c r="D339" s="19">
        <v>3062000</v>
      </c>
      <c r="E339" s="19">
        <v>0</v>
      </c>
      <c r="F339" s="19"/>
      <c r="G339" s="19">
        <v>120</v>
      </c>
      <c r="H339" s="19">
        <v>2</v>
      </c>
      <c r="I339" s="19" t="s">
        <v>443</v>
      </c>
      <c r="J339" s="19" t="s">
        <v>19</v>
      </c>
      <c r="K339" s="19" t="b">
        <v>0</v>
      </c>
      <c r="L339" s="15">
        <v>2023</v>
      </c>
      <c r="M339" s="16">
        <v>406004872</v>
      </c>
      <c r="N339" s="20">
        <v>41550</v>
      </c>
      <c r="O339" s="20">
        <v>41550</v>
      </c>
    </row>
    <row r="340" spans="1:15" ht="14.25">
      <c r="A340" s="17">
        <v>2013</v>
      </c>
      <c r="B340" s="18" t="s">
        <v>437</v>
      </c>
      <c r="C340" s="18" t="s">
        <v>438</v>
      </c>
      <c r="D340" s="19">
        <v>3062000</v>
      </c>
      <c r="E340" s="19">
        <v>0</v>
      </c>
      <c r="F340" s="19"/>
      <c r="G340" s="19">
        <v>520</v>
      </c>
      <c r="H340" s="19" t="s">
        <v>101</v>
      </c>
      <c r="I340" s="19"/>
      <c r="J340" s="19" t="s">
        <v>449</v>
      </c>
      <c r="K340" s="19" t="b">
        <v>1</v>
      </c>
      <c r="L340" s="15">
        <v>2014</v>
      </c>
      <c r="M340" s="16">
        <v>0.0576</v>
      </c>
      <c r="N340" s="20">
        <v>41550</v>
      </c>
      <c r="O340" s="20">
        <v>41550</v>
      </c>
    </row>
    <row r="341" spans="1:15" ht="14.25">
      <c r="A341" s="17">
        <v>2013</v>
      </c>
      <c r="B341" s="18" t="s">
        <v>437</v>
      </c>
      <c r="C341" s="18" t="s">
        <v>438</v>
      </c>
      <c r="D341" s="19">
        <v>3062000</v>
      </c>
      <c r="E341" s="19">
        <v>0</v>
      </c>
      <c r="F341" s="19"/>
      <c r="G341" s="19">
        <v>720</v>
      </c>
      <c r="H341" s="19" t="s">
        <v>128</v>
      </c>
      <c r="I341" s="19"/>
      <c r="J341" s="19" t="s">
        <v>129</v>
      </c>
      <c r="K341" s="19" t="b">
        <v>0</v>
      </c>
      <c r="L341" s="15">
        <v>2013</v>
      </c>
      <c r="M341" s="16">
        <v>2224061</v>
      </c>
      <c r="N341" s="20">
        <v>41550</v>
      </c>
      <c r="O341" s="20">
        <v>41550</v>
      </c>
    </row>
    <row r="342" spans="1:15" ht="14.25">
      <c r="A342" s="17">
        <v>2013</v>
      </c>
      <c r="B342" s="18" t="s">
        <v>437</v>
      </c>
      <c r="C342" s="18" t="s">
        <v>438</v>
      </c>
      <c r="D342" s="19">
        <v>3062000</v>
      </c>
      <c r="E342" s="19">
        <v>0</v>
      </c>
      <c r="F342" s="19"/>
      <c r="G342" s="19">
        <v>610</v>
      </c>
      <c r="H342" s="19" t="s">
        <v>112</v>
      </c>
      <c r="I342" s="19"/>
      <c r="J342" s="19" t="s">
        <v>113</v>
      </c>
      <c r="K342" s="19" t="b">
        <v>1</v>
      </c>
      <c r="L342" s="15">
        <v>2017</v>
      </c>
      <c r="M342" s="16">
        <v>1409061</v>
      </c>
      <c r="N342" s="20">
        <v>41550</v>
      </c>
      <c r="O342" s="20">
        <v>41550</v>
      </c>
    </row>
    <row r="343" spans="1:15" ht="14.25">
      <c r="A343" s="17">
        <v>2013</v>
      </c>
      <c r="B343" s="18" t="s">
        <v>437</v>
      </c>
      <c r="C343" s="18" t="s">
        <v>438</v>
      </c>
      <c r="D343" s="19">
        <v>3062000</v>
      </c>
      <c r="E343" s="19">
        <v>0</v>
      </c>
      <c r="F343" s="19"/>
      <c r="G343" s="19">
        <v>500</v>
      </c>
      <c r="H343" s="19">
        <v>9.6</v>
      </c>
      <c r="I343" s="19" t="s">
        <v>454</v>
      </c>
      <c r="J343" s="19" t="s">
        <v>97</v>
      </c>
      <c r="K343" s="19" t="b">
        <v>0</v>
      </c>
      <c r="L343" s="15">
        <v>2018</v>
      </c>
      <c r="M343" s="16">
        <v>0.0754</v>
      </c>
      <c r="N343" s="20">
        <v>41550</v>
      </c>
      <c r="O343" s="20">
        <v>41550</v>
      </c>
    </row>
    <row r="344" spans="1:15" ht="14.25">
      <c r="A344" s="17">
        <v>2013</v>
      </c>
      <c r="B344" s="18" t="s">
        <v>437</v>
      </c>
      <c r="C344" s="18" t="s">
        <v>438</v>
      </c>
      <c r="D344" s="19">
        <v>3062000</v>
      </c>
      <c r="E344" s="19">
        <v>0</v>
      </c>
      <c r="F344" s="19"/>
      <c r="G344" s="19">
        <v>300</v>
      </c>
      <c r="H344" s="19">
        <v>5</v>
      </c>
      <c r="I344" s="19" t="s">
        <v>455</v>
      </c>
      <c r="J344" s="19" t="s">
        <v>78</v>
      </c>
      <c r="K344" s="19" t="b">
        <v>0</v>
      </c>
      <c r="L344" s="15">
        <v>2020</v>
      </c>
      <c r="M344" s="16">
        <v>18001200</v>
      </c>
      <c r="N344" s="20">
        <v>41550</v>
      </c>
      <c r="O344" s="20">
        <v>41550</v>
      </c>
    </row>
    <row r="345" spans="1:15" ht="14.25">
      <c r="A345" s="17">
        <v>2013</v>
      </c>
      <c r="B345" s="18" t="s">
        <v>437</v>
      </c>
      <c r="C345" s="18" t="s">
        <v>438</v>
      </c>
      <c r="D345" s="19">
        <v>3062000</v>
      </c>
      <c r="E345" s="19">
        <v>0</v>
      </c>
      <c r="F345" s="19"/>
      <c r="G345" s="19">
        <v>390</v>
      </c>
      <c r="H345" s="19">
        <v>6.3</v>
      </c>
      <c r="I345" s="19" t="s">
        <v>442</v>
      </c>
      <c r="J345" s="19" t="s">
        <v>89</v>
      </c>
      <c r="K345" s="19" t="b">
        <v>0</v>
      </c>
      <c r="L345" s="15">
        <v>2015</v>
      </c>
      <c r="M345" s="16">
        <v>0.2686</v>
      </c>
      <c r="N345" s="20">
        <v>41550</v>
      </c>
      <c r="O345" s="20">
        <v>41550</v>
      </c>
    </row>
    <row r="346" spans="1:15" ht="14.25">
      <c r="A346" s="17">
        <v>2013</v>
      </c>
      <c r="B346" s="18" t="s">
        <v>437</v>
      </c>
      <c r="C346" s="18" t="s">
        <v>438</v>
      </c>
      <c r="D346" s="19">
        <v>3062000</v>
      </c>
      <c r="E346" s="19">
        <v>0</v>
      </c>
      <c r="F346" s="19"/>
      <c r="G346" s="19">
        <v>430</v>
      </c>
      <c r="H346" s="19">
        <v>8.2</v>
      </c>
      <c r="I346" s="19" t="s">
        <v>447</v>
      </c>
      <c r="J346" s="19" t="s">
        <v>92</v>
      </c>
      <c r="K346" s="19" t="b">
        <v>0</v>
      </c>
      <c r="L346" s="15">
        <v>2027</v>
      </c>
      <c r="M346" s="16">
        <v>51568580</v>
      </c>
      <c r="N346" s="20">
        <v>41550</v>
      </c>
      <c r="O346" s="20">
        <v>41550</v>
      </c>
    </row>
    <row r="347" spans="1:15" ht="14.25">
      <c r="A347" s="17">
        <v>2013</v>
      </c>
      <c r="B347" s="18" t="s">
        <v>437</v>
      </c>
      <c r="C347" s="18" t="s">
        <v>438</v>
      </c>
      <c r="D347" s="19">
        <v>3062000</v>
      </c>
      <c r="E347" s="19">
        <v>0</v>
      </c>
      <c r="F347" s="19"/>
      <c r="G347" s="19">
        <v>470</v>
      </c>
      <c r="H347" s="19">
        <v>9.3</v>
      </c>
      <c r="I347" s="19" t="s">
        <v>450</v>
      </c>
      <c r="J347" s="19" t="s">
        <v>451</v>
      </c>
      <c r="K347" s="19" t="b">
        <v>1</v>
      </c>
      <c r="L347" s="15">
        <v>2016</v>
      </c>
      <c r="M347" s="16">
        <v>0.0511</v>
      </c>
      <c r="N347" s="20">
        <v>41550</v>
      </c>
      <c r="O347" s="20">
        <v>41550</v>
      </c>
    </row>
    <row r="348" spans="1:15" ht="14.25">
      <c r="A348" s="17">
        <v>2013</v>
      </c>
      <c r="B348" s="18" t="s">
        <v>437</v>
      </c>
      <c r="C348" s="18" t="s">
        <v>438</v>
      </c>
      <c r="D348" s="19">
        <v>3062000</v>
      </c>
      <c r="E348" s="19">
        <v>0</v>
      </c>
      <c r="F348" s="19"/>
      <c r="G348" s="19">
        <v>190</v>
      </c>
      <c r="H348" s="19">
        <v>2.2</v>
      </c>
      <c r="I348" s="19"/>
      <c r="J348" s="19" t="s">
        <v>67</v>
      </c>
      <c r="K348" s="19" t="b">
        <v>0</v>
      </c>
      <c r="L348" s="15">
        <v>2021</v>
      </c>
      <c r="M348" s="16">
        <v>37191380</v>
      </c>
      <c r="N348" s="20">
        <v>41550</v>
      </c>
      <c r="O348" s="20">
        <v>41550</v>
      </c>
    </row>
    <row r="349" spans="1:15" ht="14.25">
      <c r="A349" s="17">
        <v>2013</v>
      </c>
      <c r="B349" s="18" t="s">
        <v>437</v>
      </c>
      <c r="C349" s="18" t="s">
        <v>438</v>
      </c>
      <c r="D349" s="19">
        <v>3062000</v>
      </c>
      <c r="E349" s="19">
        <v>0</v>
      </c>
      <c r="F349" s="19"/>
      <c r="G349" s="19">
        <v>505</v>
      </c>
      <c r="H349" s="19" t="s">
        <v>98</v>
      </c>
      <c r="I349" s="19" t="s">
        <v>441</v>
      </c>
      <c r="J349" s="19" t="s">
        <v>99</v>
      </c>
      <c r="K349" s="19" t="b">
        <v>0</v>
      </c>
      <c r="L349" s="15">
        <v>2019</v>
      </c>
      <c r="M349" s="16">
        <v>0.1256</v>
      </c>
      <c r="N349" s="20">
        <v>41550</v>
      </c>
      <c r="O349" s="20">
        <v>41550</v>
      </c>
    </row>
    <row r="350" spans="1:15" ht="14.25">
      <c r="A350" s="17">
        <v>2013</v>
      </c>
      <c r="B350" s="18" t="s">
        <v>437</v>
      </c>
      <c r="C350" s="18" t="s">
        <v>438</v>
      </c>
      <c r="D350" s="19">
        <v>3062000</v>
      </c>
      <c r="E350" s="19">
        <v>0</v>
      </c>
      <c r="F350" s="19"/>
      <c r="G350" s="19">
        <v>120</v>
      </c>
      <c r="H350" s="19">
        <v>2</v>
      </c>
      <c r="I350" s="19" t="s">
        <v>443</v>
      </c>
      <c r="J350" s="19" t="s">
        <v>19</v>
      </c>
      <c r="K350" s="19" t="b">
        <v>0</v>
      </c>
      <c r="L350" s="15">
        <v>2027</v>
      </c>
      <c r="M350" s="16">
        <v>406628472</v>
      </c>
      <c r="N350" s="20">
        <v>41550</v>
      </c>
      <c r="O350" s="20">
        <v>41550</v>
      </c>
    </row>
    <row r="351" spans="1:15" ht="14.25">
      <c r="A351" s="17">
        <v>2013</v>
      </c>
      <c r="B351" s="18" t="s">
        <v>437</v>
      </c>
      <c r="C351" s="18" t="s">
        <v>438</v>
      </c>
      <c r="D351" s="19">
        <v>3062000</v>
      </c>
      <c r="E351" s="19">
        <v>0</v>
      </c>
      <c r="F351" s="19"/>
      <c r="G351" s="19">
        <v>310</v>
      </c>
      <c r="H351" s="19">
        <v>5.1</v>
      </c>
      <c r="I351" s="19"/>
      <c r="J351" s="19" t="s">
        <v>79</v>
      </c>
      <c r="K351" s="19" t="b">
        <v>1</v>
      </c>
      <c r="L351" s="15">
        <v>2023</v>
      </c>
      <c r="M351" s="16">
        <v>671200</v>
      </c>
      <c r="N351" s="20">
        <v>41550</v>
      </c>
      <c r="O351" s="20">
        <v>41550</v>
      </c>
    </row>
    <row r="352" spans="1:15" ht="14.25">
      <c r="A352" s="17">
        <v>2013</v>
      </c>
      <c r="B352" s="18" t="s">
        <v>437</v>
      </c>
      <c r="C352" s="18" t="s">
        <v>438</v>
      </c>
      <c r="D352" s="19">
        <v>3062000</v>
      </c>
      <c r="E352" s="19">
        <v>0</v>
      </c>
      <c r="F352" s="19"/>
      <c r="G352" s="19">
        <v>390</v>
      </c>
      <c r="H352" s="19">
        <v>6.3</v>
      </c>
      <c r="I352" s="19" t="s">
        <v>442</v>
      </c>
      <c r="J352" s="19" t="s">
        <v>89</v>
      </c>
      <c r="K352" s="19" t="b">
        <v>0</v>
      </c>
      <c r="L352" s="15">
        <v>2023</v>
      </c>
      <c r="M352" s="16">
        <v>0.0007</v>
      </c>
      <c r="N352" s="20">
        <v>41550</v>
      </c>
      <c r="O352" s="20">
        <v>41550</v>
      </c>
    </row>
    <row r="353" spans="1:15" ht="14.25">
      <c r="A353" s="17">
        <v>2013</v>
      </c>
      <c r="B353" s="18" t="s">
        <v>437</v>
      </c>
      <c r="C353" s="18" t="s">
        <v>438</v>
      </c>
      <c r="D353" s="19">
        <v>3062000</v>
      </c>
      <c r="E353" s="19">
        <v>0</v>
      </c>
      <c r="F353" s="19"/>
      <c r="G353" s="19">
        <v>40</v>
      </c>
      <c r="H353" s="19" t="s">
        <v>41</v>
      </c>
      <c r="I353" s="19"/>
      <c r="J353" s="19" t="s">
        <v>42</v>
      </c>
      <c r="K353" s="19" t="b">
        <v>1</v>
      </c>
      <c r="L353" s="15">
        <v>2013</v>
      </c>
      <c r="M353" s="16">
        <v>7850000</v>
      </c>
      <c r="N353" s="20">
        <v>41550</v>
      </c>
      <c r="O353" s="20">
        <v>41550</v>
      </c>
    </row>
    <row r="354" spans="1:15" ht="14.25">
      <c r="A354" s="17">
        <v>2013</v>
      </c>
      <c r="B354" s="18" t="s">
        <v>437</v>
      </c>
      <c r="C354" s="18" t="s">
        <v>438</v>
      </c>
      <c r="D354" s="19">
        <v>3062000</v>
      </c>
      <c r="E354" s="19">
        <v>0</v>
      </c>
      <c r="F354" s="19"/>
      <c r="G354" s="19">
        <v>505</v>
      </c>
      <c r="H354" s="19" t="s">
        <v>98</v>
      </c>
      <c r="I354" s="19" t="s">
        <v>441</v>
      </c>
      <c r="J354" s="19" t="s">
        <v>99</v>
      </c>
      <c r="K354" s="19" t="b">
        <v>0</v>
      </c>
      <c r="L354" s="15">
        <v>2016</v>
      </c>
      <c r="M354" s="16">
        <v>0.1179</v>
      </c>
      <c r="N354" s="20">
        <v>41550</v>
      </c>
      <c r="O354" s="20">
        <v>41550</v>
      </c>
    </row>
    <row r="355" spans="1:15" ht="14.25">
      <c r="A355" s="17">
        <v>2013</v>
      </c>
      <c r="B355" s="18" t="s">
        <v>437</v>
      </c>
      <c r="C355" s="18" t="s">
        <v>438</v>
      </c>
      <c r="D355" s="19">
        <v>3062000</v>
      </c>
      <c r="E355" s="19">
        <v>0</v>
      </c>
      <c r="F355" s="19"/>
      <c r="G355" s="19">
        <v>540</v>
      </c>
      <c r="H355" s="19" t="s">
        <v>104</v>
      </c>
      <c r="I355" s="19" t="s">
        <v>453</v>
      </c>
      <c r="J355" s="19" t="s">
        <v>105</v>
      </c>
      <c r="K355" s="19" t="b">
        <v>0</v>
      </c>
      <c r="L355" s="15">
        <v>2017</v>
      </c>
      <c r="M355" s="16">
        <v>114</v>
      </c>
      <c r="N355" s="20">
        <v>41550</v>
      </c>
      <c r="O355" s="20">
        <v>41550</v>
      </c>
    </row>
    <row r="356" spans="1:15" ht="14.25">
      <c r="A356" s="17">
        <v>2013</v>
      </c>
      <c r="B356" s="18" t="s">
        <v>437</v>
      </c>
      <c r="C356" s="18" t="s">
        <v>438</v>
      </c>
      <c r="D356" s="19">
        <v>3062000</v>
      </c>
      <c r="E356" s="19">
        <v>0</v>
      </c>
      <c r="F356" s="19"/>
      <c r="G356" s="19">
        <v>130</v>
      </c>
      <c r="H356" s="19">
        <v>2.1</v>
      </c>
      <c r="I356" s="19"/>
      <c r="J356" s="19" t="s">
        <v>56</v>
      </c>
      <c r="K356" s="19" t="b">
        <v>1</v>
      </c>
      <c r="L356" s="15">
        <v>2018</v>
      </c>
      <c r="M356" s="16">
        <v>355007492</v>
      </c>
      <c r="N356" s="20">
        <v>41550</v>
      </c>
      <c r="O356" s="20">
        <v>41550</v>
      </c>
    </row>
    <row r="357" spans="1:15" ht="14.25">
      <c r="A357" s="17">
        <v>2013</v>
      </c>
      <c r="B357" s="18" t="s">
        <v>437</v>
      </c>
      <c r="C357" s="18" t="s">
        <v>438</v>
      </c>
      <c r="D357" s="19">
        <v>3062000</v>
      </c>
      <c r="E357" s="19">
        <v>0</v>
      </c>
      <c r="F357" s="19"/>
      <c r="G357" s="19">
        <v>300</v>
      </c>
      <c r="H357" s="19">
        <v>5</v>
      </c>
      <c r="I357" s="19" t="s">
        <v>455</v>
      </c>
      <c r="J357" s="19" t="s">
        <v>78</v>
      </c>
      <c r="K357" s="19" t="b">
        <v>0</v>
      </c>
      <c r="L357" s="15">
        <v>2025</v>
      </c>
      <c r="M357" s="16">
        <v>81200</v>
      </c>
      <c r="N357" s="20">
        <v>41550</v>
      </c>
      <c r="O357" s="20">
        <v>41550</v>
      </c>
    </row>
    <row r="358" spans="1:15" ht="14.25">
      <c r="A358" s="17">
        <v>2013</v>
      </c>
      <c r="B358" s="18" t="s">
        <v>437</v>
      </c>
      <c r="C358" s="18" t="s">
        <v>438</v>
      </c>
      <c r="D358" s="19">
        <v>3062000</v>
      </c>
      <c r="E358" s="19">
        <v>0</v>
      </c>
      <c r="F358" s="19"/>
      <c r="G358" s="19">
        <v>190</v>
      </c>
      <c r="H358" s="19">
        <v>2.2</v>
      </c>
      <c r="I358" s="19"/>
      <c r="J358" s="19" t="s">
        <v>67</v>
      </c>
      <c r="K358" s="19" t="b">
        <v>0</v>
      </c>
      <c r="L358" s="15">
        <v>2018</v>
      </c>
      <c r="M358" s="16">
        <v>35597380</v>
      </c>
      <c r="N358" s="20">
        <v>41550</v>
      </c>
      <c r="O358" s="20">
        <v>41550</v>
      </c>
    </row>
    <row r="359" spans="1:15" ht="14.25">
      <c r="A359" s="17">
        <v>2013</v>
      </c>
      <c r="B359" s="18" t="s">
        <v>437</v>
      </c>
      <c r="C359" s="18" t="s">
        <v>438</v>
      </c>
      <c r="D359" s="19">
        <v>3062000</v>
      </c>
      <c r="E359" s="19">
        <v>0</v>
      </c>
      <c r="F359" s="19"/>
      <c r="G359" s="19">
        <v>430</v>
      </c>
      <c r="H359" s="19">
        <v>8.2</v>
      </c>
      <c r="I359" s="19" t="s">
        <v>447</v>
      </c>
      <c r="J359" s="19" t="s">
        <v>92</v>
      </c>
      <c r="K359" s="19" t="b">
        <v>0</v>
      </c>
      <c r="L359" s="15">
        <v>2024</v>
      </c>
      <c r="M359" s="16">
        <v>51468580</v>
      </c>
      <c r="N359" s="20">
        <v>41550</v>
      </c>
      <c r="O359" s="20">
        <v>41550</v>
      </c>
    </row>
    <row r="360" spans="1:15" ht="14.25">
      <c r="A360" s="17">
        <v>2013</v>
      </c>
      <c r="B360" s="18" t="s">
        <v>437</v>
      </c>
      <c r="C360" s="18" t="s">
        <v>438</v>
      </c>
      <c r="D360" s="19">
        <v>3062000</v>
      </c>
      <c r="E360" s="19">
        <v>0</v>
      </c>
      <c r="F360" s="19"/>
      <c r="G360" s="19">
        <v>90</v>
      </c>
      <c r="H360" s="19">
        <v>1.2</v>
      </c>
      <c r="I360" s="19"/>
      <c r="J360" s="19" t="s">
        <v>51</v>
      </c>
      <c r="K360" s="19" t="b">
        <v>1</v>
      </c>
      <c r="L360" s="15">
        <v>2014</v>
      </c>
      <c r="M360" s="16">
        <v>1800000</v>
      </c>
      <c r="N360" s="20">
        <v>41550</v>
      </c>
      <c r="O360" s="20">
        <v>41550</v>
      </c>
    </row>
    <row r="361" spans="1:15" ht="14.25">
      <c r="A361" s="17">
        <v>2013</v>
      </c>
      <c r="B361" s="18" t="s">
        <v>437</v>
      </c>
      <c r="C361" s="18" t="s">
        <v>438</v>
      </c>
      <c r="D361" s="19">
        <v>3062000</v>
      </c>
      <c r="E361" s="19">
        <v>0</v>
      </c>
      <c r="F361" s="19"/>
      <c r="G361" s="19">
        <v>430</v>
      </c>
      <c r="H361" s="19">
        <v>8.2</v>
      </c>
      <c r="I361" s="19" t="s">
        <v>447</v>
      </c>
      <c r="J361" s="19" t="s">
        <v>92</v>
      </c>
      <c r="K361" s="19" t="b">
        <v>0</v>
      </c>
      <c r="L361" s="15">
        <v>2018</v>
      </c>
      <c r="M361" s="16">
        <v>51668580</v>
      </c>
      <c r="N361" s="20">
        <v>41550</v>
      </c>
      <c r="O361" s="20">
        <v>41550</v>
      </c>
    </row>
    <row r="362" spans="1:15" ht="14.25">
      <c r="A362" s="17">
        <v>2013</v>
      </c>
      <c r="B362" s="18" t="s">
        <v>437</v>
      </c>
      <c r="C362" s="18" t="s">
        <v>438</v>
      </c>
      <c r="D362" s="19">
        <v>3062000</v>
      </c>
      <c r="E362" s="19">
        <v>0</v>
      </c>
      <c r="F362" s="19"/>
      <c r="G362" s="19">
        <v>90</v>
      </c>
      <c r="H362" s="19">
        <v>1.2</v>
      </c>
      <c r="I362" s="19"/>
      <c r="J362" s="19" t="s">
        <v>51</v>
      </c>
      <c r="K362" s="19" t="b">
        <v>1</v>
      </c>
      <c r="L362" s="15">
        <v>2013</v>
      </c>
      <c r="M362" s="16">
        <v>29688187.52</v>
      </c>
      <c r="N362" s="20">
        <v>41550</v>
      </c>
      <c r="O362" s="20">
        <v>41550</v>
      </c>
    </row>
    <row r="363" spans="1:15" ht="14.25">
      <c r="A363" s="17">
        <v>2013</v>
      </c>
      <c r="B363" s="18" t="s">
        <v>437</v>
      </c>
      <c r="C363" s="18" t="s">
        <v>438</v>
      </c>
      <c r="D363" s="19">
        <v>3062000</v>
      </c>
      <c r="E363" s="19">
        <v>0</v>
      </c>
      <c r="F363" s="19"/>
      <c r="G363" s="19">
        <v>470</v>
      </c>
      <c r="H363" s="19">
        <v>9.3</v>
      </c>
      <c r="I363" s="19" t="s">
        <v>450</v>
      </c>
      <c r="J363" s="19" t="s">
        <v>451</v>
      </c>
      <c r="K363" s="19" t="b">
        <v>1</v>
      </c>
      <c r="L363" s="15">
        <v>2013</v>
      </c>
      <c r="M363" s="16">
        <v>0.0749</v>
      </c>
      <c r="N363" s="20">
        <v>41550</v>
      </c>
      <c r="O363" s="20">
        <v>41550</v>
      </c>
    </row>
    <row r="364" spans="1:15" ht="14.25">
      <c r="A364" s="17">
        <v>2013</v>
      </c>
      <c r="B364" s="18" t="s">
        <v>437</v>
      </c>
      <c r="C364" s="18" t="s">
        <v>438</v>
      </c>
      <c r="D364" s="19">
        <v>3062000</v>
      </c>
      <c r="E364" s="19">
        <v>0</v>
      </c>
      <c r="F364" s="19"/>
      <c r="G364" s="19">
        <v>180</v>
      </c>
      <c r="H364" s="19" t="s">
        <v>65</v>
      </c>
      <c r="I364" s="19"/>
      <c r="J364" s="19" t="s">
        <v>66</v>
      </c>
      <c r="K364" s="19" t="b">
        <v>0</v>
      </c>
      <c r="L364" s="15">
        <v>2015</v>
      </c>
      <c r="M364" s="16">
        <v>6173488.95</v>
      </c>
      <c r="N364" s="20">
        <v>41550</v>
      </c>
      <c r="O364" s="20">
        <v>41550</v>
      </c>
    </row>
    <row r="365" spans="1:15" ht="14.25">
      <c r="A365" s="17">
        <v>2013</v>
      </c>
      <c r="B365" s="18" t="s">
        <v>437</v>
      </c>
      <c r="C365" s="18" t="s">
        <v>438</v>
      </c>
      <c r="D365" s="19">
        <v>3062000</v>
      </c>
      <c r="E365" s="19">
        <v>0</v>
      </c>
      <c r="F365" s="19"/>
      <c r="G365" s="19">
        <v>500</v>
      </c>
      <c r="H365" s="19">
        <v>9.6</v>
      </c>
      <c r="I365" s="19" t="s">
        <v>454</v>
      </c>
      <c r="J365" s="19" t="s">
        <v>97</v>
      </c>
      <c r="K365" s="19" t="b">
        <v>0</v>
      </c>
      <c r="L365" s="15">
        <v>2022</v>
      </c>
      <c r="M365" s="16">
        <v>0.0435</v>
      </c>
      <c r="N365" s="20">
        <v>41550</v>
      </c>
      <c r="O365" s="20">
        <v>41550</v>
      </c>
    </row>
    <row r="366" spans="1:15" ht="14.25">
      <c r="A366" s="17">
        <v>2013</v>
      </c>
      <c r="B366" s="18" t="s">
        <v>437</v>
      </c>
      <c r="C366" s="18" t="s">
        <v>438</v>
      </c>
      <c r="D366" s="19">
        <v>3062000</v>
      </c>
      <c r="E366" s="19">
        <v>0</v>
      </c>
      <c r="F366" s="19"/>
      <c r="G366" s="19">
        <v>560</v>
      </c>
      <c r="H366" s="19">
        <v>10.1</v>
      </c>
      <c r="I366" s="19"/>
      <c r="J366" s="19" t="s">
        <v>107</v>
      </c>
      <c r="K366" s="19" t="b">
        <v>0</v>
      </c>
      <c r="L366" s="15">
        <v>2016</v>
      </c>
      <c r="M366" s="16">
        <v>14799780</v>
      </c>
      <c r="N366" s="20">
        <v>41550</v>
      </c>
      <c r="O366" s="20">
        <v>41550</v>
      </c>
    </row>
    <row r="367" spans="1:15" ht="14.25">
      <c r="A367" s="17">
        <v>2013</v>
      </c>
      <c r="B367" s="18" t="s">
        <v>437</v>
      </c>
      <c r="C367" s="18" t="s">
        <v>438</v>
      </c>
      <c r="D367" s="19">
        <v>3062000</v>
      </c>
      <c r="E367" s="19">
        <v>0</v>
      </c>
      <c r="F367" s="19"/>
      <c r="G367" s="19">
        <v>690</v>
      </c>
      <c r="H367" s="19" t="s">
        <v>123</v>
      </c>
      <c r="I367" s="19"/>
      <c r="J367" s="19" t="s">
        <v>124</v>
      </c>
      <c r="K367" s="19" t="b">
        <v>1</v>
      </c>
      <c r="L367" s="15">
        <v>2013</v>
      </c>
      <c r="M367" s="16">
        <v>7078260.95</v>
      </c>
      <c r="N367" s="20">
        <v>41550</v>
      </c>
      <c r="O367" s="20">
        <v>41550</v>
      </c>
    </row>
    <row r="368" spans="1:15" ht="14.25">
      <c r="A368" s="17">
        <v>2013</v>
      </c>
      <c r="B368" s="18" t="s">
        <v>437</v>
      </c>
      <c r="C368" s="18" t="s">
        <v>438</v>
      </c>
      <c r="D368" s="19">
        <v>3062000</v>
      </c>
      <c r="E368" s="19">
        <v>0</v>
      </c>
      <c r="F368" s="19"/>
      <c r="G368" s="19">
        <v>470</v>
      </c>
      <c r="H368" s="19">
        <v>9.3</v>
      </c>
      <c r="I368" s="19" t="s">
        <v>450</v>
      </c>
      <c r="J368" s="19" t="s">
        <v>451</v>
      </c>
      <c r="K368" s="19" t="b">
        <v>1</v>
      </c>
      <c r="L368" s="15">
        <v>2023</v>
      </c>
      <c r="M368" s="16">
        <v>0.0253</v>
      </c>
      <c r="N368" s="20">
        <v>41550</v>
      </c>
      <c r="O368" s="20">
        <v>41550</v>
      </c>
    </row>
    <row r="369" spans="1:15" ht="14.25">
      <c r="A369" s="17">
        <v>2013</v>
      </c>
      <c r="B369" s="18" t="s">
        <v>437</v>
      </c>
      <c r="C369" s="18" t="s">
        <v>438</v>
      </c>
      <c r="D369" s="19">
        <v>3062000</v>
      </c>
      <c r="E369" s="19">
        <v>0</v>
      </c>
      <c r="F369" s="19"/>
      <c r="G369" s="19">
        <v>190</v>
      </c>
      <c r="H369" s="19">
        <v>2.2</v>
      </c>
      <c r="I369" s="19"/>
      <c r="J369" s="19" t="s">
        <v>67</v>
      </c>
      <c r="K369" s="19" t="b">
        <v>0</v>
      </c>
      <c r="L369" s="15">
        <v>2013</v>
      </c>
      <c r="M369" s="16">
        <v>49624055.35</v>
      </c>
      <c r="N369" s="20">
        <v>41550</v>
      </c>
      <c r="O369" s="20">
        <v>41550</v>
      </c>
    </row>
    <row r="370" spans="1:15" ht="14.25">
      <c r="A370" s="17">
        <v>2013</v>
      </c>
      <c r="B370" s="18" t="s">
        <v>437</v>
      </c>
      <c r="C370" s="18" t="s">
        <v>438</v>
      </c>
      <c r="D370" s="19">
        <v>3062000</v>
      </c>
      <c r="E370" s="19">
        <v>0</v>
      </c>
      <c r="F370" s="19"/>
      <c r="G370" s="19">
        <v>420</v>
      </c>
      <c r="H370" s="19">
        <v>8.1</v>
      </c>
      <c r="I370" s="19" t="s">
        <v>440</v>
      </c>
      <c r="J370" s="19" t="s">
        <v>91</v>
      </c>
      <c r="K370" s="19" t="b">
        <v>0</v>
      </c>
      <c r="L370" s="15">
        <v>2022</v>
      </c>
      <c r="M370" s="16">
        <v>51194580</v>
      </c>
      <c r="N370" s="20">
        <v>41550</v>
      </c>
      <c r="O370" s="20">
        <v>41550</v>
      </c>
    </row>
    <row r="371" spans="1:15" ht="14.25">
      <c r="A371" s="17">
        <v>2013</v>
      </c>
      <c r="B371" s="18" t="s">
        <v>437</v>
      </c>
      <c r="C371" s="18" t="s">
        <v>438</v>
      </c>
      <c r="D371" s="19">
        <v>3062000</v>
      </c>
      <c r="E371" s="19">
        <v>0</v>
      </c>
      <c r="F371" s="19"/>
      <c r="G371" s="19">
        <v>500</v>
      </c>
      <c r="H371" s="19">
        <v>9.6</v>
      </c>
      <c r="I371" s="19" t="s">
        <v>454</v>
      </c>
      <c r="J371" s="19" t="s">
        <v>97</v>
      </c>
      <c r="K371" s="19" t="b">
        <v>0</v>
      </c>
      <c r="L371" s="15">
        <v>2020</v>
      </c>
      <c r="M371" s="16">
        <v>0.075</v>
      </c>
      <c r="N371" s="20">
        <v>41550</v>
      </c>
      <c r="O371" s="20">
        <v>41550</v>
      </c>
    </row>
    <row r="372" spans="1:15" ht="14.25">
      <c r="A372" s="17">
        <v>2013</v>
      </c>
      <c r="B372" s="18" t="s">
        <v>437</v>
      </c>
      <c r="C372" s="18" t="s">
        <v>438</v>
      </c>
      <c r="D372" s="19">
        <v>3062000</v>
      </c>
      <c r="E372" s="19">
        <v>0</v>
      </c>
      <c r="F372" s="19"/>
      <c r="G372" s="19">
        <v>460</v>
      </c>
      <c r="H372" s="19">
        <v>9.2</v>
      </c>
      <c r="I372" s="19" t="s">
        <v>446</v>
      </c>
      <c r="J372" s="19" t="s">
        <v>94</v>
      </c>
      <c r="K372" s="19" t="b">
        <v>0</v>
      </c>
      <c r="L372" s="15">
        <v>2018</v>
      </c>
      <c r="M372" s="16">
        <v>0.0754</v>
      </c>
      <c r="N372" s="20">
        <v>41550</v>
      </c>
      <c r="O372" s="20">
        <v>41550</v>
      </c>
    </row>
    <row r="373" spans="1:15" ht="14.25">
      <c r="A373" s="17">
        <v>2013</v>
      </c>
      <c r="B373" s="18" t="s">
        <v>437</v>
      </c>
      <c r="C373" s="18" t="s">
        <v>438</v>
      </c>
      <c r="D373" s="19">
        <v>3062000</v>
      </c>
      <c r="E373" s="19">
        <v>0</v>
      </c>
      <c r="F373" s="19"/>
      <c r="G373" s="19">
        <v>10</v>
      </c>
      <c r="H373" s="19">
        <v>1</v>
      </c>
      <c r="I373" s="19" t="s">
        <v>448</v>
      </c>
      <c r="J373" s="19" t="s">
        <v>24</v>
      </c>
      <c r="K373" s="19" t="b">
        <v>1</v>
      </c>
      <c r="L373" s="15">
        <v>2016</v>
      </c>
      <c r="M373" s="16">
        <v>401876072</v>
      </c>
      <c r="N373" s="20">
        <v>41550</v>
      </c>
      <c r="O373" s="20">
        <v>41550</v>
      </c>
    </row>
    <row r="374" spans="1:15" ht="14.25">
      <c r="A374" s="17">
        <v>2013</v>
      </c>
      <c r="B374" s="18" t="s">
        <v>437</v>
      </c>
      <c r="C374" s="18" t="s">
        <v>438</v>
      </c>
      <c r="D374" s="19">
        <v>3062000</v>
      </c>
      <c r="E374" s="19">
        <v>0</v>
      </c>
      <c r="F374" s="19"/>
      <c r="G374" s="19">
        <v>120</v>
      </c>
      <c r="H374" s="19">
        <v>2</v>
      </c>
      <c r="I374" s="19" t="s">
        <v>443</v>
      </c>
      <c r="J374" s="19" t="s">
        <v>19</v>
      </c>
      <c r="K374" s="19" t="b">
        <v>0</v>
      </c>
      <c r="L374" s="15">
        <v>2022</v>
      </c>
      <c r="M374" s="16">
        <v>399278872</v>
      </c>
      <c r="N374" s="20">
        <v>41550</v>
      </c>
      <c r="O374" s="20">
        <v>41550</v>
      </c>
    </row>
    <row r="375" spans="1:15" ht="14.25">
      <c r="A375" s="17">
        <v>2013</v>
      </c>
      <c r="B375" s="18" t="s">
        <v>437</v>
      </c>
      <c r="C375" s="18" t="s">
        <v>438</v>
      </c>
      <c r="D375" s="19">
        <v>3062000</v>
      </c>
      <c r="E375" s="19">
        <v>0</v>
      </c>
      <c r="F375" s="19"/>
      <c r="G375" s="19">
        <v>260</v>
      </c>
      <c r="H375" s="19">
        <v>4.3</v>
      </c>
      <c r="I375" s="19"/>
      <c r="J375" s="19" t="s">
        <v>74</v>
      </c>
      <c r="K375" s="19" t="b">
        <v>1</v>
      </c>
      <c r="L375" s="15">
        <v>2013</v>
      </c>
      <c r="M375" s="16">
        <v>19272000</v>
      </c>
      <c r="N375" s="20">
        <v>41550</v>
      </c>
      <c r="O375" s="20">
        <v>41550</v>
      </c>
    </row>
    <row r="376" spans="1:15" ht="14.25">
      <c r="A376" s="17">
        <v>2013</v>
      </c>
      <c r="B376" s="18" t="s">
        <v>437</v>
      </c>
      <c r="C376" s="18" t="s">
        <v>438</v>
      </c>
      <c r="D376" s="19">
        <v>3062000</v>
      </c>
      <c r="E376" s="19">
        <v>0</v>
      </c>
      <c r="F376" s="19"/>
      <c r="G376" s="19">
        <v>10</v>
      </c>
      <c r="H376" s="19">
        <v>1</v>
      </c>
      <c r="I376" s="19" t="s">
        <v>448</v>
      </c>
      <c r="J376" s="19" t="s">
        <v>24</v>
      </c>
      <c r="K376" s="19" t="b">
        <v>1</v>
      </c>
      <c r="L376" s="15">
        <v>2023</v>
      </c>
      <c r="M376" s="16">
        <v>406676072</v>
      </c>
      <c r="N376" s="20">
        <v>41550</v>
      </c>
      <c r="O376" s="20">
        <v>41550</v>
      </c>
    </row>
    <row r="377" spans="1:15" ht="14.25">
      <c r="A377" s="17">
        <v>2013</v>
      </c>
      <c r="B377" s="18" t="s">
        <v>437</v>
      </c>
      <c r="C377" s="18" t="s">
        <v>438</v>
      </c>
      <c r="D377" s="19">
        <v>3062000</v>
      </c>
      <c r="E377" s="19">
        <v>0</v>
      </c>
      <c r="F377" s="19"/>
      <c r="G377" s="19">
        <v>770</v>
      </c>
      <c r="H377" s="19" t="s">
        <v>136</v>
      </c>
      <c r="I377" s="19"/>
      <c r="J377" s="19" t="s">
        <v>137</v>
      </c>
      <c r="K377" s="19" t="b">
        <v>1</v>
      </c>
      <c r="L377" s="15">
        <v>2014</v>
      </c>
      <c r="M377" s="16">
        <v>680000</v>
      </c>
      <c r="N377" s="20">
        <v>41550</v>
      </c>
      <c r="O377" s="20">
        <v>41550</v>
      </c>
    </row>
    <row r="378" spans="1:15" ht="14.25">
      <c r="A378" s="17">
        <v>2013</v>
      </c>
      <c r="B378" s="18" t="s">
        <v>437</v>
      </c>
      <c r="C378" s="18" t="s">
        <v>438</v>
      </c>
      <c r="D378" s="19">
        <v>3062000</v>
      </c>
      <c r="E378" s="19">
        <v>0</v>
      </c>
      <c r="F378" s="19"/>
      <c r="G378" s="19">
        <v>560</v>
      </c>
      <c r="H378" s="19">
        <v>10.1</v>
      </c>
      <c r="I378" s="19"/>
      <c r="J378" s="19" t="s">
        <v>107</v>
      </c>
      <c r="K378" s="19" t="b">
        <v>0</v>
      </c>
      <c r="L378" s="15">
        <v>2018</v>
      </c>
      <c r="M378" s="16">
        <v>16071200</v>
      </c>
      <c r="N378" s="20">
        <v>41550</v>
      </c>
      <c r="O378" s="20">
        <v>41550</v>
      </c>
    </row>
    <row r="379" spans="1:15" ht="14.25">
      <c r="A379" s="17">
        <v>2013</v>
      </c>
      <c r="B379" s="18" t="s">
        <v>437</v>
      </c>
      <c r="C379" s="18" t="s">
        <v>438</v>
      </c>
      <c r="D379" s="19">
        <v>3062000</v>
      </c>
      <c r="E379" s="19">
        <v>0</v>
      </c>
      <c r="F379" s="19"/>
      <c r="G379" s="19">
        <v>480</v>
      </c>
      <c r="H379" s="19">
        <v>9.4</v>
      </c>
      <c r="I379" s="19" t="s">
        <v>446</v>
      </c>
      <c r="J379" s="19" t="s">
        <v>95</v>
      </c>
      <c r="K379" s="19" t="b">
        <v>0</v>
      </c>
      <c r="L379" s="15">
        <v>2015</v>
      </c>
      <c r="M379" s="16">
        <v>0.0599</v>
      </c>
      <c r="N379" s="20">
        <v>41550</v>
      </c>
      <c r="O379" s="20">
        <v>41550</v>
      </c>
    </row>
    <row r="380" spans="1:15" ht="14.25">
      <c r="A380" s="17">
        <v>2013</v>
      </c>
      <c r="B380" s="18" t="s">
        <v>437</v>
      </c>
      <c r="C380" s="18" t="s">
        <v>438</v>
      </c>
      <c r="D380" s="19">
        <v>3062000</v>
      </c>
      <c r="E380" s="19">
        <v>0</v>
      </c>
      <c r="F380" s="19"/>
      <c r="G380" s="19">
        <v>20</v>
      </c>
      <c r="H380" s="19">
        <v>1.1</v>
      </c>
      <c r="I380" s="19"/>
      <c r="J380" s="19" t="s">
        <v>38</v>
      </c>
      <c r="K380" s="19" t="b">
        <v>1</v>
      </c>
      <c r="L380" s="15">
        <v>2021</v>
      </c>
      <c r="M380" s="16">
        <v>406676072</v>
      </c>
      <c r="N380" s="20">
        <v>41550</v>
      </c>
      <c r="O380" s="20">
        <v>41550</v>
      </c>
    </row>
    <row r="381" spans="1:15" ht="14.25">
      <c r="A381" s="17">
        <v>2013</v>
      </c>
      <c r="B381" s="18" t="s">
        <v>437</v>
      </c>
      <c r="C381" s="18" t="s">
        <v>438</v>
      </c>
      <c r="D381" s="19">
        <v>3062000</v>
      </c>
      <c r="E381" s="19">
        <v>0</v>
      </c>
      <c r="F381" s="19"/>
      <c r="G381" s="19">
        <v>680</v>
      </c>
      <c r="H381" s="19" t="s">
        <v>121</v>
      </c>
      <c r="I381" s="19"/>
      <c r="J381" s="19" t="s">
        <v>122</v>
      </c>
      <c r="K381" s="19" t="b">
        <v>1</v>
      </c>
      <c r="L381" s="15">
        <v>2014</v>
      </c>
      <c r="M381" s="16">
        <v>2250271.67</v>
      </c>
      <c r="N381" s="20">
        <v>41550</v>
      </c>
      <c r="O381" s="20">
        <v>41550</v>
      </c>
    </row>
    <row r="382" spans="1:15" ht="14.25">
      <c r="A382" s="17">
        <v>2013</v>
      </c>
      <c r="B382" s="18" t="s">
        <v>437</v>
      </c>
      <c r="C382" s="18" t="s">
        <v>438</v>
      </c>
      <c r="D382" s="19">
        <v>3062000</v>
      </c>
      <c r="E382" s="19">
        <v>0</v>
      </c>
      <c r="F382" s="19"/>
      <c r="G382" s="19">
        <v>310</v>
      </c>
      <c r="H382" s="19">
        <v>5.1</v>
      </c>
      <c r="I382" s="19"/>
      <c r="J382" s="19" t="s">
        <v>79</v>
      </c>
      <c r="K382" s="19" t="b">
        <v>1</v>
      </c>
      <c r="L382" s="15">
        <v>2017</v>
      </c>
      <c r="M382" s="16">
        <v>18799780</v>
      </c>
      <c r="N382" s="20">
        <v>41550</v>
      </c>
      <c r="O382" s="20">
        <v>41550</v>
      </c>
    </row>
    <row r="383" spans="1:15" ht="14.25">
      <c r="A383" s="17">
        <v>2013</v>
      </c>
      <c r="B383" s="18" t="s">
        <v>437</v>
      </c>
      <c r="C383" s="18" t="s">
        <v>438</v>
      </c>
      <c r="D383" s="19">
        <v>3062000</v>
      </c>
      <c r="E383" s="19">
        <v>0</v>
      </c>
      <c r="F383" s="19"/>
      <c r="G383" s="19">
        <v>450</v>
      </c>
      <c r="H383" s="19">
        <v>9.1</v>
      </c>
      <c r="I383" s="19" t="s">
        <v>450</v>
      </c>
      <c r="J383" s="19" t="s">
        <v>93</v>
      </c>
      <c r="K383" s="19" t="b">
        <v>1</v>
      </c>
      <c r="L383" s="15">
        <v>2022</v>
      </c>
      <c r="M383" s="16">
        <v>0.0435</v>
      </c>
      <c r="N383" s="20">
        <v>41550</v>
      </c>
      <c r="O383" s="20">
        <v>41550</v>
      </c>
    </row>
    <row r="384" spans="1:15" ht="14.25">
      <c r="A384" s="17">
        <v>2013</v>
      </c>
      <c r="B384" s="18" t="s">
        <v>437</v>
      </c>
      <c r="C384" s="18" t="s">
        <v>438</v>
      </c>
      <c r="D384" s="19">
        <v>3062000</v>
      </c>
      <c r="E384" s="19">
        <v>0</v>
      </c>
      <c r="F384" s="19"/>
      <c r="G384" s="19">
        <v>180</v>
      </c>
      <c r="H384" s="19" t="s">
        <v>65</v>
      </c>
      <c r="I384" s="19"/>
      <c r="J384" s="19" t="s">
        <v>66</v>
      </c>
      <c r="K384" s="19" t="b">
        <v>0</v>
      </c>
      <c r="L384" s="15">
        <v>2022</v>
      </c>
      <c r="M384" s="16">
        <v>600000</v>
      </c>
      <c r="N384" s="20">
        <v>41550</v>
      </c>
      <c r="O384" s="20">
        <v>41550</v>
      </c>
    </row>
    <row r="385" spans="1:15" ht="14.25">
      <c r="A385" s="17">
        <v>2013</v>
      </c>
      <c r="B385" s="18" t="s">
        <v>437</v>
      </c>
      <c r="C385" s="18" t="s">
        <v>438</v>
      </c>
      <c r="D385" s="19">
        <v>3062000</v>
      </c>
      <c r="E385" s="19">
        <v>0</v>
      </c>
      <c r="F385" s="19"/>
      <c r="G385" s="19">
        <v>520</v>
      </c>
      <c r="H385" s="19" t="s">
        <v>101</v>
      </c>
      <c r="I385" s="19"/>
      <c r="J385" s="19" t="s">
        <v>449</v>
      </c>
      <c r="K385" s="19" t="b">
        <v>1</v>
      </c>
      <c r="L385" s="15">
        <v>2018</v>
      </c>
      <c r="M385" s="16">
        <v>0.1156</v>
      </c>
      <c r="N385" s="20">
        <v>41550</v>
      </c>
      <c r="O385" s="20">
        <v>41550</v>
      </c>
    </row>
    <row r="386" spans="1:15" ht="14.25">
      <c r="A386" s="17">
        <v>2013</v>
      </c>
      <c r="B386" s="18" t="s">
        <v>437</v>
      </c>
      <c r="C386" s="18" t="s">
        <v>438</v>
      </c>
      <c r="D386" s="19">
        <v>3062000</v>
      </c>
      <c r="E386" s="19">
        <v>0</v>
      </c>
      <c r="F386" s="19"/>
      <c r="G386" s="19">
        <v>170</v>
      </c>
      <c r="H386" s="19" t="s">
        <v>63</v>
      </c>
      <c r="I386" s="19"/>
      <c r="J386" s="19" t="s">
        <v>64</v>
      </c>
      <c r="K386" s="19" t="b">
        <v>1</v>
      </c>
      <c r="L386" s="15">
        <v>2014</v>
      </c>
      <c r="M386" s="16">
        <v>6500000</v>
      </c>
      <c r="N386" s="20">
        <v>41550</v>
      </c>
      <c r="O386" s="20">
        <v>41550</v>
      </c>
    </row>
    <row r="387" spans="1:15" ht="14.25">
      <c r="A387" s="17">
        <v>2013</v>
      </c>
      <c r="B387" s="18" t="s">
        <v>437</v>
      </c>
      <c r="C387" s="18" t="s">
        <v>438</v>
      </c>
      <c r="D387" s="19">
        <v>3062000</v>
      </c>
      <c r="E387" s="19">
        <v>0</v>
      </c>
      <c r="F387" s="19"/>
      <c r="G387" s="19">
        <v>760</v>
      </c>
      <c r="H387" s="19">
        <v>12.4</v>
      </c>
      <c r="I387" s="19"/>
      <c r="J387" s="19" t="s">
        <v>135</v>
      </c>
      <c r="K387" s="19" t="b">
        <v>1</v>
      </c>
      <c r="L387" s="15">
        <v>2014</v>
      </c>
      <c r="M387" s="16">
        <v>800000</v>
      </c>
      <c r="N387" s="20">
        <v>41550</v>
      </c>
      <c r="O387" s="20">
        <v>41550</v>
      </c>
    </row>
    <row r="388" spans="1:15" ht="14.25">
      <c r="A388" s="17">
        <v>2013</v>
      </c>
      <c r="B388" s="18" t="s">
        <v>437</v>
      </c>
      <c r="C388" s="18" t="s">
        <v>438</v>
      </c>
      <c r="D388" s="19">
        <v>3062000</v>
      </c>
      <c r="E388" s="19">
        <v>0</v>
      </c>
      <c r="F388" s="19"/>
      <c r="G388" s="19">
        <v>10</v>
      </c>
      <c r="H388" s="19">
        <v>1</v>
      </c>
      <c r="I388" s="19" t="s">
        <v>448</v>
      </c>
      <c r="J388" s="19" t="s">
        <v>24</v>
      </c>
      <c r="K388" s="19" t="b">
        <v>1</v>
      </c>
      <c r="L388" s="15">
        <v>2019</v>
      </c>
      <c r="M388" s="16">
        <v>406676072</v>
      </c>
      <c r="N388" s="20">
        <v>41550</v>
      </c>
      <c r="O388" s="20">
        <v>41550</v>
      </c>
    </row>
    <row r="389" spans="1:15" ht="14.25">
      <c r="A389" s="17">
        <v>2013</v>
      </c>
      <c r="B389" s="18" t="s">
        <v>437</v>
      </c>
      <c r="C389" s="18" t="s">
        <v>438</v>
      </c>
      <c r="D389" s="19">
        <v>3062000</v>
      </c>
      <c r="E389" s="19">
        <v>0</v>
      </c>
      <c r="F389" s="19"/>
      <c r="G389" s="19">
        <v>460</v>
      </c>
      <c r="H389" s="19">
        <v>9.2</v>
      </c>
      <c r="I389" s="19" t="s">
        <v>446</v>
      </c>
      <c r="J389" s="19" t="s">
        <v>94</v>
      </c>
      <c r="K389" s="19" t="b">
        <v>0</v>
      </c>
      <c r="L389" s="15">
        <v>2019</v>
      </c>
      <c r="M389" s="16">
        <v>0.0717</v>
      </c>
      <c r="N389" s="20">
        <v>41550</v>
      </c>
      <c r="O389" s="20">
        <v>41550</v>
      </c>
    </row>
    <row r="390" spans="1:15" ht="14.25">
      <c r="A390" s="17">
        <v>2013</v>
      </c>
      <c r="B390" s="18" t="s">
        <v>437</v>
      </c>
      <c r="C390" s="18" t="s">
        <v>438</v>
      </c>
      <c r="D390" s="19">
        <v>3062000</v>
      </c>
      <c r="E390" s="19">
        <v>0</v>
      </c>
      <c r="F390" s="19"/>
      <c r="G390" s="19">
        <v>550</v>
      </c>
      <c r="H390" s="19">
        <v>10</v>
      </c>
      <c r="I390" s="19"/>
      <c r="J390" s="19" t="s">
        <v>106</v>
      </c>
      <c r="K390" s="19" t="b">
        <v>0</v>
      </c>
      <c r="L390" s="15">
        <v>2025</v>
      </c>
      <c r="M390" s="16">
        <v>81200</v>
      </c>
      <c r="N390" s="20">
        <v>41550</v>
      </c>
      <c r="O390" s="20">
        <v>41550</v>
      </c>
    </row>
    <row r="391" spans="1:15" ht="14.25">
      <c r="A391" s="17">
        <v>2013</v>
      </c>
      <c r="B391" s="18" t="s">
        <v>437</v>
      </c>
      <c r="C391" s="18" t="s">
        <v>438</v>
      </c>
      <c r="D391" s="19">
        <v>3062000</v>
      </c>
      <c r="E391" s="19">
        <v>0</v>
      </c>
      <c r="F391" s="19"/>
      <c r="G391" s="19">
        <v>350</v>
      </c>
      <c r="H391" s="19">
        <v>6</v>
      </c>
      <c r="I391" s="19"/>
      <c r="J391" s="19" t="s">
        <v>25</v>
      </c>
      <c r="K391" s="19" t="b">
        <v>1</v>
      </c>
      <c r="L391" s="15">
        <v>2022</v>
      </c>
      <c r="M391" s="16">
        <v>962400</v>
      </c>
      <c r="N391" s="20">
        <v>41550</v>
      </c>
      <c r="O391" s="20">
        <v>41550</v>
      </c>
    </row>
    <row r="392" spans="1:15" ht="14.25">
      <c r="A392" s="17">
        <v>2013</v>
      </c>
      <c r="B392" s="18" t="s">
        <v>437</v>
      </c>
      <c r="C392" s="18" t="s">
        <v>438</v>
      </c>
      <c r="D392" s="19">
        <v>3062000</v>
      </c>
      <c r="E392" s="19">
        <v>0</v>
      </c>
      <c r="F392" s="19"/>
      <c r="G392" s="19">
        <v>590</v>
      </c>
      <c r="H392" s="19">
        <v>11.2</v>
      </c>
      <c r="I392" s="19"/>
      <c r="J392" s="19" t="s">
        <v>110</v>
      </c>
      <c r="K392" s="19" t="b">
        <v>1</v>
      </c>
      <c r="L392" s="15">
        <v>2013</v>
      </c>
      <c r="M392" s="16">
        <v>29750100</v>
      </c>
      <c r="N392" s="20">
        <v>41550</v>
      </c>
      <c r="O392" s="20">
        <v>41550</v>
      </c>
    </row>
    <row r="393" spans="1:15" ht="14.25">
      <c r="A393" s="17">
        <v>2013</v>
      </c>
      <c r="B393" s="18" t="s">
        <v>437</v>
      </c>
      <c r="C393" s="18" t="s">
        <v>438</v>
      </c>
      <c r="D393" s="19">
        <v>3062000</v>
      </c>
      <c r="E393" s="19">
        <v>0</v>
      </c>
      <c r="F393" s="19"/>
      <c r="G393" s="19">
        <v>520</v>
      </c>
      <c r="H393" s="19" t="s">
        <v>101</v>
      </c>
      <c r="I393" s="19"/>
      <c r="J393" s="19" t="s">
        <v>449</v>
      </c>
      <c r="K393" s="19" t="b">
        <v>1</v>
      </c>
      <c r="L393" s="15">
        <v>2024</v>
      </c>
      <c r="M393" s="16">
        <v>0.1261</v>
      </c>
      <c r="N393" s="20">
        <v>41550</v>
      </c>
      <c r="O393" s="20">
        <v>41550</v>
      </c>
    </row>
    <row r="394" spans="1:15" ht="14.25">
      <c r="A394" s="17">
        <v>2013</v>
      </c>
      <c r="B394" s="18" t="s">
        <v>437</v>
      </c>
      <c r="C394" s="18" t="s">
        <v>438</v>
      </c>
      <c r="D394" s="19">
        <v>3062000</v>
      </c>
      <c r="E394" s="19">
        <v>0</v>
      </c>
      <c r="F394" s="19"/>
      <c r="G394" s="19">
        <v>350</v>
      </c>
      <c r="H394" s="19">
        <v>6</v>
      </c>
      <c r="I394" s="19"/>
      <c r="J394" s="19" t="s">
        <v>25</v>
      </c>
      <c r="K394" s="19" t="b">
        <v>1</v>
      </c>
      <c r="L394" s="15">
        <v>2017</v>
      </c>
      <c r="M394" s="16">
        <v>71980400</v>
      </c>
      <c r="N394" s="20">
        <v>41550</v>
      </c>
      <c r="O394" s="20">
        <v>41550</v>
      </c>
    </row>
    <row r="395" spans="1:15" ht="14.25">
      <c r="A395" s="17">
        <v>2013</v>
      </c>
      <c r="B395" s="18" t="s">
        <v>437</v>
      </c>
      <c r="C395" s="18" t="s">
        <v>438</v>
      </c>
      <c r="D395" s="19">
        <v>3062000</v>
      </c>
      <c r="E395" s="19">
        <v>0</v>
      </c>
      <c r="F395" s="19"/>
      <c r="G395" s="19">
        <v>880</v>
      </c>
      <c r="H395" s="19">
        <v>14.1</v>
      </c>
      <c r="I395" s="19"/>
      <c r="J395" s="19" t="s">
        <v>149</v>
      </c>
      <c r="K395" s="19" t="b">
        <v>1</v>
      </c>
      <c r="L395" s="15">
        <v>2020</v>
      </c>
      <c r="M395" s="16">
        <v>11280000</v>
      </c>
      <c r="N395" s="20">
        <v>41550</v>
      </c>
      <c r="O395" s="20">
        <v>41550</v>
      </c>
    </row>
    <row r="396" spans="1:15" ht="14.25">
      <c r="A396" s="17">
        <v>2013</v>
      </c>
      <c r="B396" s="18" t="s">
        <v>437</v>
      </c>
      <c r="C396" s="18" t="s">
        <v>438</v>
      </c>
      <c r="D396" s="19">
        <v>3062000</v>
      </c>
      <c r="E396" s="19">
        <v>0</v>
      </c>
      <c r="F396" s="19"/>
      <c r="G396" s="19">
        <v>540</v>
      </c>
      <c r="H396" s="19" t="s">
        <v>104</v>
      </c>
      <c r="I396" s="19" t="s">
        <v>453</v>
      </c>
      <c r="J396" s="19" t="s">
        <v>105</v>
      </c>
      <c r="K396" s="19" t="b">
        <v>0</v>
      </c>
      <c r="L396" s="15">
        <v>2014</v>
      </c>
      <c r="M396" s="16">
        <v>60</v>
      </c>
      <c r="N396" s="20">
        <v>41550</v>
      </c>
      <c r="O396" s="20">
        <v>41550</v>
      </c>
    </row>
    <row r="397" spans="1:15" ht="14.25">
      <c r="A397" s="17">
        <v>2013</v>
      </c>
      <c r="B397" s="18" t="s">
        <v>437</v>
      </c>
      <c r="C397" s="18" t="s">
        <v>438</v>
      </c>
      <c r="D397" s="19">
        <v>3062000</v>
      </c>
      <c r="E397" s="19">
        <v>0</v>
      </c>
      <c r="F397" s="19"/>
      <c r="G397" s="19">
        <v>200</v>
      </c>
      <c r="H397" s="19">
        <v>3</v>
      </c>
      <c r="I397" s="19" t="s">
        <v>457</v>
      </c>
      <c r="J397" s="19" t="s">
        <v>21</v>
      </c>
      <c r="K397" s="19" t="b">
        <v>0</v>
      </c>
      <c r="L397" s="15">
        <v>2027</v>
      </c>
      <c r="M397" s="16">
        <v>47600</v>
      </c>
      <c r="N397" s="20">
        <v>41550</v>
      </c>
      <c r="O397" s="20">
        <v>41550</v>
      </c>
    </row>
    <row r="398" spans="1:15" ht="14.25">
      <c r="A398" s="17">
        <v>2013</v>
      </c>
      <c r="B398" s="18" t="s">
        <v>437</v>
      </c>
      <c r="C398" s="18" t="s">
        <v>438</v>
      </c>
      <c r="D398" s="19">
        <v>3062000</v>
      </c>
      <c r="E398" s="19">
        <v>0</v>
      </c>
      <c r="F398" s="19"/>
      <c r="G398" s="19">
        <v>130</v>
      </c>
      <c r="H398" s="19">
        <v>2.1</v>
      </c>
      <c r="I398" s="19"/>
      <c r="J398" s="19" t="s">
        <v>56</v>
      </c>
      <c r="K398" s="19" t="b">
        <v>1</v>
      </c>
      <c r="L398" s="15">
        <v>2017</v>
      </c>
      <c r="M398" s="16">
        <v>354507492</v>
      </c>
      <c r="N398" s="20">
        <v>41550</v>
      </c>
      <c r="O398" s="20">
        <v>41550</v>
      </c>
    </row>
    <row r="399" spans="1:15" ht="14.25">
      <c r="A399" s="17">
        <v>2013</v>
      </c>
      <c r="B399" s="18" t="s">
        <v>437</v>
      </c>
      <c r="C399" s="18" t="s">
        <v>438</v>
      </c>
      <c r="D399" s="19">
        <v>3062000</v>
      </c>
      <c r="E399" s="19">
        <v>0</v>
      </c>
      <c r="F399" s="19"/>
      <c r="G399" s="19">
        <v>560</v>
      </c>
      <c r="H399" s="19">
        <v>10.1</v>
      </c>
      <c r="I399" s="19"/>
      <c r="J399" s="19" t="s">
        <v>107</v>
      </c>
      <c r="K399" s="19" t="b">
        <v>0</v>
      </c>
      <c r="L399" s="15">
        <v>2019</v>
      </c>
      <c r="M399" s="16">
        <v>15571200</v>
      </c>
      <c r="N399" s="20">
        <v>41550</v>
      </c>
      <c r="O399" s="20">
        <v>41550</v>
      </c>
    </row>
    <row r="400" spans="1:15" ht="14.25">
      <c r="A400" s="17">
        <v>2013</v>
      </c>
      <c r="B400" s="18" t="s">
        <v>437</v>
      </c>
      <c r="C400" s="18" t="s">
        <v>438</v>
      </c>
      <c r="D400" s="19">
        <v>3062000</v>
      </c>
      <c r="E400" s="19">
        <v>0</v>
      </c>
      <c r="F400" s="19"/>
      <c r="G400" s="19">
        <v>560</v>
      </c>
      <c r="H400" s="19">
        <v>10.1</v>
      </c>
      <c r="I400" s="19"/>
      <c r="J400" s="19" t="s">
        <v>107</v>
      </c>
      <c r="K400" s="19" t="b">
        <v>0</v>
      </c>
      <c r="L400" s="15">
        <v>2026</v>
      </c>
      <c r="M400" s="16">
        <v>81200</v>
      </c>
      <c r="N400" s="20">
        <v>41550</v>
      </c>
      <c r="O400" s="20">
        <v>41550</v>
      </c>
    </row>
    <row r="401" spans="1:15" ht="14.25">
      <c r="A401" s="17">
        <v>2013</v>
      </c>
      <c r="B401" s="18" t="s">
        <v>437</v>
      </c>
      <c r="C401" s="18" t="s">
        <v>438</v>
      </c>
      <c r="D401" s="19">
        <v>3062000</v>
      </c>
      <c r="E401" s="19">
        <v>0</v>
      </c>
      <c r="F401" s="19"/>
      <c r="G401" s="19">
        <v>300</v>
      </c>
      <c r="H401" s="19">
        <v>5</v>
      </c>
      <c r="I401" s="19" t="s">
        <v>455</v>
      </c>
      <c r="J401" s="19" t="s">
        <v>78</v>
      </c>
      <c r="K401" s="19" t="b">
        <v>0</v>
      </c>
      <c r="L401" s="15">
        <v>2022</v>
      </c>
      <c r="M401" s="16">
        <v>7397200</v>
      </c>
      <c r="N401" s="20">
        <v>41550</v>
      </c>
      <c r="O401" s="20">
        <v>41550</v>
      </c>
    </row>
    <row r="402" spans="1:15" ht="14.25">
      <c r="A402" s="17">
        <v>2013</v>
      </c>
      <c r="B402" s="18" t="s">
        <v>437</v>
      </c>
      <c r="C402" s="18" t="s">
        <v>438</v>
      </c>
      <c r="D402" s="19">
        <v>3062000</v>
      </c>
      <c r="E402" s="19">
        <v>0</v>
      </c>
      <c r="F402" s="19"/>
      <c r="G402" s="19">
        <v>380</v>
      </c>
      <c r="H402" s="19">
        <v>6.2</v>
      </c>
      <c r="I402" s="19" t="s">
        <v>445</v>
      </c>
      <c r="J402" s="19" t="s">
        <v>88</v>
      </c>
      <c r="K402" s="19" t="b">
        <v>0</v>
      </c>
      <c r="L402" s="15">
        <v>2015</v>
      </c>
      <c r="M402" s="16">
        <v>0.2686</v>
      </c>
      <c r="N402" s="20">
        <v>41550</v>
      </c>
      <c r="O402" s="20">
        <v>41550</v>
      </c>
    </row>
    <row r="403" spans="1:15" ht="14.25">
      <c r="A403" s="17">
        <v>2013</v>
      </c>
      <c r="B403" s="18" t="s">
        <v>437</v>
      </c>
      <c r="C403" s="18" t="s">
        <v>438</v>
      </c>
      <c r="D403" s="19">
        <v>3062000</v>
      </c>
      <c r="E403" s="19">
        <v>0</v>
      </c>
      <c r="F403" s="19"/>
      <c r="G403" s="19">
        <v>480</v>
      </c>
      <c r="H403" s="19">
        <v>9.4</v>
      </c>
      <c r="I403" s="19" t="s">
        <v>446</v>
      </c>
      <c r="J403" s="19" t="s">
        <v>95</v>
      </c>
      <c r="K403" s="19" t="b">
        <v>0</v>
      </c>
      <c r="L403" s="15">
        <v>2018</v>
      </c>
      <c r="M403" s="16">
        <v>0.0754</v>
      </c>
      <c r="N403" s="20">
        <v>41550</v>
      </c>
      <c r="O403" s="20">
        <v>41550</v>
      </c>
    </row>
    <row r="404" spans="1:15" ht="14.25">
      <c r="A404" s="17">
        <v>2013</v>
      </c>
      <c r="B404" s="18" t="s">
        <v>437</v>
      </c>
      <c r="C404" s="18" t="s">
        <v>438</v>
      </c>
      <c r="D404" s="19">
        <v>3062000</v>
      </c>
      <c r="E404" s="19">
        <v>0</v>
      </c>
      <c r="F404" s="19"/>
      <c r="G404" s="19">
        <v>760</v>
      </c>
      <c r="H404" s="19">
        <v>12.4</v>
      </c>
      <c r="I404" s="19"/>
      <c r="J404" s="19" t="s">
        <v>135</v>
      </c>
      <c r="K404" s="19" t="b">
        <v>1</v>
      </c>
      <c r="L404" s="15">
        <v>2013</v>
      </c>
      <c r="M404" s="16">
        <v>2821960</v>
      </c>
      <c r="N404" s="20">
        <v>41550</v>
      </c>
      <c r="O404" s="20">
        <v>41550</v>
      </c>
    </row>
    <row r="405" spans="1:15" ht="14.25">
      <c r="A405" s="17">
        <v>2013</v>
      </c>
      <c r="B405" s="18" t="s">
        <v>437</v>
      </c>
      <c r="C405" s="18" t="s">
        <v>438</v>
      </c>
      <c r="D405" s="19">
        <v>3062000</v>
      </c>
      <c r="E405" s="19">
        <v>0</v>
      </c>
      <c r="F405" s="19"/>
      <c r="G405" s="19">
        <v>510</v>
      </c>
      <c r="H405" s="19">
        <v>9.7</v>
      </c>
      <c r="I405" s="19"/>
      <c r="J405" s="19" t="s">
        <v>452</v>
      </c>
      <c r="K405" s="19" t="b">
        <v>1</v>
      </c>
      <c r="L405" s="15">
        <v>2014</v>
      </c>
      <c r="M405" s="16">
        <v>0.0499</v>
      </c>
      <c r="N405" s="20">
        <v>41550</v>
      </c>
      <c r="O405" s="20">
        <v>41550</v>
      </c>
    </row>
    <row r="406" spans="1:15" ht="14.25">
      <c r="A406" s="17">
        <v>2013</v>
      </c>
      <c r="B406" s="18" t="s">
        <v>437</v>
      </c>
      <c r="C406" s="18" t="s">
        <v>438</v>
      </c>
      <c r="D406" s="19">
        <v>3062000</v>
      </c>
      <c r="E406" s="19">
        <v>0</v>
      </c>
      <c r="F406" s="19"/>
      <c r="G406" s="19">
        <v>190</v>
      </c>
      <c r="H406" s="19">
        <v>2.2</v>
      </c>
      <c r="I406" s="19"/>
      <c r="J406" s="19" t="s">
        <v>67</v>
      </c>
      <c r="K406" s="19" t="b">
        <v>0</v>
      </c>
      <c r="L406" s="15">
        <v>2020</v>
      </c>
      <c r="M406" s="16">
        <v>33047380</v>
      </c>
      <c r="N406" s="20">
        <v>41550</v>
      </c>
      <c r="O406" s="20">
        <v>41550</v>
      </c>
    </row>
    <row r="407" spans="1:15" ht="14.25">
      <c r="A407" s="17">
        <v>2013</v>
      </c>
      <c r="B407" s="18" t="s">
        <v>437</v>
      </c>
      <c r="C407" s="18" t="s">
        <v>438</v>
      </c>
      <c r="D407" s="19">
        <v>3062000</v>
      </c>
      <c r="E407" s="19">
        <v>0</v>
      </c>
      <c r="F407" s="19"/>
      <c r="G407" s="19">
        <v>180</v>
      </c>
      <c r="H407" s="19" t="s">
        <v>65</v>
      </c>
      <c r="I407" s="19"/>
      <c r="J407" s="19" t="s">
        <v>66</v>
      </c>
      <c r="K407" s="19" t="b">
        <v>0</v>
      </c>
      <c r="L407" s="15">
        <v>2014</v>
      </c>
      <c r="M407" s="16">
        <v>6389814.07</v>
      </c>
      <c r="N407" s="20">
        <v>41550</v>
      </c>
      <c r="O407" s="20">
        <v>41550</v>
      </c>
    </row>
    <row r="408" spans="1:15" ht="14.25">
      <c r="A408" s="17">
        <v>2013</v>
      </c>
      <c r="B408" s="18" t="s">
        <v>437</v>
      </c>
      <c r="C408" s="18" t="s">
        <v>438</v>
      </c>
      <c r="D408" s="19">
        <v>3062000</v>
      </c>
      <c r="E408" s="19">
        <v>0</v>
      </c>
      <c r="F408" s="19"/>
      <c r="G408" s="19">
        <v>180</v>
      </c>
      <c r="H408" s="19" t="s">
        <v>65</v>
      </c>
      <c r="I408" s="19"/>
      <c r="J408" s="19" t="s">
        <v>66</v>
      </c>
      <c r="K408" s="19" t="b">
        <v>0</v>
      </c>
      <c r="L408" s="15">
        <v>2027</v>
      </c>
      <c r="M408" s="16">
        <v>50000</v>
      </c>
      <c r="N408" s="20">
        <v>41550</v>
      </c>
      <c r="O408" s="20">
        <v>41550</v>
      </c>
    </row>
    <row r="409" spans="1:15" ht="14.25">
      <c r="A409" s="17">
        <v>2013</v>
      </c>
      <c r="B409" s="18" t="s">
        <v>437</v>
      </c>
      <c r="C409" s="18" t="s">
        <v>438</v>
      </c>
      <c r="D409" s="19">
        <v>3062000</v>
      </c>
      <c r="E409" s="19">
        <v>0</v>
      </c>
      <c r="F409" s="19"/>
      <c r="G409" s="19">
        <v>20</v>
      </c>
      <c r="H409" s="19">
        <v>1.1</v>
      </c>
      <c r="I409" s="19"/>
      <c r="J409" s="19" t="s">
        <v>38</v>
      </c>
      <c r="K409" s="19" t="b">
        <v>1</v>
      </c>
      <c r="L409" s="15">
        <v>2019</v>
      </c>
      <c r="M409" s="16">
        <v>406676072</v>
      </c>
      <c r="N409" s="20">
        <v>41550</v>
      </c>
      <c r="O409" s="20">
        <v>41550</v>
      </c>
    </row>
    <row r="410" spans="1:15" ht="14.25">
      <c r="A410" s="17">
        <v>2013</v>
      </c>
      <c r="B410" s="18" t="s">
        <v>437</v>
      </c>
      <c r="C410" s="18" t="s">
        <v>438</v>
      </c>
      <c r="D410" s="19">
        <v>3062000</v>
      </c>
      <c r="E410" s="19">
        <v>0</v>
      </c>
      <c r="F410" s="19"/>
      <c r="G410" s="19">
        <v>750</v>
      </c>
      <c r="H410" s="19" t="s">
        <v>133</v>
      </c>
      <c r="I410" s="19"/>
      <c r="J410" s="19" t="s">
        <v>134</v>
      </c>
      <c r="K410" s="19" t="b">
        <v>0</v>
      </c>
      <c r="L410" s="15">
        <v>2014</v>
      </c>
      <c r="M410" s="16">
        <v>2250271.67</v>
      </c>
      <c r="N410" s="20">
        <v>41550</v>
      </c>
      <c r="O410" s="20">
        <v>41550</v>
      </c>
    </row>
    <row r="411" spans="1:15" ht="14.25">
      <c r="A411" s="17">
        <v>2013</v>
      </c>
      <c r="B411" s="18" t="s">
        <v>437</v>
      </c>
      <c r="C411" s="18" t="s">
        <v>438</v>
      </c>
      <c r="D411" s="19">
        <v>3062000</v>
      </c>
      <c r="E411" s="19">
        <v>0</v>
      </c>
      <c r="F411" s="19"/>
      <c r="G411" s="19">
        <v>170</v>
      </c>
      <c r="H411" s="19" t="s">
        <v>63</v>
      </c>
      <c r="I411" s="19"/>
      <c r="J411" s="19" t="s">
        <v>64</v>
      </c>
      <c r="K411" s="19" t="b">
        <v>1</v>
      </c>
      <c r="L411" s="15">
        <v>2024</v>
      </c>
      <c r="M411" s="16">
        <v>150000</v>
      </c>
      <c r="N411" s="20">
        <v>41550</v>
      </c>
      <c r="O411" s="20">
        <v>41550</v>
      </c>
    </row>
    <row r="412" spans="1:15" ht="14.25">
      <c r="A412" s="17">
        <v>2013</v>
      </c>
      <c r="B412" s="18" t="s">
        <v>437</v>
      </c>
      <c r="C412" s="18" t="s">
        <v>438</v>
      </c>
      <c r="D412" s="19">
        <v>3062000</v>
      </c>
      <c r="E412" s="19">
        <v>0</v>
      </c>
      <c r="F412" s="19"/>
      <c r="G412" s="19">
        <v>470</v>
      </c>
      <c r="H412" s="19">
        <v>9.3</v>
      </c>
      <c r="I412" s="19" t="s">
        <v>450</v>
      </c>
      <c r="J412" s="19" t="s">
        <v>451</v>
      </c>
      <c r="K412" s="19" t="b">
        <v>1</v>
      </c>
      <c r="L412" s="15">
        <v>2017</v>
      </c>
      <c r="M412" s="16">
        <v>0.0849</v>
      </c>
      <c r="N412" s="20">
        <v>41550</v>
      </c>
      <c r="O412" s="20">
        <v>41550</v>
      </c>
    </row>
    <row r="413" spans="1:15" ht="14.25">
      <c r="A413" s="17">
        <v>2013</v>
      </c>
      <c r="B413" s="18" t="s">
        <v>437</v>
      </c>
      <c r="C413" s="18" t="s">
        <v>438</v>
      </c>
      <c r="D413" s="19">
        <v>3062000</v>
      </c>
      <c r="E413" s="19">
        <v>0</v>
      </c>
      <c r="F413" s="19"/>
      <c r="G413" s="19">
        <v>520</v>
      </c>
      <c r="H413" s="19" t="s">
        <v>101</v>
      </c>
      <c r="I413" s="19"/>
      <c r="J413" s="19" t="s">
        <v>449</v>
      </c>
      <c r="K413" s="19" t="b">
        <v>1</v>
      </c>
      <c r="L413" s="15">
        <v>2017</v>
      </c>
      <c r="M413" s="16">
        <v>0.0963</v>
      </c>
      <c r="N413" s="20">
        <v>41550</v>
      </c>
      <c r="O413" s="20">
        <v>41550</v>
      </c>
    </row>
    <row r="414" spans="1:15" ht="14.25">
      <c r="A414" s="17">
        <v>2013</v>
      </c>
      <c r="B414" s="18" t="s">
        <v>437</v>
      </c>
      <c r="C414" s="18" t="s">
        <v>438</v>
      </c>
      <c r="D414" s="19">
        <v>3062000</v>
      </c>
      <c r="E414" s="19">
        <v>0</v>
      </c>
      <c r="F414" s="19"/>
      <c r="G414" s="19">
        <v>60</v>
      </c>
      <c r="H414" s="19" t="s">
        <v>45</v>
      </c>
      <c r="I414" s="19"/>
      <c r="J414" s="19" t="s">
        <v>46</v>
      </c>
      <c r="K414" s="19" t="b">
        <v>1</v>
      </c>
      <c r="L414" s="15">
        <v>2014</v>
      </c>
      <c r="M414" s="16">
        <v>63390600</v>
      </c>
      <c r="N414" s="20">
        <v>41550</v>
      </c>
      <c r="O414" s="20">
        <v>41550</v>
      </c>
    </row>
    <row r="415" spans="1:15" ht="14.25">
      <c r="A415" s="17">
        <v>2013</v>
      </c>
      <c r="B415" s="18" t="s">
        <v>437</v>
      </c>
      <c r="C415" s="18" t="s">
        <v>438</v>
      </c>
      <c r="D415" s="19">
        <v>3062000</v>
      </c>
      <c r="E415" s="19">
        <v>0</v>
      </c>
      <c r="F415" s="19"/>
      <c r="G415" s="19">
        <v>470</v>
      </c>
      <c r="H415" s="19">
        <v>9.3</v>
      </c>
      <c r="I415" s="19" t="s">
        <v>450</v>
      </c>
      <c r="J415" s="19" t="s">
        <v>451</v>
      </c>
      <c r="K415" s="19" t="b">
        <v>1</v>
      </c>
      <c r="L415" s="15">
        <v>2027</v>
      </c>
      <c r="M415" s="16">
        <v>0.0213</v>
      </c>
      <c r="N415" s="20">
        <v>41550</v>
      </c>
      <c r="O415" s="20">
        <v>41550</v>
      </c>
    </row>
    <row r="416" spans="1:15" ht="14.25">
      <c r="A416" s="17">
        <v>2013</v>
      </c>
      <c r="B416" s="18" t="s">
        <v>437</v>
      </c>
      <c r="C416" s="18" t="s">
        <v>438</v>
      </c>
      <c r="D416" s="19">
        <v>3062000</v>
      </c>
      <c r="E416" s="19">
        <v>0</v>
      </c>
      <c r="F416" s="19"/>
      <c r="G416" s="19">
        <v>430</v>
      </c>
      <c r="H416" s="19">
        <v>8.2</v>
      </c>
      <c r="I416" s="19" t="s">
        <v>447</v>
      </c>
      <c r="J416" s="19" t="s">
        <v>92</v>
      </c>
      <c r="K416" s="19" t="b">
        <v>0</v>
      </c>
      <c r="L416" s="15">
        <v>2022</v>
      </c>
      <c r="M416" s="16">
        <v>51194580</v>
      </c>
      <c r="N416" s="20">
        <v>41550</v>
      </c>
      <c r="O416" s="20">
        <v>41550</v>
      </c>
    </row>
    <row r="417" spans="1:15" ht="14.25">
      <c r="A417" s="17">
        <v>2013</v>
      </c>
      <c r="B417" s="18" t="s">
        <v>437</v>
      </c>
      <c r="C417" s="18" t="s">
        <v>438</v>
      </c>
      <c r="D417" s="19">
        <v>3062000</v>
      </c>
      <c r="E417" s="19">
        <v>0</v>
      </c>
      <c r="F417" s="19"/>
      <c r="G417" s="19">
        <v>480</v>
      </c>
      <c r="H417" s="19">
        <v>9.4</v>
      </c>
      <c r="I417" s="19" t="s">
        <v>446</v>
      </c>
      <c r="J417" s="19" t="s">
        <v>95</v>
      </c>
      <c r="K417" s="19" t="b">
        <v>0</v>
      </c>
      <c r="L417" s="15">
        <v>2014</v>
      </c>
      <c r="M417" s="16">
        <v>0.0516</v>
      </c>
      <c r="N417" s="20">
        <v>41550</v>
      </c>
      <c r="O417" s="20">
        <v>41550</v>
      </c>
    </row>
    <row r="418" spans="1:15" ht="14.25">
      <c r="A418" s="17">
        <v>2013</v>
      </c>
      <c r="B418" s="18" t="s">
        <v>437</v>
      </c>
      <c r="C418" s="18" t="s">
        <v>438</v>
      </c>
      <c r="D418" s="19">
        <v>3062000</v>
      </c>
      <c r="E418" s="19">
        <v>0</v>
      </c>
      <c r="F418" s="19"/>
      <c r="G418" s="19">
        <v>430</v>
      </c>
      <c r="H418" s="19">
        <v>8.2</v>
      </c>
      <c r="I418" s="19" t="s">
        <v>447</v>
      </c>
      <c r="J418" s="19" t="s">
        <v>92</v>
      </c>
      <c r="K418" s="19" t="b">
        <v>0</v>
      </c>
      <c r="L418" s="15">
        <v>2017</v>
      </c>
      <c r="M418" s="16">
        <v>52168580</v>
      </c>
      <c r="N418" s="20">
        <v>41550</v>
      </c>
      <c r="O418" s="20">
        <v>41550</v>
      </c>
    </row>
    <row r="419" spans="1:15" ht="14.25">
      <c r="A419" s="17">
        <v>2013</v>
      </c>
      <c r="B419" s="18" t="s">
        <v>437</v>
      </c>
      <c r="C419" s="18" t="s">
        <v>438</v>
      </c>
      <c r="D419" s="19">
        <v>3062000</v>
      </c>
      <c r="E419" s="19">
        <v>0</v>
      </c>
      <c r="F419" s="19"/>
      <c r="G419" s="19">
        <v>480</v>
      </c>
      <c r="H419" s="19">
        <v>9.4</v>
      </c>
      <c r="I419" s="19" t="s">
        <v>446</v>
      </c>
      <c r="J419" s="19" t="s">
        <v>95</v>
      </c>
      <c r="K419" s="19" t="b">
        <v>0</v>
      </c>
      <c r="L419" s="15">
        <v>2022</v>
      </c>
      <c r="M419" s="16">
        <v>0.0435</v>
      </c>
      <c r="N419" s="20">
        <v>41550</v>
      </c>
      <c r="O419" s="20">
        <v>41550</v>
      </c>
    </row>
    <row r="420" spans="1:15" ht="14.25">
      <c r="A420" s="17">
        <v>2013</v>
      </c>
      <c r="B420" s="18" t="s">
        <v>437</v>
      </c>
      <c r="C420" s="18" t="s">
        <v>438</v>
      </c>
      <c r="D420" s="19">
        <v>3062000</v>
      </c>
      <c r="E420" s="19">
        <v>0</v>
      </c>
      <c r="F420" s="19"/>
      <c r="G420" s="19">
        <v>140</v>
      </c>
      <c r="H420" s="19" t="s">
        <v>57</v>
      </c>
      <c r="I420" s="19"/>
      <c r="J420" s="19" t="s">
        <v>58</v>
      </c>
      <c r="K420" s="19" t="b">
        <v>1</v>
      </c>
      <c r="L420" s="15">
        <v>2020</v>
      </c>
      <c r="M420" s="16">
        <v>10150409</v>
      </c>
      <c r="N420" s="20">
        <v>41550</v>
      </c>
      <c r="O420" s="20">
        <v>41550</v>
      </c>
    </row>
    <row r="421" spans="1:15" ht="14.25">
      <c r="A421" s="17">
        <v>2013</v>
      </c>
      <c r="B421" s="18" t="s">
        <v>437</v>
      </c>
      <c r="C421" s="18" t="s">
        <v>438</v>
      </c>
      <c r="D421" s="19">
        <v>3062000</v>
      </c>
      <c r="E421" s="19">
        <v>0</v>
      </c>
      <c r="F421" s="19"/>
      <c r="G421" s="19">
        <v>560</v>
      </c>
      <c r="H421" s="19">
        <v>10.1</v>
      </c>
      <c r="I421" s="19"/>
      <c r="J421" s="19" t="s">
        <v>107</v>
      </c>
      <c r="K421" s="19" t="b">
        <v>0</v>
      </c>
      <c r="L421" s="15">
        <v>2021</v>
      </c>
      <c r="M421" s="16">
        <v>13977200</v>
      </c>
      <c r="N421" s="20">
        <v>41550</v>
      </c>
      <c r="O421" s="20">
        <v>41550</v>
      </c>
    </row>
    <row r="422" spans="1:15" ht="14.25">
      <c r="A422" s="17">
        <v>2013</v>
      </c>
      <c r="B422" s="18" t="s">
        <v>437</v>
      </c>
      <c r="C422" s="18" t="s">
        <v>438</v>
      </c>
      <c r="D422" s="19">
        <v>3062000</v>
      </c>
      <c r="E422" s="19">
        <v>0</v>
      </c>
      <c r="F422" s="19"/>
      <c r="G422" s="19">
        <v>560</v>
      </c>
      <c r="H422" s="19">
        <v>10.1</v>
      </c>
      <c r="I422" s="19"/>
      <c r="J422" s="19" t="s">
        <v>107</v>
      </c>
      <c r="K422" s="19" t="b">
        <v>0</v>
      </c>
      <c r="L422" s="15">
        <v>2024</v>
      </c>
      <c r="M422" s="16">
        <v>81200</v>
      </c>
      <c r="N422" s="20">
        <v>41550</v>
      </c>
      <c r="O422" s="20">
        <v>41550</v>
      </c>
    </row>
    <row r="423" spans="1:15" ht="14.25">
      <c r="A423" s="17">
        <v>2013</v>
      </c>
      <c r="B423" s="18" t="s">
        <v>437</v>
      </c>
      <c r="C423" s="18" t="s">
        <v>438</v>
      </c>
      <c r="D423" s="19">
        <v>3062000</v>
      </c>
      <c r="E423" s="19">
        <v>0</v>
      </c>
      <c r="F423" s="19"/>
      <c r="G423" s="19">
        <v>100</v>
      </c>
      <c r="H423" s="19" t="s">
        <v>52</v>
      </c>
      <c r="I423" s="19"/>
      <c r="J423" s="19" t="s">
        <v>53</v>
      </c>
      <c r="K423" s="19" t="b">
        <v>1</v>
      </c>
      <c r="L423" s="15">
        <v>2014</v>
      </c>
      <c r="M423" s="16">
        <v>1000000</v>
      </c>
      <c r="N423" s="20">
        <v>41550</v>
      </c>
      <c r="O423" s="20">
        <v>41550</v>
      </c>
    </row>
    <row r="424" spans="1:15" ht="14.25">
      <c r="A424" s="17">
        <v>2013</v>
      </c>
      <c r="B424" s="18" t="s">
        <v>437</v>
      </c>
      <c r="C424" s="18" t="s">
        <v>438</v>
      </c>
      <c r="D424" s="19">
        <v>3062000</v>
      </c>
      <c r="E424" s="19">
        <v>0</v>
      </c>
      <c r="F424" s="19"/>
      <c r="G424" s="19">
        <v>450</v>
      </c>
      <c r="H424" s="19">
        <v>9.1</v>
      </c>
      <c r="I424" s="19" t="s">
        <v>450</v>
      </c>
      <c r="J424" s="19" t="s">
        <v>93</v>
      </c>
      <c r="K424" s="19" t="b">
        <v>1</v>
      </c>
      <c r="L424" s="15">
        <v>2014</v>
      </c>
      <c r="M424" s="16">
        <v>0.0516</v>
      </c>
      <c r="N424" s="20">
        <v>41550</v>
      </c>
      <c r="O424" s="20">
        <v>41550</v>
      </c>
    </row>
    <row r="425" spans="1:15" ht="14.25">
      <c r="A425" s="17">
        <v>2013</v>
      </c>
      <c r="B425" s="18" t="s">
        <v>437</v>
      </c>
      <c r="C425" s="18" t="s">
        <v>438</v>
      </c>
      <c r="D425" s="19">
        <v>3062000</v>
      </c>
      <c r="E425" s="19">
        <v>0</v>
      </c>
      <c r="F425" s="19"/>
      <c r="G425" s="19">
        <v>120</v>
      </c>
      <c r="H425" s="19">
        <v>2</v>
      </c>
      <c r="I425" s="19" t="s">
        <v>443</v>
      </c>
      <c r="J425" s="19" t="s">
        <v>19</v>
      </c>
      <c r="K425" s="19" t="b">
        <v>0</v>
      </c>
      <c r="L425" s="15">
        <v>2025</v>
      </c>
      <c r="M425" s="16">
        <v>406594872</v>
      </c>
      <c r="N425" s="20">
        <v>41550</v>
      </c>
      <c r="O425" s="20">
        <v>41550</v>
      </c>
    </row>
    <row r="426" spans="1:15" ht="14.25">
      <c r="A426" s="17">
        <v>2013</v>
      </c>
      <c r="B426" s="18" t="s">
        <v>437</v>
      </c>
      <c r="C426" s="18" t="s">
        <v>438</v>
      </c>
      <c r="D426" s="19">
        <v>3062000</v>
      </c>
      <c r="E426" s="19">
        <v>0</v>
      </c>
      <c r="F426" s="19"/>
      <c r="G426" s="19">
        <v>120</v>
      </c>
      <c r="H426" s="19">
        <v>2</v>
      </c>
      <c r="I426" s="19" t="s">
        <v>443</v>
      </c>
      <c r="J426" s="19" t="s">
        <v>19</v>
      </c>
      <c r="K426" s="19" t="b">
        <v>0</v>
      </c>
      <c r="L426" s="15">
        <v>2024</v>
      </c>
      <c r="M426" s="16">
        <v>406594872</v>
      </c>
      <c r="N426" s="20">
        <v>41550</v>
      </c>
      <c r="O426" s="20">
        <v>41550</v>
      </c>
    </row>
    <row r="427" spans="1:15" ht="14.25">
      <c r="A427" s="17">
        <v>2013</v>
      </c>
      <c r="B427" s="18" t="s">
        <v>437</v>
      </c>
      <c r="C427" s="18" t="s">
        <v>438</v>
      </c>
      <c r="D427" s="19">
        <v>3062000</v>
      </c>
      <c r="E427" s="19">
        <v>0</v>
      </c>
      <c r="F427" s="19"/>
      <c r="G427" s="19">
        <v>120</v>
      </c>
      <c r="H427" s="19">
        <v>2</v>
      </c>
      <c r="I427" s="19" t="s">
        <v>443</v>
      </c>
      <c r="J427" s="19" t="s">
        <v>19</v>
      </c>
      <c r="K427" s="19" t="b">
        <v>0</v>
      </c>
      <c r="L427" s="15">
        <v>2017</v>
      </c>
      <c r="M427" s="16">
        <v>388876292</v>
      </c>
      <c r="N427" s="20">
        <v>41550</v>
      </c>
      <c r="O427" s="20">
        <v>41550</v>
      </c>
    </row>
    <row r="428" spans="1:15" ht="14.25">
      <c r="A428" s="17">
        <v>2013</v>
      </c>
      <c r="B428" s="18" t="s">
        <v>437</v>
      </c>
      <c r="C428" s="18" t="s">
        <v>438</v>
      </c>
      <c r="D428" s="19">
        <v>3062000</v>
      </c>
      <c r="E428" s="19">
        <v>0</v>
      </c>
      <c r="F428" s="19"/>
      <c r="G428" s="19">
        <v>520</v>
      </c>
      <c r="H428" s="19" t="s">
        <v>101</v>
      </c>
      <c r="I428" s="19"/>
      <c r="J428" s="19" t="s">
        <v>449</v>
      </c>
      <c r="K428" s="19" t="b">
        <v>1</v>
      </c>
      <c r="L428" s="15">
        <v>2016</v>
      </c>
      <c r="M428" s="16">
        <v>0.0762</v>
      </c>
      <c r="N428" s="20">
        <v>41550</v>
      </c>
      <c r="O428" s="20">
        <v>41550</v>
      </c>
    </row>
    <row r="429" spans="1:15" ht="14.25">
      <c r="A429" s="17">
        <v>2013</v>
      </c>
      <c r="B429" s="18" t="s">
        <v>437</v>
      </c>
      <c r="C429" s="18" t="s">
        <v>438</v>
      </c>
      <c r="D429" s="19">
        <v>3062000</v>
      </c>
      <c r="E429" s="19">
        <v>0</v>
      </c>
      <c r="F429" s="19"/>
      <c r="G429" s="19">
        <v>520</v>
      </c>
      <c r="H429" s="19" t="s">
        <v>101</v>
      </c>
      <c r="I429" s="19"/>
      <c r="J429" s="19" t="s">
        <v>449</v>
      </c>
      <c r="K429" s="19" t="b">
        <v>1</v>
      </c>
      <c r="L429" s="15">
        <v>2013</v>
      </c>
      <c r="M429" s="16">
        <v>0.0545</v>
      </c>
      <c r="N429" s="20">
        <v>41550</v>
      </c>
      <c r="O429" s="20">
        <v>41550</v>
      </c>
    </row>
    <row r="430" spans="1:15" ht="14.25">
      <c r="A430" s="17">
        <v>2013</v>
      </c>
      <c r="B430" s="18" t="s">
        <v>437</v>
      </c>
      <c r="C430" s="18" t="s">
        <v>438</v>
      </c>
      <c r="D430" s="19">
        <v>3062000</v>
      </c>
      <c r="E430" s="19">
        <v>0</v>
      </c>
      <c r="F430" s="19"/>
      <c r="G430" s="19">
        <v>390</v>
      </c>
      <c r="H430" s="19">
        <v>6.3</v>
      </c>
      <c r="I430" s="19" t="s">
        <v>442</v>
      </c>
      <c r="J430" s="19" t="s">
        <v>89</v>
      </c>
      <c r="K430" s="19" t="b">
        <v>0</v>
      </c>
      <c r="L430" s="15">
        <v>2021</v>
      </c>
      <c r="M430" s="16">
        <v>0.0206</v>
      </c>
      <c r="N430" s="20">
        <v>41550</v>
      </c>
      <c r="O430" s="20">
        <v>41550</v>
      </c>
    </row>
    <row r="431" spans="1:15" ht="14.25">
      <c r="A431" s="17">
        <v>2013</v>
      </c>
      <c r="B431" s="18" t="s">
        <v>437</v>
      </c>
      <c r="C431" s="18" t="s">
        <v>438</v>
      </c>
      <c r="D431" s="19">
        <v>3062000</v>
      </c>
      <c r="E431" s="19">
        <v>0</v>
      </c>
      <c r="F431" s="19"/>
      <c r="G431" s="19">
        <v>60</v>
      </c>
      <c r="H431" s="19" t="s">
        <v>45</v>
      </c>
      <c r="I431" s="19"/>
      <c r="J431" s="19" t="s">
        <v>46</v>
      </c>
      <c r="K431" s="19" t="b">
        <v>1</v>
      </c>
      <c r="L431" s="15">
        <v>2013</v>
      </c>
      <c r="M431" s="16">
        <v>61060000</v>
      </c>
      <c r="N431" s="20">
        <v>41550</v>
      </c>
      <c r="O431" s="20">
        <v>41550</v>
      </c>
    </row>
    <row r="432" spans="1:15" ht="14.25">
      <c r="A432" s="17">
        <v>2013</v>
      </c>
      <c r="B432" s="18" t="s">
        <v>437</v>
      </c>
      <c r="C432" s="18" t="s">
        <v>438</v>
      </c>
      <c r="D432" s="19">
        <v>3062000</v>
      </c>
      <c r="E432" s="19">
        <v>0</v>
      </c>
      <c r="F432" s="19"/>
      <c r="G432" s="19">
        <v>140</v>
      </c>
      <c r="H432" s="19" t="s">
        <v>57</v>
      </c>
      <c r="I432" s="19"/>
      <c r="J432" s="19" t="s">
        <v>58</v>
      </c>
      <c r="K432" s="19" t="b">
        <v>1</v>
      </c>
      <c r="L432" s="15">
        <v>2017</v>
      </c>
      <c r="M432" s="16">
        <v>10823927.68</v>
      </c>
      <c r="N432" s="20">
        <v>41550</v>
      </c>
      <c r="O432" s="20">
        <v>41550</v>
      </c>
    </row>
    <row r="433" spans="1:15" ht="14.25">
      <c r="A433" s="17">
        <v>2013</v>
      </c>
      <c r="B433" s="18" t="s">
        <v>437</v>
      </c>
      <c r="C433" s="18" t="s">
        <v>438</v>
      </c>
      <c r="D433" s="19">
        <v>3062000</v>
      </c>
      <c r="E433" s="19">
        <v>0</v>
      </c>
      <c r="F433" s="19"/>
      <c r="G433" s="19">
        <v>540</v>
      </c>
      <c r="H433" s="19" t="s">
        <v>104</v>
      </c>
      <c r="I433" s="19" t="s">
        <v>453</v>
      </c>
      <c r="J433" s="19" t="s">
        <v>105</v>
      </c>
      <c r="K433" s="19" t="b">
        <v>0</v>
      </c>
      <c r="L433" s="15">
        <v>2025</v>
      </c>
      <c r="M433" s="16">
        <v>1038</v>
      </c>
      <c r="N433" s="20">
        <v>41550</v>
      </c>
      <c r="O433" s="20">
        <v>41550</v>
      </c>
    </row>
    <row r="434" spans="1:15" ht="14.25">
      <c r="A434" s="17">
        <v>2013</v>
      </c>
      <c r="B434" s="18" t="s">
        <v>437</v>
      </c>
      <c r="C434" s="18" t="s">
        <v>438</v>
      </c>
      <c r="D434" s="19">
        <v>3062000</v>
      </c>
      <c r="E434" s="19">
        <v>0</v>
      </c>
      <c r="F434" s="19"/>
      <c r="G434" s="19">
        <v>690</v>
      </c>
      <c r="H434" s="19" t="s">
        <v>123</v>
      </c>
      <c r="I434" s="19"/>
      <c r="J434" s="19" t="s">
        <v>124</v>
      </c>
      <c r="K434" s="19" t="b">
        <v>1</v>
      </c>
      <c r="L434" s="15">
        <v>2014</v>
      </c>
      <c r="M434" s="16">
        <v>2250271.67</v>
      </c>
      <c r="N434" s="20">
        <v>41550</v>
      </c>
      <c r="O434" s="20">
        <v>41550</v>
      </c>
    </row>
    <row r="435" spans="1:15" ht="14.25">
      <c r="A435" s="17">
        <v>2013</v>
      </c>
      <c r="B435" s="18" t="s">
        <v>437</v>
      </c>
      <c r="C435" s="18" t="s">
        <v>438</v>
      </c>
      <c r="D435" s="19">
        <v>3062000</v>
      </c>
      <c r="E435" s="19">
        <v>0</v>
      </c>
      <c r="F435" s="19"/>
      <c r="G435" s="19">
        <v>380</v>
      </c>
      <c r="H435" s="19">
        <v>6.2</v>
      </c>
      <c r="I435" s="19" t="s">
        <v>445</v>
      </c>
      <c r="J435" s="19" t="s">
        <v>88</v>
      </c>
      <c r="K435" s="19" t="b">
        <v>0</v>
      </c>
      <c r="L435" s="15">
        <v>2026</v>
      </c>
      <c r="M435" s="16">
        <v>0.0001</v>
      </c>
      <c r="N435" s="20">
        <v>41550</v>
      </c>
      <c r="O435" s="20">
        <v>41550</v>
      </c>
    </row>
    <row r="436" spans="1:15" ht="14.25">
      <c r="A436" s="17">
        <v>2013</v>
      </c>
      <c r="B436" s="18" t="s">
        <v>437</v>
      </c>
      <c r="C436" s="18" t="s">
        <v>438</v>
      </c>
      <c r="D436" s="19">
        <v>3062000</v>
      </c>
      <c r="E436" s="19">
        <v>0</v>
      </c>
      <c r="F436" s="19"/>
      <c r="G436" s="19">
        <v>20</v>
      </c>
      <c r="H436" s="19">
        <v>1.1</v>
      </c>
      <c r="I436" s="19"/>
      <c r="J436" s="19" t="s">
        <v>38</v>
      </c>
      <c r="K436" s="19" t="b">
        <v>1</v>
      </c>
      <c r="L436" s="15">
        <v>2026</v>
      </c>
      <c r="M436" s="16">
        <v>406676072</v>
      </c>
      <c r="N436" s="20">
        <v>41550</v>
      </c>
      <c r="O436" s="20">
        <v>41550</v>
      </c>
    </row>
    <row r="437" spans="1:15" ht="14.25">
      <c r="A437" s="17">
        <v>2013</v>
      </c>
      <c r="B437" s="18" t="s">
        <v>437</v>
      </c>
      <c r="C437" s="18" t="s">
        <v>438</v>
      </c>
      <c r="D437" s="19">
        <v>3062000</v>
      </c>
      <c r="E437" s="19">
        <v>0</v>
      </c>
      <c r="F437" s="19"/>
      <c r="G437" s="19">
        <v>130</v>
      </c>
      <c r="H437" s="19">
        <v>2.1</v>
      </c>
      <c r="I437" s="19"/>
      <c r="J437" s="19" t="s">
        <v>56</v>
      </c>
      <c r="K437" s="19" t="b">
        <v>1</v>
      </c>
      <c r="L437" s="15">
        <v>2026</v>
      </c>
      <c r="M437" s="16">
        <v>355207492</v>
      </c>
      <c r="N437" s="20">
        <v>41550</v>
      </c>
      <c r="O437" s="20">
        <v>41550</v>
      </c>
    </row>
    <row r="438" spans="1:15" ht="14.25">
      <c r="A438" s="17">
        <v>2013</v>
      </c>
      <c r="B438" s="18" t="s">
        <v>437</v>
      </c>
      <c r="C438" s="18" t="s">
        <v>438</v>
      </c>
      <c r="D438" s="19">
        <v>3062000</v>
      </c>
      <c r="E438" s="19">
        <v>0</v>
      </c>
      <c r="F438" s="19"/>
      <c r="G438" s="19">
        <v>480</v>
      </c>
      <c r="H438" s="19">
        <v>9.4</v>
      </c>
      <c r="I438" s="19" t="s">
        <v>446</v>
      </c>
      <c r="J438" s="19" t="s">
        <v>95</v>
      </c>
      <c r="K438" s="19" t="b">
        <v>0</v>
      </c>
      <c r="L438" s="15">
        <v>2027</v>
      </c>
      <c r="M438" s="16">
        <v>0.0213</v>
      </c>
      <c r="N438" s="20">
        <v>41550</v>
      </c>
      <c r="O438" s="20">
        <v>41550</v>
      </c>
    </row>
    <row r="439" spans="1:15" ht="14.25">
      <c r="A439" s="17">
        <v>2013</v>
      </c>
      <c r="B439" s="18" t="s">
        <v>437</v>
      </c>
      <c r="C439" s="18" t="s">
        <v>438</v>
      </c>
      <c r="D439" s="19">
        <v>3062000</v>
      </c>
      <c r="E439" s="19">
        <v>0</v>
      </c>
      <c r="F439" s="19"/>
      <c r="G439" s="19">
        <v>880</v>
      </c>
      <c r="H439" s="19">
        <v>14.1</v>
      </c>
      <c r="I439" s="19"/>
      <c r="J439" s="19" t="s">
        <v>149</v>
      </c>
      <c r="K439" s="19" t="b">
        <v>1</v>
      </c>
      <c r="L439" s="15">
        <v>2013</v>
      </c>
      <c r="M439" s="16">
        <v>23585724.84</v>
      </c>
      <c r="N439" s="20">
        <v>41550</v>
      </c>
      <c r="O439" s="20">
        <v>41550</v>
      </c>
    </row>
    <row r="440" spans="1:15" ht="14.25">
      <c r="A440" s="17">
        <v>2013</v>
      </c>
      <c r="B440" s="18" t="s">
        <v>437</v>
      </c>
      <c r="C440" s="18" t="s">
        <v>438</v>
      </c>
      <c r="D440" s="19">
        <v>3062000</v>
      </c>
      <c r="E440" s="19">
        <v>0</v>
      </c>
      <c r="F440" s="19"/>
      <c r="G440" s="19">
        <v>180</v>
      </c>
      <c r="H440" s="19" t="s">
        <v>65</v>
      </c>
      <c r="I440" s="19"/>
      <c r="J440" s="19" t="s">
        <v>66</v>
      </c>
      <c r="K440" s="19" t="b">
        <v>0</v>
      </c>
      <c r="L440" s="15">
        <v>2019</v>
      </c>
      <c r="M440" s="16">
        <v>3200000</v>
      </c>
      <c r="N440" s="20">
        <v>41550</v>
      </c>
      <c r="O440" s="20">
        <v>41550</v>
      </c>
    </row>
    <row r="441" spans="1:15" ht="14.25">
      <c r="A441" s="17">
        <v>2013</v>
      </c>
      <c r="B441" s="18" t="s">
        <v>437</v>
      </c>
      <c r="C441" s="18" t="s">
        <v>438</v>
      </c>
      <c r="D441" s="19">
        <v>3062000</v>
      </c>
      <c r="E441" s="19">
        <v>0</v>
      </c>
      <c r="F441" s="19"/>
      <c r="G441" s="19">
        <v>350</v>
      </c>
      <c r="H441" s="19">
        <v>6</v>
      </c>
      <c r="I441" s="19"/>
      <c r="J441" s="19" t="s">
        <v>25</v>
      </c>
      <c r="K441" s="19" t="b">
        <v>1</v>
      </c>
      <c r="L441" s="15">
        <v>2026</v>
      </c>
      <c r="M441" s="16">
        <v>47600</v>
      </c>
      <c r="N441" s="20">
        <v>41550</v>
      </c>
      <c r="O441" s="20">
        <v>41550</v>
      </c>
    </row>
    <row r="442" spans="1:15" ht="14.25">
      <c r="A442" s="17">
        <v>2013</v>
      </c>
      <c r="B442" s="18" t="s">
        <v>437</v>
      </c>
      <c r="C442" s="18" t="s">
        <v>438</v>
      </c>
      <c r="D442" s="19">
        <v>3062000</v>
      </c>
      <c r="E442" s="19">
        <v>0</v>
      </c>
      <c r="F442" s="19"/>
      <c r="G442" s="19">
        <v>120</v>
      </c>
      <c r="H442" s="19">
        <v>2</v>
      </c>
      <c r="I442" s="19" t="s">
        <v>443</v>
      </c>
      <c r="J442" s="19" t="s">
        <v>19</v>
      </c>
      <c r="K442" s="19" t="b">
        <v>0</v>
      </c>
      <c r="L442" s="15">
        <v>2021</v>
      </c>
      <c r="M442" s="16">
        <v>392698872</v>
      </c>
      <c r="N442" s="20">
        <v>41550</v>
      </c>
      <c r="O442" s="20">
        <v>41550</v>
      </c>
    </row>
    <row r="443" spans="1:15" ht="14.25">
      <c r="A443" s="17">
        <v>2013</v>
      </c>
      <c r="B443" s="18" t="s">
        <v>437</v>
      </c>
      <c r="C443" s="18" t="s">
        <v>438</v>
      </c>
      <c r="D443" s="19">
        <v>3062000</v>
      </c>
      <c r="E443" s="19">
        <v>0</v>
      </c>
      <c r="F443" s="19"/>
      <c r="G443" s="19">
        <v>190</v>
      </c>
      <c r="H443" s="19">
        <v>2.2</v>
      </c>
      <c r="I443" s="19"/>
      <c r="J443" s="19" t="s">
        <v>67</v>
      </c>
      <c r="K443" s="19" t="b">
        <v>0</v>
      </c>
      <c r="L443" s="15">
        <v>2023</v>
      </c>
      <c r="M443" s="16">
        <v>50797380</v>
      </c>
      <c r="N443" s="20">
        <v>41550</v>
      </c>
      <c r="O443" s="20">
        <v>41550</v>
      </c>
    </row>
    <row r="444" spans="1:15" ht="14.25">
      <c r="A444" s="17">
        <v>2013</v>
      </c>
      <c r="B444" s="18" t="s">
        <v>437</v>
      </c>
      <c r="C444" s="18" t="s">
        <v>438</v>
      </c>
      <c r="D444" s="19">
        <v>3062000</v>
      </c>
      <c r="E444" s="19">
        <v>0</v>
      </c>
      <c r="F444" s="19"/>
      <c r="G444" s="19">
        <v>540</v>
      </c>
      <c r="H444" s="19" t="s">
        <v>104</v>
      </c>
      <c r="I444" s="19" t="s">
        <v>453</v>
      </c>
      <c r="J444" s="19" t="s">
        <v>105</v>
      </c>
      <c r="K444" s="19" t="b">
        <v>0</v>
      </c>
      <c r="L444" s="15">
        <v>2022</v>
      </c>
      <c r="M444" s="16">
        <v>821</v>
      </c>
      <c r="N444" s="20">
        <v>41550</v>
      </c>
      <c r="O444" s="20">
        <v>41550</v>
      </c>
    </row>
    <row r="445" spans="1:15" ht="14.25">
      <c r="A445" s="17">
        <v>2013</v>
      </c>
      <c r="B445" s="18" t="s">
        <v>437</v>
      </c>
      <c r="C445" s="18" t="s">
        <v>438</v>
      </c>
      <c r="D445" s="19">
        <v>3062000</v>
      </c>
      <c r="E445" s="19">
        <v>0</v>
      </c>
      <c r="F445" s="19"/>
      <c r="G445" s="19">
        <v>90</v>
      </c>
      <c r="H445" s="19">
        <v>1.2</v>
      </c>
      <c r="I445" s="19"/>
      <c r="J445" s="19" t="s">
        <v>51</v>
      </c>
      <c r="K445" s="19" t="b">
        <v>1</v>
      </c>
      <c r="L445" s="15">
        <v>2016</v>
      </c>
      <c r="M445" s="16">
        <v>1000000</v>
      </c>
      <c r="N445" s="20">
        <v>41550</v>
      </c>
      <c r="O445" s="20">
        <v>41550</v>
      </c>
    </row>
    <row r="446" spans="1:15" ht="14.25">
      <c r="A446" s="17">
        <v>2013</v>
      </c>
      <c r="B446" s="18" t="s">
        <v>437</v>
      </c>
      <c r="C446" s="18" t="s">
        <v>438</v>
      </c>
      <c r="D446" s="19">
        <v>3062000</v>
      </c>
      <c r="E446" s="19">
        <v>0</v>
      </c>
      <c r="F446" s="19"/>
      <c r="G446" s="19">
        <v>610</v>
      </c>
      <c r="H446" s="19" t="s">
        <v>112</v>
      </c>
      <c r="I446" s="19"/>
      <c r="J446" s="19" t="s">
        <v>113</v>
      </c>
      <c r="K446" s="19" t="b">
        <v>1</v>
      </c>
      <c r="L446" s="15">
        <v>2013</v>
      </c>
      <c r="M446" s="16">
        <v>16866033.18</v>
      </c>
      <c r="N446" s="20">
        <v>41550</v>
      </c>
      <c r="O446" s="20">
        <v>41550</v>
      </c>
    </row>
    <row r="447" spans="1:15" ht="14.25">
      <c r="A447" s="17">
        <v>2013</v>
      </c>
      <c r="B447" s="18" t="s">
        <v>437</v>
      </c>
      <c r="C447" s="18" t="s">
        <v>438</v>
      </c>
      <c r="D447" s="19">
        <v>3062000</v>
      </c>
      <c r="E447" s="19">
        <v>0</v>
      </c>
      <c r="F447" s="19"/>
      <c r="G447" s="19">
        <v>140</v>
      </c>
      <c r="H447" s="19" t="s">
        <v>57</v>
      </c>
      <c r="I447" s="19"/>
      <c r="J447" s="19" t="s">
        <v>58</v>
      </c>
      <c r="K447" s="19" t="b">
        <v>1</v>
      </c>
      <c r="L447" s="15">
        <v>2027</v>
      </c>
      <c r="M447" s="16">
        <v>8579404.06</v>
      </c>
      <c r="N447" s="20">
        <v>41550</v>
      </c>
      <c r="O447" s="20">
        <v>41550</v>
      </c>
    </row>
    <row r="448" spans="1:15" ht="14.25">
      <c r="A448" s="17">
        <v>2013</v>
      </c>
      <c r="B448" s="18" t="s">
        <v>437</v>
      </c>
      <c r="C448" s="18" t="s">
        <v>438</v>
      </c>
      <c r="D448" s="19">
        <v>3062000</v>
      </c>
      <c r="E448" s="19">
        <v>0</v>
      </c>
      <c r="F448" s="19"/>
      <c r="G448" s="19">
        <v>590</v>
      </c>
      <c r="H448" s="19">
        <v>11.2</v>
      </c>
      <c r="I448" s="19"/>
      <c r="J448" s="19" t="s">
        <v>110</v>
      </c>
      <c r="K448" s="19" t="b">
        <v>1</v>
      </c>
      <c r="L448" s="15">
        <v>2014</v>
      </c>
      <c r="M448" s="16">
        <v>29528300</v>
      </c>
      <c r="N448" s="20">
        <v>41550</v>
      </c>
      <c r="O448" s="20">
        <v>41550</v>
      </c>
    </row>
    <row r="449" spans="1:15" ht="14.25">
      <c r="A449" s="17">
        <v>2013</v>
      </c>
      <c r="B449" s="18" t="s">
        <v>437</v>
      </c>
      <c r="C449" s="18" t="s">
        <v>438</v>
      </c>
      <c r="D449" s="19">
        <v>3062000</v>
      </c>
      <c r="E449" s="19">
        <v>0</v>
      </c>
      <c r="F449" s="19"/>
      <c r="G449" s="19">
        <v>80</v>
      </c>
      <c r="H449" s="19" t="s">
        <v>49</v>
      </c>
      <c r="I449" s="19"/>
      <c r="J449" s="19" t="s">
        <v>50</v>
      </c>
      <c r="K449" s="19" t="b">
        <v>1</v>
      </c>
      <c r="L449" s="15">
        <v>2014</v>
      </c>
      <c r="M449" s="16">
        <v>46874000</v>
      </c>
      <c r="N449" s="20">
        <v>41550</v>
      </c>
      <c r="O449" s="20">
        <v>41550</v>
      </c>
    </row>
    <row r="450" spans="1:15" ht="14.25">
      <c r="A450" s="17">
        <v>2013</v>
      </c>
      <c r="B450" s="18" t="s">
        <v>437</v>
      </c>
      <c r="C450" s="18" t="s">
        <v>438</v>
      </c>
      <c r="D450" s="19">
        <v>3062000</v>
      </c>
      <c r="E450" s="19">
        <v>0</v>
      </c>
      <c r="F450" s="19"/>
      <c r="G450" s="19">
        <v>540</v>
      </c>
      <c r="H450" s="19" t="s">
        <v>104</v>
      </c>
      <c r="I450" s="19" t="s">
        <v>453</v>
      </c>
      <c r="J450" s="19" t="s">
        <v>105</v>
      </c>
      <c r="K450" s="19" t="b">
        <v>0</v>
      </c>
      <c r="L450" s="15">
        <v>2026</v>
      </c>
      <c r="M450" s="16">
        <v>1045</v>
      </c>
      <c r="N450" s="20">
        <v>41550</v>
      </c>
      <c r="O450" s="20">
        <v>41550</v>
      </c>
    </row>
    <row r="451" spans="1:15" ht="14.25">
      <c r="A451" s="17">
        <v>2013</v>
      </c>
      <c r="B451" s="18" t="s">
        <v>437</v>
      </c>
      <c r="C451" s="18" t="s">
        <v>438</v>
      </c>
      <c r="D451" s="19">
        <v>3062000</v>
      </c>
      <c r="E451" s="19">
        <v>0</v>
      </c>
      <c r="F451" s="19"/>
      <c r="G451" s="19">
        <v>140</v>
      </c>
      <c r="H451" s="19" t="s">
        <v>57</v>
      </c>
      <c r="I451" s="19"/>
      <c r="J451" s="19" t="s">
        <v>58</v>
      </c>
      <c r="K451" s="19" t="b">
        <v>1</v>
      </c>
      <c r="L451" s="15">
        <v>2023</v>
      </c>
      <c r="M451" s="16">
        <v>9476929.31</v>
      </c>
      <c r="N451" s="20">
        <v>41550</v>
      </c>
      <c r="O451" s="20">
        <v>41550</v>
      </c>
    </row>
    <row r="452" spans="1:15" ht="14.25">
      <c r="A452" s="17">
        <v>2013</v>
      </c>
      <c r="B452" s="18" t="s">
        <v>437</v>
      </c>
      <c r="C452" s="18" t="s">
        <v>438</v>
      </c>
      <c r="D452" s="19">
        <v>3062000</v>
      </c>
      <c r="E452" s="19">
        <v>0</v>
      </c>
      <c r="F452" s="19"/>
      <c r="G452" s="19">
        <v>390</v>
      </c>
      <c r="H452" s="19">
        <v>6.3</v>
      </c>
      <c r="I452" s="19" t="s">
        <v>442</v>
      </c>
      <c r="J452" s="19" t="s">
        <v>89</v>
      </c>
      <c r="K452" s="19" t="b">
        <v>0</v>
      </c>
      <c r="L452" s="15">
        <v>2024</v>
      </c>
      <c r="M452" s="16">
        <v>0.0005</v>
      </c>
      <c r="N452" s="20">
        <v>41550</v>
      </c>
      <c r="O452" s="20">
        <v>41550</v>
      </c>
    </row>
    <row r="453" spans="1:15" ht="14.25">
      <c r="A453" s="17">
        <v>2013</v>
      </c>
      <c r="B453" s="18" t="s">
        <v>437</v>
      </c>
      <c r="C453" s="18" t="s">
        <v>438</v>
      </c>
      <c r="D453" s="19">
        <v>3062000</v>
      </c>
      <c r="E453" s="19">
        <v>0</v>
      </c>
      <c r="F453" s="19"/>
      <c r="G453" s="19">
        <v>380</v>
      </c>
      <c r="H453" s="19">
        <v>6.2</v>
      </c>
      <c r="I453" s="19" t="s">
        <v>445</v>
      </c>
      <c r="J453" s="19" t="s">
        <v>88</v>
      </c>
      <c r="K453" s="19" t="b">
        <v>0</v>
      </c>
      <c r="L453" s="15">
        <v>2025</v>
      </c>
      <c r="M453" s="16">
        <v>0.0003</v>
      </c>
      <c r="N453" s="20">
        <v>41550</v>
      </c>
      <c r="O453" s="20">
        <v>41550</v>
      </c>
    </row>
    <row r="454" spans="1:15" ht="14.25">
      <c r="A454" s="17">
        <v>2013</v>
      </c>
      <c r="B454" s="18" t="s">
        <v>437</v>
      </c>
      <c r="C454" s="18" t="s">
        <v>438</v>
      </c>
      <c r="D454" s="19">
        <v>3062000</v>
      </c>
      <c r="E454" s="19">
        <v>0</v>
      </c>
      <c r="F454" s="19"/>
      <c r="G454" s="19">
        <v>505</v>
      </c>
      <c r="H454" s="19" t="s">
        <v>98</v>
      </c>
      <c r="I454" s="19" t="s">
        <v>441</v>
      </c>
      <c r="J454" s="19" t="s">
        <v>99</v>
      </c>
      <c r="K454" s="19" t="b">
        <v>0</v>
      </c>
      <c r="L454" s="15">
        <v>2026</v>
      </c>
      <c r="M454" s="16">
        <v>0.1266</v>
      </c>
      <c r="N454" s="20">
        <v>41550</v>
      </c>
      <c r="O454" s="20">
        <v>41550</v>
      </c>
    </row>
    <row r="455" spans="1:15" ht="14.25">
      <c r="A455" s="17">
        <v>2013</v>
      </c>
      <c r="B455" s="18" t="s">
        <v>437</v>
      </c>
      <c r="C455" s="18" t="s">
        <v>438</v>
      </c>
      <c r="D455" s="19">
        <v>3062000</v>
      </c>
      <c r="E455" s="19">
        <v>0</v>
      </c>
      <c r="F455" s="19"/>
      <c r="G455" s="19">
        <v>510</v>
      </c>
      <c r="H455" s="19">
        <v>9.7</v>
      </c>
      <c r="I455" s="19"/>
      <c r="J455" s="19" t="s">
        <v>452</v>
      </c>
      <c r="K455" s="19" t="b">
        <v>1</v>
      </c>
      <c r="L455" s="15">
        <v>2022</v>
      </c>
      <c r="M455" s="16">
        <v>0.1256</v>
      </c>
      <c r="N455" s="20">
        <v>41550</v>
      </c>
      <c r="O455" s="20">
        <v>41550</v>
      </c>
    </row>
    <row r="456" spans="1:15" ht="14.25">
      <c r="A456" s="17">
        <v>2013</v>
      </c>
      <c r="B456" s="18" t="s">
        <v>437</v>
      </c>
      <c r="C456" s="18" t="s">
        <v>438</v>
      </c>
      <c r="D456" s="19">
        <v>3062000</v>
      </c>
      <c r="E456" s="19">
        <v>0</v>
      </c>
      <c r="F456" s="19"/>
      <c r="G456" s="19">
        <v>550</v>
      </c>
      <c r="H456" s="19">
        <v>10</v>
      </c>
      <c r="I456" s="19"/>
      <c r="J456" s="19" t="s">
        <v>106</v>
      </c>
      <c r="K456" s="19" t="b">
        <v>0</v>
      </c>
      <c r="L456" s="15">
        <v>2024</v>
      </c>
      <c r="M456" s="16">
        <v>81200</v>
      </c>
      <c r="N456" s="20">
        <v>41550</v>
      </c>
      <c r="O456" s="20">
        <v>41550</v>
      </c>
    </row>
    <row r="457" spans="1:15" ht="14.25">
      <c r="A457" s="17">
        <v>2013</v>
      </c>
      <c r="B457" s="18" t="s">
        <v>437</v>
      </c>
      <c r="C457" s="18" t="s">
        <v>438</v>
      </c>
      <c r="D457" s="19">
        <v>3062000</v>
      </c>
      <c r="E457" s="19">
        <v>0</v>
      </c>
      <c r="F457" s="19"/>
      <c r="G457" s="19">
        <v>380</v>
      </c>
      <c r="H457" s="19">
        <v>6.2</v>
      </c>
      <c r="I457" s="19" t="s">
        <v>445</v>
      </c>
      <c r="J457" s="19" t="s">
        <v>88</v>
      </c>
      <c r="K457" s="19" t="b">
        <v>0</v>
      </c>
      <c r="L457" s="15">
        <v>2022</v>
      </c>
      <c r="M457" s="16">
        <v>0.0024</v>
      </c>
      <c r="N457" s="20">
        <v>41550</v>
      </c>
      <c r="O457" s="20">
        <v>41550</v>
      </c>
    </row>
    <row r="458" spans="1:15" ht="14.25">
      <c r="A458" s="17">
        <v>2013</v>
      </c>
      <c r="B458" s="18" t="s">
        <v>437</v>
      </c>
      <c r="C458" s="18" t="s">
        <v>438</v>
      </c>
      <c r="D458" s="19">
        <v>3062000</v>
      </c>
      <c r="E458" s="19">
        <v>0</v>
      </c>
      <c r="F458" s="19"/>
      <c r="G458" s="19">
        <v>310</v>
      </c>
      <c r="H458" s="19">
        <v>5.1</v>
      </c>
      <c r="I458" s="19"/>
      <c r="J458" s="19" t="s">
        <v>79</v>
      </c>
      <c r="K458" s="19" t="b">
        <v>1</v>
      </c>
      <c r="L458" s="15">
        <v>2014</v>
      </c>
      <c r="M458" s="16">
        <v>13364524.92</v>
      </c>
      <c r="N458" s="20">
        <v>41550</v>
      </c>
      <c r="O458" s="20">
        <v>41550</v>
      </c>
    </row>
    <row r="459" spans="1:15" ht="14.25">
      <c r="A459" s="17">
        <v>2013</v>
      </c>
      <c r="B459" s="18" t="s">
        <v>437</v>
      </c>
      <c r="C459" s="18" t="s">
        <v>438</v>
      </c>
      <c r="D459" s="19">
        <v>3062000</v>
      </c>
      <c r="E459" s="19">
        <v>0</v>
      </c>
      <c r="F459" s="19"/>
      <c r="G459" s="19">
        <v>650</v>
      </c>
      <c r="H459" s="19">
        <v>11.6</v>
      </c>
      <c r="I459" s="19"/>
      <c r="J459" s="19" t="s">
        <v>118</v>
      </c>
      <c r="K459" s="19" t="b">
        <v>1</v>
      </c>
      <c r="L459" s="15">
        <v>2014</v>
      </c>
      <c r="M459" s="16">
        <v>800000</v>
      </c>
      <c r="N459" s="20">
        <v>41550</v>
      </c>
      <c r="O459" s="20">
        <v>41550</v>
      </c>
    </row>
    <row r="460" spans="1:15" ht="14.25">
      <c r="A460" s="17">
        <v>2013</v>
      </c>
      <c r="B460" s="18" t="s">
        <v>437</v>
      </c>
      <c r="C460" s="18" t="s">
        <v>438</v>
      </c>
      <c r="D460" s="19">
        <v>3062000</v>
      </c>
      <c r="E460" s="19">
        <v>0</v>
      </c>
      <c r="F460" s="19"/>
      <c r="G460" s="19">
        <v>310</v>
      </c>
      <c r="H460" s="19">
        <v>5.1</v>
      </c>
      <c r="I460" s="19"/>
      <c r="J460" s="19" t="s">
        <v>79</v>
      </c>
      <c r="K460" s="19" t="b">
        <v>1</v>
      </c>
      <c r="L460" s="15">
        <v>2015</v>
      </c>
      <c r="M460" s="16">
        <v>17367725.72</v>
      </c>
      <c r="N460" s="20">
        <v>41550</v>
      </c>
      <c r="O460" s="20">
        <v>41550</v>
      </c>
    </row>
    <row r="461" spans="1:15" ht="14.25">
      <c r="A461" s="17">
        <v>2013</v>
      </c>
      <c r="B461" s="18" t="s">
        <v>437</v>
      </c>
      <c r="C461" s="18" t="s">
        <v>438</v>
      </c>
      <c r="D461" s="19">
        <v>3062000</v>
      </c>
      <c r="E461" s="19">
        <v>0</v>
      </c>
      <c r="F461" s="19"/>
      <c r="G461" s="19">
        <v>600</v>
      </c>
      <c r="H461" s="19">
        <v>11.3</v>
      </c>
      <c r="I461" s="19" t="s">
        <v>439</v>
      </c>
      <c r="J461" s="19" t="s">
        <v>111</v>
      </c>
      <c r="K461" s="19" t="b">
        <v>1</v>
      </c>
      <c r="L461" s="15">
        <v>2013</v>
      </c>
      <c r="M461" s="16">
        <v>28507159.83</v>
      </c>
      <c r="N461" s="20">
        <v>41550</v>
      </c>
      <c r="O461" s="20">
        <v>41550</v>
      </c>
    </row>
    <row r="462" spans="1:15" ht="14.25">
      <c r="A462" s="17">
        <v>2013</v>
      </c>
      <c r="B462" s="18" t="s">
        <v>437</v>
      </c>
      <c r="C462" s="18" t="s">
        <v>438</v>
      </c>
      <c r="D462" s="19">
        <v>3062000</v>
      </c>
      <c r="E462" s="19">
        <v>0</v>
      </c>
      <c r="F462" s="19"/>
      <c r="G462" s="19">
        <v>260</v>
      </c>
      <c r="H462" s="19">
        <v>4.3</v>
      </c>
      <c r="I462" s="19"/>
      <c r="J462" s="19" t="s">
        <v>74</v>
      </c>
      <c r="K462" s="19" t="b">
        <v>1</v>
      </c>
      <c r="L462" s="15">
        <v>2015</v>
      </c>
      <c r="M462" s="16">
        <v>10000000</v>
      </c>
      <c r="N462" s="20">
        <v>41550</v>
      </c>
      <c r="O462" s="20">
        <v>41550</v>
      </c>
    </row>
    <row r="463" spans="1:15" ht="14.25">
      <c r="A463" s="17">
        <v>2013</v>
      </c>
      <c r="B463" s="18" t="s">
        <v>437</v>
      </c>
      <c r="C463" s="18" t="s">
        <v>438</v>
      </c>
      <c r="D463" s="19">
        <v>3062000</v>
      </c>
      <c r="E463" s="19">
        <v>0</v>
      </c>
      <c r="F463" s="19"/>
      <c r="G463" s="19">
        <v>530</v>
      </c>
      <c r="H463" s="19">
        <v>9.8</v>
      </c>
      <c r="I463" s="19" t="s">
        <v>444</v>
      </c>
      <c r="J463" s="19" t="s">
        <v>103</v>
      </c>
      <c r="K463" s="19" t="b">
        <v>0</v>
      </c>
      <c r="L463" s="15">
        <v>2015</v>
      </c>
      <c r="M463" s="16">
        <v>-35</v>
      </c>
      <c r="N463" s="20">
        <v>41550</v>
      </c>
      <c r="O463" s="20">
        <v>41550</v>
      </c>
    </row>
    <row r="464" spans="1:15" ht="14.25">
      <c r="A464" s="17">
        <v>2013</v>
      </c>
      <c r="B464" s="18" t="s">
        <v>437</v>
      </c>
      <c r="C464" s="18" t="s">
        <v>438</v>
      </c>
      <c r="D464" s="19">
        <v>3062000</v>
      </c>
      <c r="E464" s="19">
        <v>0</v>
      </c>
      <c r="F464" s="19"/>
      <c r="G464" s="19">
        <v>20</v>
      </c>
      <c r="H464" s="19">
        <v>1.1</v>
      </c>
      <c r="I464" s="19"/>
      <c r="J464" s="19" t="s">
        <v>38</v>
      </c>
      <c r="K464" s="19" t="b">
        <v>1</v>
      </c>
      <c r="L464" s="15">
        <v>2016</v>
      </c>
      <c r="M464" s="16">
        <v>400876072</v>
      </c>
      <c r="N464" s="20">
        <v>41550</v>
      </c>
      <c r="O464" s="20">
        <v>41550</v>
      </c>
    </row>
    <row r="465" spans="1:15" ht="14.25">
      <c r="A465" s="17">
        <v>2013</v>
      </c>
      <c r="B465" s="18" t="s">
        <v>437</v>
      </c>
      <c r="C465" s="18" t="s">
        <v>438</v>
      </c>
      <c r="D465" s="19">
        <v>3062000</v>
      </c>
      <c r="E465" s="19">
        <v>0</v>
      </c>
      <c r="F465" s="19"/>
      <c r="G465" s="19">
        <v>310</v>
      </c>
      <c r="H465" s="19">
        <v>5.1</v>
      </c>
      <c r="I465" s="19"/>
      <c r="J465" s="19" t="s">
        <v>79</v>
      </c>
      <c r="K465" s="19" t="b">
        <v>1</v>
      </c>
      <c r="L465" s="15">
        <v>2021</v>
      </c>
      <c r="M465" s="16">
        <v>13977200</v>
      </c>
      <c r="N465" s="20">
        <v>41550</v>
      </c>
      <c r="O465" s="20">
        <v>41550</v>
      </c>
    </row>
    <row r="466" spans="1:15" ht="14.25">
      <c r="A466" s="17">
        <v>2013</v>
      </c>
      <c r="B466" s="18" t="s">
        <v>437</v>
      </c>
      <c r="C466" s="18" t="s">
        <v>438</v>
      </c>
      <c r="D466" s="19">
        <v>3062000</v>
      </c>
      <c r="E466" s="19">
        <v>0</v>
      </c>
      <c r="F466" s="19"/>
      <c r="G466" s="19">
        <v>470</v>
      </c>
      <c r="H466" s="19">
        <v>9.3</v>
      </c>
      <c r="I466" s="19" t="s">
        <v>450</v>
      </c>
      <c r="J466" s="19" t="s">
        <v>451</v>
      </c>
      <c r="K466" s="19" t="b">
        <v>1</v>
      </c>
      <c r="L466" s="15">
        <v>2014</v>
      </c>
      <c r="M466" s="16">
        <v>0.0516</v>
      </c>
      <c r="N466" s="20">
        <v>41550</v>
      </c>
      <c r="O466" s="20">
        <v>41550</v>
      </c>
    </row>
    <row r="467" spans="1:15" ht="14.25">
      <c r="A467" s="17">
        <v>2013</v>
      </c>
      <c r="B467" s="18" t="s">
        <v>437</v>
      </c>
      <c r="C467" s="18" t="s">
        <v>438</v>
      </c>
      <c r="D467" s="19">
        <v>3062000</v>
      </c>
      <c r="E467" s="19">
        <v>0</v>
      </c>
      <c r="F467" s="19"/>
      <c r="G467" s="19">
        <v>505</v>
      </c>
      <c r="H467" s="19" t="s">
        <v>98</v>
      </c>
      <c r="I467" s="19" t="s">
        <v>441</v>
      </c>
      <c r="J467" s="19" t="s">
        <v>99</v>
      </c>
      <c r="K467" s="19" t="b">
        <v>0</v>
      </c>
      <c r="L467" s="15">
        <v>2020</v>
      </c>
      <c r="M467" s="16">
        <v>0.1255</v>
      </c>
      <c r="N467" s="20">
        <v>41550</v>
      </c>
      <c r="O467" s="20">
        <v>41550</v>
      </c>
    </row>
    <row r="468" spans="1:15" ht="14.25">
      <c r="A468" s="17">
        <v>2013</v>
      </c>
      <c r="B468" s="18" t="s">
        <v>437</v>
      </c>
      <c r="C468" s="18" t="s">
        <v>438</v>
      </c>
      <c r="D468" s="19">
        <v>3062000</v>
      </c>
      <c r="E468" s="19">
        <v>0</v>
      </c>
      <c r="F468" s="19"/>
      <c r="G468" s="19">
        <v>510</v>
      </c>
      <c r="H468" s="19">
        <v>9.7</v>
      </c>
      <c r="I468" s="19"/>
      <c r="J468" s="19" t="s">
        <v>452</v>
      </c>
      <c r="K468" s="19" t="b">
        <v>1</v>
      </c>
      <c r="L468" s="15">
        <v>2018</v>
      </c>
      <c r="M468" s="16">
        <v>0.1156</v>
      </c>
      <c r="N468" s="20">
        <v>41550</v>
      </c>
      <c r="O468" s="20">
        <v>41550</v>
      </c>
    </row>
    <row r="469" spans="1:15" ht="14.25">
      <c r="A469" s="17">
        <v>2013</v>
      </c>
      <c r="B469" s="18" t="s">
        <v>437</v>
      </c>
      <c r="C469" s="18" t="s">
        <v>438</v>
      </c>
      <c r="D469" s="19">
        <v>3062000</v>
      </c>
      <c r="E469" s="19">
        <v>0</v>
      </c>
      <c r="F469" s="19"/>
      <c r="G469" s="19">
        <v>630</v>
      </c>
      <c r="H469" s="19">
        <v>11.4</v>
      </c>
      <c r="I469" s="19"/>
      <c r="J469" s="19" t="s">
        <v>116</v>
      </c>
      <c r="K469" s="19" t="b">
        <v>1</v>
      </c>
      <c r="L469" s="15">
        <v>2013</v>
      </c>
      <c r="M469" s="16">
        <v>22904234.09</v>
      </c>
      <c r="N469" s="20">
        <v>41550</v>
      </c>
      <c r="O469" s="20">
        <v>41550</v>
      </c>
    </row>
    <row r="470" spans="1:15" ht="14.25">
      <c r="A470" s="17">
        <v>2013</v>
      </c>
      <c r="B470" s="18" t="s">
        <v>437</v>
      </c>
      <c r="C470" s="18" t="s">
        <v>438</v>
      </c>
      <c r="D470" s="19">
        <v>3062000</v>
      </c>
      <c r="E470" s="19">
        <v>0</v>
      </c>
      <c r="F470" s="19"/>
      <c r="G470" s="19">
        <v>140</v>
      </c>
      <c r="H470" s="19" t="s">
        <v>57</v>
      </c>
      <c r="I470" s="19"/>
      <c r="J470" s="19" t="s">
        <v>58</v>
      </c>
      <c r="K470" s="19" t="b">
        <v>1</v>
      </c>
      <c r="L470" s="15">
        <v>2026</v>
      </c>
      <c r="M470" s="16">
        <v>8804608.63</v>
      </c>
      <c r="N470" s="20">
        <v>41550</v>
      </c>
      <c r="O470" s="20">
        <v>41550</v>
      </c>
    </row>
    <row r="471" spans="1:15" ht="14.25">
      <c r="A471" s="17">
        <v>2013</v>
      </c>
      <c r="B471" s="18" t="s">
        <v>437</v>
      </c>
      <c r="C471" s="18" t="s">
        <v>438</v>
      </c>
      <c r="D471" s="19">
        <v>3062000</v>
      </c>
      <c r="E471" s="19">
        <v>0</v>
      </c>
      <c r="F471" s="19"/>
      <c r="G471" s="19">
        <v>640</v>
      </c>
      <c r="H471" s="19">
        <v>11.5</v>
      </c>
      <c r="I471" s="19"/>
      <c r="J471" s="19" t="s">
        <v>117</v>
      </c>
      <c r="K471" s="19" t="b">
        <v>1</v>
      </c>
      <c r="L471" s="15">
        <v>2013</v>
      </c>
      <c r="M471" s="16">
        <v>21304959.21</v>
      </c>
      <c r="N471" s="20">
        <v>41550</v>
      </c>
      <c r="O471" s="20">
        <v>41550</v>
      </c>
    </row>
    <row r="472" spans="1:15" ht="14.25">
      <c r="A472" s="17">
        <v>2013</v>
      </c>
      <c r="B472" s="18" t="s">
        <v>437</v>
      </c>
      <c r="C472" s="18" t="s">
        <v>438</v>
      </c>
      <c r="D472" s="19">
        <v>3062000</v>
      </c>
      <c r="E472" s="19">
        <v>0</v>
      </c>
      <c r="F472" s="19"/>
      <c r="G472" s="19">
        <v>110</v>
      </c>
      <c r="H472" s="19" t="s">
        <v>54</v>
      </c>
      <c r="I472" s="19"/>
      <c r="J472" s="19" t="s">
        <v>55</v>
      </c>
      <c r="K472" s="19" t="b">
        <v>1</v>
      </c>
      <c r="L472" s="15">
        <v>2013</v>
      </c>
      <c r="M472" s="16">
        <v>14159072.82</v>
      </c>
      <c r="N472" s="20">
        <v>41550</v>
      </c>
      <c r="O472" s="20">
        <v>41550</v>
      </c>
    </row>
    <row r="473" spans="1:15" ht="14.25">
      <c r="A473" s="17">
        <v>2013</v>
      </c>
      <c r="B473" s="18" t="s">
        <v>437</v>
      </c>
      <c r="C473" s="18" t="s">
        <v>438</v>
      </c>
      <c r="D473" s="19">
        <v>3062000</v>
      </c>
      <c r="E473" s="19">
        <v>0</v>
      </c>
      <c r="F473" s="19"/>
      <c r="G473" s="19">
        <v>390</v>
      </c>
      <c r="H473" s="19">
        <v>6.3</v>
      </c>
      <c r="I473" s="19" t="s">
        <v>442</v>
      </c>
      <c r="J473" s="19" t="s">
        <v>89</v>
      </c>
      <c r="K473" s="19" t="b">
        <v>0</v>
      </c>
      <c r="L473" s="15">
        <v>2026</v>
      </c>
      <c r="M473" s="16">
        <v>0.0001</v>
      </c>
      <c r="N473" s="20">
        <v>41550</v>
      </c>
      <c r="O473" s="20">
        <v>41550</v>
      </c>
    </row>
    <row r="474" spans="1:15" ht="14.25">
      <c r="A474" s="17">
        <v>2013</v>
      </c>
      <c r="B474" s="18" t="s">
        <v>437</v>
      </c>
      <c r="C474" s="18" t="s">
        <v>438</v>
      </c>
      <c r="D474" s="19">
        <v>3062000</v>
      </c>
      <c r="E474" s="19">
        <v>0</v>
      </c>
      <c r="F474" s="19"/>
      <c r="G474" s="19">
        <v>750</v>
      </c>
      <c r="H474" s="19" t="s">
        <v>133</v>
      </c>
      <c r="I474" s="19"/>
      <c r="J474" s="19" t="s">
        <v>134</v>
      </c>
      <c r="K474" s="19" t="b">
        <v>0</v>
      </c>
      <c r="L474" s="15">
        <v>2013</v>
      </c>
      <c r="M474" s="16">
        <v>8575142.79</v>
      </c>
      <c r="N474" s="20">
        <v>41550</v>
      </c>
      <c r="O474" s="20">
        <v>41550</v>
      </c>
    </row>
    <row r="475" spans="1:15" ht="14.25">
      <c r="A475" s="17">
        <v>2013</v>
      </c>
      <c r="B475" s="18" t="s">
        <v>437</v>
      </c>
      <c r="C475" s="18" t="s">
        <v>438</v>
      </c>
      <c r="D475" s="19">
        <v>3062000</v>
      </c>
      <c r="E475" s="19">
        <v>0</v>
      </c>
      <c r="F475" s="19"/>
      <c r="G475" s="19">
        <v>130</v>
      </c>
      <c r="H475" s="19">
        <v>2.1</v>
      </c>
      <c r="I475" s="19"/>
      <c r="J475" s="19" t="s">
        <v>56</v>
      </c>
      <c r="K475" s="19" t="b">
        <v>1</v>
      </c>
      <c r="L475" s="15">
        <v>2016</v>
      </c>
      <c r="M475" s="16">
        <v>354507492</v>
      </c>
      <c r="N475" s="20">
        <v>41550</v>
      </c>
      <c r="O475" s="20">
        <v>41550</v>
      </c>
    </row>
    <row r="476" spans="1:15" ht="14.25">
      <c r="A476" s="17">
        <v>2013</v>
      </c>
      <c r="B476" s="18" t="s">
        <v>437</v>
      </c>
      <c r="C476" s="18" t="s">
        <v>438</v>
      </c>
      <c r="D476" s="19">
        <v>3062000</v>
      </c>
      <c r="E476" s="19">
        <v>0</v>
      </c>
      <c r="F476" s="19"/>
      <c r="G476" s="19">
        <v>460</v>
      </c>
      <c r="H476" s="19">
        <v>9.2</v>
      </c>
      <c r="I476" s="19" t="s">
        <v>446</v>
      </c>
      <c r="J476" s="19" t="s">
        <v>94</v>
      </c>
      <c r="K476" s="19" t="b">
        <v>0</v>
      </c>
      <c r="L476" s="15">
        <v>2014</v>
      </c>
      <c r="M476" s="16">
        <v>0.0516</v>
      </c>
      <c r="N476" s="20">
        <v>41550</v>
      </c>
      <c r="O476" s="20">
        <v>41550</v>
      </c>
    </row>
    <row r="477" spans="1:15" ht="14.25">
      <c r="A477" s="17">
        <v>2013</v>
      </c>
      <c r="B477" s="18" t="s">
        <v>437</v>
      </c>
      <c r="C477" s="18" t="s">
        <v>438</v>
      </c>
      <c r="D477" s="19">
        <v>3062000</v>
      </c>
      <c r="E477" s="19">
        <v>0</v>
      </c>
      <c r="F477" s="19"/>
      <c r="G477" s="19">
        <v>580</v>
      </c>
      <c r="H477" s="19">
        <v>11.1</v>
      </c>
      <c r="I477" s="19"/>
      <c r="J477" s="19" t="s">
        <v>109</v>
      </c>
      <c r="K477" s="19" t="b">
        <v>0</v>
      </c>
      <c r="L477" s="15">
        <v>2016</v>
      </c>
      <c r="M477" s="16">
        <v>183150000</v>
      </c>
      <c r="N477" s="20">
        <v>41550</v>
      </c>
      <c r="O477" s="20">
        <v>41550</v>
      </c>
    </row>
    <row r="478" spans="1:15" ht="14.25">
      <c r="A478" s="17">
        <v>2013</v>
      </c>
      <c r="B478" s="18" t="s">
        <v>437</v>
      </c>
      <c r="C478" s="18" t="s">
        <v>438</v>
      </c>
      <c r="D478" s="19">
        <v>3062000</v>
      </c>
      <c r="E478" s="19">
        <v>0</v>
      </c>
      <c r="F478" s="19"/>
      <c r="G478" s="19">
        <v>670</v>
      </c>
      <c r="H478" s="19">
        <v>12.1</v>
      </c>
      <c r="I478" s="19"/>
      <c r="J478" s="19" t="s">
        <v>120</v>
      </c>
      <c r="K478" s="19" t="b">
        <v>1</v>
      </c>
      <c r="L478" s="15">
        <v>2014</v>
      </c>
      <c r="M478" s="16">
        <v>2250271.67</v>
      </c>
      <c r="N478" s="20">
        <v>41550</v>
      </c>
      <c r="O478" s="20">
        <v>41550</v>
      </c>
    </row>
    <row r="479" spans="1:15" ht="14.25">
      <c r="A479" s="17">
        <v>2013</v>
      </c>
      <c r="B479" s="18" t="s">
        <v>437</v>
      </c>
      <c r="C479" s="18" t="s">
        <v>438</v>
      </c>
      <c r="D479" s="19">
        <v>3062000</v>
      </c>
      <c r="E479" s="19">
        <v>0</v>
      </c>
      <c r="F479" s="19"/>
      <c r="G479" s="19">
        <v>600</v>
      </c>
      <c r="H479" s="19">
        <v>11.3</v>
      </c>
      <c r="I479" s="19" t="s">
        <v>439</v>
      </c>
      <c r="J479" s="19" t="s">
        <v>111</v>
      </c>
      <c r="K479" s="19" t="b">
        <v>1</v>
      </c>
      <c r="L479" s="15">
        <v>2014</v>
      </c>
      <c r="M479" s="16">
        <v>58911003.08</v>
      </c>
      <c r="N479" s="20">
        <v>41550</v>
      </c>
      <c r="O479" s="20">
        <v>41550</v>
      </c>
    </row>
    <row r="480" spans="1:15" ht="14.25">
      <c r="A480" s="17">
        <v>2013</v>
      </c>
      <c r="B480" s="18" t="s">
        <v>437</v>
      </c>
      <c r="C480" s="18" t="s">
        <v>438</v>
      </c>
      <c r="D480" s="19">
        <v>3062000</v>
      </c>
      <c r="E480" s="19">
        <v>0</v>
      </c>
      <c r="F480" s="19"/>
      <c r="G480" s="19">
        <v>880</v>
      </c>
      <c r="H480" s="19">
        <v>14.1</v>
      </c>
      <c r="I480" s="19"/>
      <c r="J480" s="19" t="s">
        <v>149</v>
      </c>
      <c r="K480" s="19" t="b">
        <v>1</v>
      </c>
      <c r="L480" s="15">
        <v>2022</v>
      </c>
      <c r="M480" s="16">
        <v>7176000</v>
      </c>
      <c r="N480" s="20">
        <v>41550</v>
      </c>
      <c r="O480" s="20">
        <v>41550</v>
      </c>
    </row>
    <row r="481" spans="1:15" ht="14.25">
      <c r="A481" s="17">
        <v>2013</v>
      </c>
      <c r="B481" s="18" t="s">
        <v>437</v>
      </c>
      <c r="C481" s="18" t="s">
        <v>438</v>
      </c>
      <c r="D481" s="19">
        <v>3062000</v>
      </c>
      <c r="E481" s="19">
        <v>0</v>
      </c>
      <c r="F481" s="19"/>
      <c r="G481" s="19">
        <v>780</v>
      </c>
      <c r="H481" s="19" t="s">
        <v>138</v>
      </c>
      <c r="I481" s="19"/>
      <c r="J481" s="19" t="s">
        <v>139</v>
      </c>
      <c r="K481" s="19" t="b">
        <v>1</v>
      </c>
      <c r="L481" s="15">
        <v>2014</v>
      </c>
      <c r="M481" s="16">
        <v>800000</v>
      </c>
      <c r="N481" s="20">
        <v>41550</v>
      </c>
      <c r="O481" s="20">
        <v>41550</v>
      </c>
    </row>
    <row r="482" spans="1:15" ht="14.25">
      <c r="A482" s="17">
        <v>2013</v>
      </c>
      <c r="B482" s="18" t="s">
        <v>437</v>
      </c>
      <c r="C482" s="18" t="s">
        <v>438</v>
      </c>
      <c r="D482" s="19">
        <v>3062000</v>
      </c>
      <c r="E482" s="19">
        <v>0</v>
      </c>
      <c r="F482" s="19"/>
      <c r="G482" s="19">
        <v>710</v>
      </c>
      <c r="H482" s="19" t="s">
        <v>126</v>
      </c>
      <c r="I482" s="19"/>
      <c r="J482" s="19" t="s">
        <v>127</v>
      </c>
      <c r="K482" s="19" t="b">
        <v>0</v>
      </c>
      <c r="L482" s="15">
        <v>2014</v>
      </c>
      <c r="M482" s="16">
        <v>680000</v>
      </c>
      <c r="N482" s="20">
        <v>41550</v>
      </c>
      <c r="O482" s="20">
        <v>41550</v>
      </c>
    </row>
    <row r="483" spans="1:15" ht="14.25">
      <c r="A483" s="17">
        <v>2013</v>
      </c>
      <c r="B483" s="18" t="s">
        <v>437</v>
      </c>
      <c r="C483" s="18" t="s">
        <v>438</v>
      </c>
      <c r="D483" s="19">
        <v>3062000</v>
      </c>
      <c r="E483" s="19">
        <v>0</v>
      </c>
      <c r="F483" s="19"/>
      <c r="G483" s="19">
        <v>170</v>
      </c>
      <c r="H483" s="19" t="s">
        <v>63</v>
      </c>
      <c r="I483" s="19"/>
      <c r="J483" s="19" t="s">
        <v>64</v>
      </c>
      <c r="K483" s="19" t="b">
        <v>1</v>
      </c>
      <c r="L483" s="15">
        <v>2013</v>
      </c>
      <c r="M483" s="16">
        <v>7250000</v>
      </c>
      <c r="N483" s="20">
        <v>41550</v>
      </c>
      <c r="O483" s="20">
        <v>41550</v>
      </c>
    </row>
    <row r="484" spans="1:15" ht="14.25">
      <c r="A484" s="17">
        <v>2013</v>
      </c>
      <c r="B484" s="18" t="s">
        <v>437</v>
      </c>
      <c r="C484" s="18" t="s">
        <v>438</v>
      </c>
      <c r="D484" s="19">
        <v>3062000</v>
      </c>
      <c r="E484" s="19">
        <v>0</v>
      </c>
      <c r="F484" s="19"/>
      <c r="G484" s="19">
        <v>630</v>
      </c>
      <c r="H484" s="19">
        <v>11.4</v>
      </c>
      <c r="I484" s="19"/>
      <c r="J484" s="19" t="s">
        <v>116</v>
      </c>
      <c r="K484" s="19" t="b">
        <v>1</v>
      </c>
      <c r="L484" s="15">
        <v>2016</v>
      </c>
      <c r="M484" s="16">
        <v>110000</v>
      </c>
      <c r="N484" s="20">
        <v>41550</v>
      </c>
      <c r="O484" s="20">
        <v>41550</v>
      </c>
    </row>
    <row r="485" spans="1:15" ht="14.25">
      <c r="A485" s="17">
        <v>2013</v>
      </c>
      <c r="B485" s="18" t="s">
        <v>437</v>
      </c>
      <c r="C485" s="18" t="s">
        <v>438</v>
      </c>
      <c r="D485" s="19">
        <v>3062000</v>
      </c>
      <c r="E485" s="19">
        <v>0</v>
      </c>
      <c r="F485" s="19"/>
      <c r="G485" s="19">
        <v>620</v>
      </c>
      <c r="H485" s="19" t="s">
        <v>114</v>
      </c>
      <c r="I485" s="19"/>
      <c r="J485" s="19" t="s">
        <v>115</v>
      </c>
      <c r="K485" s="19" t="b">
        <v>1</v>
      </c>
      <c r="L485" s="15">
        <v>2015</v>
      </c>
      <c r="M485" s="16">
        <v>11110000</v>
      </c>
      <c r="N485" s="20">
        <v>41550</v>
      </c>
      <c r="O485" s="20">
        <v>41550</v>
      </c>
    </row>
    <row r="486" spans="1:15" ht="14.25">
      <c r="A486" s="17">
        <v>2013</v>
      </c>
      <c r="B486" s="18" t="s">
        <v>437</v>
      </c>
      <c r="C486" s="18" t="s">
        <v>438</v>
      </c>
      <c r="D486" s="19">
        <v>3062000</v>
      </c>
      <c r="E486" s="19">
        <v>0</v>
      </c>
      <c r="F486" s="19"/>
      <c r="G486" s="19">
        <v>420</v>
      </c>
      <c r="H486" s="19">
        <v>8.1</v>
      </c>
      <c r="I486" s="19" t="s">
        <v>440</v>
      </c>
      <c r="J486" s="19" t="s">
        <v>91</v>
      </c>
      <c r="K486" s="19" t="b">
        <v>0</v>
      </c>
      <c r="L486" s="15">
        <v>2027</v>
      </c>
      <c r="M486" s="16">
        <v>51568580</v>
      </c>
      <c r="N486" s="20">
        <v>41550</v>
      </c>
      <c r="O486" s="20">
        <v>41550</v>
      </c>
    </row>
    <row r="487" spans="1:15" ht="14.25">
      <c r="A487" s="17">
        <v>2013</v>
      </c>
      <c r="B487" s="18" t="s">
        <v>437</v>
      </c>
      <c r="C487" s="18" t="s">
        <v>438</v>
      </c>
      <c r="D487" s="19">
        <v>3062000</v>
      </c>
      <c r="E487" s="19">
        <v>0</v>
      </c>
      <c r="F487" s="19"/>
      <c r="G487" s="19">
        <v>520</v>
      </c>
      <c r="H487" s="19" t="s">
        <v>101</v>
      </c>
      <c r="I487" s="19"/>
      <c r="J487" s="19" t="s">
        <v>449</v>
      </c>
      <c r="K487" s="19" t="b">
        <v>1</v>
      </c>
      <c r="L487" s="15">
        <v>2022</v>
      </c>
      <c r="M487" s="16">
        <v>0.1256</v>
      </c>
      <c r="N487" s="20">
        <v>41550</v>
      </c>
      <c r="O487" s="20">
        <v>41550</v>
      </c>
    </row>
    <row r="488" spans="1:15" ht="14.25">
      <c r="A488" s="17">
        <v>2013</v>
      </c>
      <c r="B488" s="18" t="s">
        <v>437</v>
      </c>
      <c r="C488" s="18" t="s">
        <v>438</v>
      </c>
      <c r="D488" s="19">
        <v>3062000</v>
      </c>
      <c r="E488" s="19">
        <v>0</v>
      </c>
      <c r="F488" s="19"/>
      <c r="G488" s="19">
        <v>170</v>
      </c>
      <c r="H488" s="19" t="s">
        <v>63</v>
      </c>
      <c r="I488" s="19"/>
      <c r="J488" s="19" t="s">
        <v>64</v>
      </c>
      <c r="K488" s="19" t="b">
        <v>1</v>
      </c>
      <c r="L488" s="15">
        <v>2026</v>
      </c>
      <c r="M488" s="16">
        <v>100000</v>
      </c>
      <c r="N488" s="20">
        <v>41550</v>
      </c>
      <c r="O488" s="20">
        <v>41550</v>
      </c>
    </row>
    <row r="489" spans="1:15" ht="14.25">
      <c r="A489" s="17">
        <v>2013</v>
      </c>
      <c r="B489" s="18" t="s">
        <v>437</v>
      </c>
      <c r="C489" s="18" t="s">
        <v>438</v>
      </c>
      <c r="D489" s="19">
        <v>3062000</v>
      </c>
      <c r="E489" s="19">
        <v>0</v>
      </c>
      <c r="F489" s="19"/>
      <c r="G489" s="19">
        <v>350</v>
      </c>
      <c r="H489" s="19">
        <v>6</v>
      </c>
      <c r="I489" s="19"/>
      <c r="J489" s="19" t="s">
        <v>25</v>
      </c>
      <c r="K489" s="19" t="b">
        <v>1</v>
      </c>
      <c r="L489" s="15">
        <v>2015</v>
      </c>
      <c r="M489" s="16">
        <v>105579960</v>
      </c>
      <c r="N489" s="20">
        <v>41550</v>
      </c>
      <c r="O489" s="20">
        <v>41550</v>
      </c>
    </row>
    <row r="490" spans="1:15" ht="14.25">
      <c r="A490" s="17">
        <v>2013</v>
      </c>
      <c r="B490" s="18" t="s">
        <v>437</v>
      </c>
      <c r="C490" s="18" t="s">
        <v>438</v>
      </c>
      <c r="D490" s="19">
        <v>3062000</v>
      </c>
      <c r="E490" s="19">
        <v>0</v>
      </c>
      <c r="F490" s="19"/>
      <c r="G490" s="19">
        <v>200</v>
      </c>
      <c r="H490" s="19">
        <v>3</v>
      </c>
      <c r="I490" s="19" t="s">
        <v>457</v>
      </c>
      <c r="J490" s="19" t="s">
        <v>21</v>
      </c>
      <c r="K490" s="19" t="b">
        <v>0</v>
      </c>
      <c r="L490" s="15">
        <v>2024</v>
      </c>
      <c r="M490" s="16">
        <v>81200</v>
      </c>
      <c r="N490" s="20">
        <v>41550</v>
      </c>
      <c r="O490" s="20">
        <v>41550</v>
      </c>
    </row>
    <row r="491" spans="1:15" ht="14.25">
      <c r="A491" s="17">
        <v>2013</v>
      </c>
      <c r="B491" s="18" t="s">
        <v>437</v>
      </c>
      <c r="C491" s="18" t="s">
        <v>438</v>
      </c>
      <c r="D491" s="19">
        <v>3062000</v>
      </c>
      <c r="E491" s="19">
        <v>0</v>
      </c>
      <c r="F491" s="19"/>
      <c r="G491" s="19">
        <v>710</v>
      </c>
      <c r="H491" s="19" t="s">
        <v>126</v>
      </c>
      <c r="I491" s="19"/>
      <c r="J491" s="19" t="s">
        <v>127</v>
      </c>
      <c r="K491" s="19" t="b">
        <v>0</v>
      </c>
      <c r="L491" s="15">
        <v>2013</v>
      </c>
      <c r="M491" s="16">
        <v>2224061</v>
      </c>
      <c r="N491" s="20">
        <v>41550</v>
      </c>
      <c r="O491" s="20">
        <v>41550</v>
      </c>
    </row>
    <row r="492" spans="1:15" ht="14.25">
      <c r="A492" s="17">
        <v>2013</v>
      </c>
      <c r="B492" s="18" t="s">
        <v>437</v>
      </c>
      <c r="C492" s="18" t="s">
        <v>438</v>
      </c>
      <c r="D492" s="19">
        <v>3062000</v>
      </c>
      <c r="E492" s="19">
        <v>0</v>
      </c>
      <c r="F492" s="19"/>
      <c r="G492" s="19">
        <v>30</v>
      </c>
      <c r="H492" s="19" t="s">
        <v>39</v>
      </c>
      <c r="I492" s="19"/>
      <c r="J492" s="19" t="s">
        <v>40</v>
      </c>
      <c r="K492" s="19" t="b">
        <v>1</v>
      </c>
      <c r="L492" s="15">
        <v>2013</v>
      </c>
      <c r="M492" s="16">
        <v>72581486</v>
      </c>
      <c r="N492" s="20">
        <v>41550</v>
      </c>
      <c r="O492" s="20">
        <v>41550</v>
      </c>
    </row>
    <row r="493" spans="1:15" ht="14.25">
      <c r="A493" s="17">
        <v>2013</v>
      </c>
      <c r="B493" s="18" t="s">
        <v>437</v>
      </c>
      <c r="C493" s="18" t="s">
        <v>438</v>
      </c>
      <c r="D493" s="19">
        <v>3062000</v>
      </c>
      <c r="E493" s="19">
        <v>0</v>
      </c>
      <c r="F493" s="19"/>
      <c r="G493" s="19">
        <v>590</v>
      </c>
      <c r="H493" s="19">
        <v>11.2</v>
      </c>
      <c r="I493" s="19"/>
      <c r="J493" s="19" t="s">
        <v>110</v>
      </c>
      <c r="K493" s="19" t="b">
        <v>1</v>
      </c>
      <c r="L493" s="15">
        <v>2017</v>
      </c>
      <c r="M493" s="16">
        <v>29928120</v>
      </c>
      <c r="N493" s="20">
        <v>41550</v>
      </c>
      <c r="O493" s="20">
        <v>41550</v>
      </c>
    </row>
    <row r="494" spans="1:15" ht="14.25">
      <c r="A494" s="17">
        <v>2013</v>
      </c>
      <c r="B494" s="18" t="s">
        <v>437</v>
      </c>
      <c r="C494" s="18" t="s">
        <v>438</v>
      </c>
      <c r="D494" s="19">
        <v>3062000</v>
      </c>
      <c r="E494" s="19">
        <v>0</v>
      </c>
      <c r="F494" s="19"/>
      <c r="G494" s="19">
        <v>430</v>
      </c>
      <c r="H494" s="19">
        <v>8.2</v>
      </c>
      <c r="I494" s="19" t="s">
        <v>447</v>
      </c>
      <c r="J494" s="19" t="s">
        <v>92</v>
      </c>
      <c r="K494" s="19" t="b">
        <v>0</v>
      </c>
      <c r="L494" s="15">
        <v>2013</v>
      </c>
      <c r="M494" s="16">
        <v>24249592.67</v>
      </c>
      <c r="N494" s="20">
        <v>41550</v>
      </c>
      <c r="O494" s="20">
        <v>41550</v>
      </c>
    </row>
    <row r="495" spans="1:15" ht="14.25">
      <c r="A495" s="17">
        <v>2013</v>
      </c>
      <c r="B495" s="18" t="s">
        <v>437</v>
      </c>
      <c r="C495" s="18" t="s">
        <v>438</v>
      </c>
      <c r="D495" s="19">
        <v>3062000</v>
      </c>
      <c r="E495" s="19">
        <v>0</v>
      </c>
      <c r="F495" s="19"/>
      <c r="G495" s="19">
        <v>390</v>
      </c>
      <c r="H495" s="19">
        <v>6.3</v>
      </c>
      <c r="I495" s="19" t="s">
        <v>442</v>
      </c>
      <c r="J495" s="19" t="s">
        <v>89</v>
      </c>
      <c r="K495" s="19" t="b">
        <v>0</v>
      </c>
      <c r="L495" s="15">
        <v>2025</v>
      </c>
      <c r="M495" s="16">
        <v>0.0003</v>
      </c>
      <c r="N495" s="20">
        <v>41550</v>
      </c>
      <c r="O495" s="20">
        <v>41550</v>
      </c>
    </row>
    <row r="496" spans="1:15" ht="14.25">
      <c r="A496" s="17">
        <v>2013</v>
      </c>
      <c r="B496" s="18" t="s">
        <v>437</v>
      </c>
      <c r="C496" s="18" t="s">
        <v>438</v>
      </c>
      <c r="D496" s="19">
        <v>3062000</v>
      </c>
      <c r="E496" s="19">
        <v>0</v>
      </c>
      <c r="F496" s="19"/>
      <c r="G496" s="19">
        <v>200</v>
      </c>
      <c r="H496" s="19">
        <v>3</v>
      </c>
      <c r="I496" s="19" t="s">
        <v>457</v>
      </c>
      <c r="J496" s="19" t="s">
        <v>21</v>
      </c>
      <c r="K496" s="19" t="b">
        <v>0</v>
      </c>
      <c r="L496" s="15">
        <v>2017</v>
      </c>
      <c r="M496" s="16">
        <v>18799780</v>
      </c>
      <c r="N496" s="20">
        <v>41550</v>
      </c>
      <c r="O496" s="20">
        <v>41550</v>
      </c>
    </row>
    <row r="497" spans="1:15" ht="14.25">
      <c r="A497" s="17">
        <v>2013</v>
      </c>
      <c r="B497" s="18" t="s">
        <v>437</v>
      </c>
      <c r="C497" s="18" t="s">
        <v>438</v>
      </c>
      <c r="D497" s="19">
        <v>3062000</v>
      </c>
      <c r="E497" s="19">
        <v>0</v>
      </c>
      <c r="F497" s="19"/>
      <c r="G497" s="19">
        <v>460</v>
      </c>
      <c r="H497" s="19">
        <v>9.2</v>
      </c>
      <c r="I497" s="19" t="s">
        <v>446</v>
      </c>
      <c r="J497" s="19" t="s">
        <v>94</v>
      </c>
      <c r="K497" s="19" t="b">
        <v>0</v>
      </c>
      <c r="L497" s="15">
        <v>2025</v>
      </c>
      <c r="M497" s="16">
        <v>0.0226</v>
      </c>
      <c r="N497" s="20">
        <v>41550</v>
      </c>
      <c r="O497" s="20">
        <v>41550</v>
      </c>
    </row>
    <row r="498" spans="1:15" ht="14.25">
      <c r="A498" s="17">
        <v>2013</v>
      </c>
      <c r="B498" s="18" t="s">
        <v>437</v>
      </c>
      <c r="C498" s="18" t="s">
        <v>438</v>
      </c>
      <c r="D498" s="19">
        <v>3062000</v>
      </c>
      <c r="E498" s="19">
        <v>0</v>
      </c>
      <c r="F498" s="19"/>
      <c r="G498" s="19">
        <v>500</v>
      </c>
      <c r="H498" s="19">
        <v>9.6</v>
      </c>
      <c r="I498" s="19" t="s">
        <v>454</v>
      </c>
      <c r="J498" s="19" t="s">
        <v>97</v>
      </c>
      <c r="K498" s="19" t="b">
        <v>0</v>
      </c>
      <c r="L498" s="15">
        <v>2025</v>
      </c>
      <c r="M498" s="16">
        <v>0.0226</v>
      </c>
      <c r="N498" s="20">
        <v>41550</v>
      </c>
      <c r="O498" s="20">
        <v>41550</v>
      </c>
    </row>
    <row r="499" spans="1:15" ht="14.25">
      <c r="A499" s="17">
        <v>2013</v>
      </c>
      <c r="B499" s="18" t="s">
        <v>437</v>
      </c>
      <c r="C499" s="18" t="s">
        <v>438</v>
      </c>
      <c r="D499" s="19">
        <v>3062000</v>
      </c>
      <c r="E499" s="19">
        <v>0</v>
      </c>
      <c r="F499" s="19"/>
      <c r="G499" s="19">
        <v>390</v>
      </c>
      <c r="H499" s="19">
        <v>6.3</v>
      </c>
      <c r="I499" s="19" t="s">
        <v>442</v>
      </c>
      <c r="J499" s="19" t="s">
        <v>89</v>
      </c>
      <c r="K499" s="19" t="b">
        <v>0</v>
      </c>
      <c r="L499" s="15">
        <v>2014</v>
      </c>
      <c r="M499" s="16">
        <v>0.2951</v>
      </c>
      <c r="N499" s="20">
        <v>41550</v>
      </c>
      <c r="O499" s="20">
        <v>41550</v>
      </c>
    </row>
    <row r="500" spans="1:15" ht="14.25">
      <c r="A500" s="17">
        <v>2013</v>
      </c>
      <c r="B500" s="18" t="s">
        <v>437</v>
      </c>
      <c r="C500" s="18" t="s">
        <v>438</v>
      </c>
      <c r="D500" s="19">
        <v>3062000</v>
      </c>
      <c r="E500" s="19">
        <v>0</v>
      </c>
      <c r="F500" s="19"/>
      <c r="G500" s="19">
        <v>40</v>
      </c>
      <c r="H500" s="19" t="s">
        <v>41</v>
      </c>
      <c r="I500" s="19"/>
      <c r="J500" s="19" t="s">
        <v>42</v>
      </c>
      <c r="K500" s="19" t="b">
        <v>1</v>
      </c>
      <c r="L500" s="15">
        <v>2014</v>
      </c>
      <c r="M500" s="16">
        <v>8320000</v>
      </c>
      <c r="N500" s="20">
        <v>41550</v>
      </c>
      <c r="O500" s="20">
        <v>41550</v>
      </c>
    </row>
    <row r="501" spans="1:15" ht="14.25">
      <c r="A501" s="17">
        <v>2013</v>
      </c>
      <c r="B501" s="18" t="s">
        <v>437</v>
      </c>
      <c r="C501" s="18" t="s">
        <v>438</v>
      </c>
      <c r="D501" s="19">
        <v>3062000</v>
      </c>
      <c r="E501" s="19">
        <v>0</v>
      </c>
      <c r="F501" s="19"/>
      <c r="G501" s="19">
        <v>140</v>
      </c>
      <c r="H501" s="19" t="s">
        <v>57</v>
      </c>
      <c r="I501" s="19"/>
      <c r="J501" s="19" t="s">
        <v>58</v>
      </c>
      <c r="K501" s="19" t="b">
        <v>1</v>
      </c>
      <c r="L501" s="15">
        <v>2025</v>
      </c>
      <c r="M501" s="16">
        <v>9028814.18</v>
      </c>
      <c r="N501" s="20">
        <v>41550</v>
      </c>
      <c r="O501" s="20">
        <v>41550</v>
      </c>
    </row>
    <row r="502" spans="1:15" ht="14.25">
      <c r="A502" s="17">
        <v>2013</v>
      </c>
      <c r="B502" s="18" t="s">
        <v>437</v>
      </c>
      <c r="C502" s="18" t="s">
        <v>438</v>
      </c>
      <c r="D502" s="19">
        <v>3062000</v>
      </c>
      <c r="E502" s="19">
        <v>0</v>
      </c>
      <c r="F502" s="19"/>
      <c r="G502" s="19">
        <v>100</v>
      </c>
      <c r="H502" s="19" t="s">
        <v>52</v>
      </c>
      <c r="I502" s="19"/>
      <c r="J502" s="19" t="s">
        <v>53</v>
      </c>
      <c r="K502" s="19" t="b">
        <v>1</v>
      </c>
      <c r="L502" s="15">
        <v>2015</v>
      </c>
      <c r="M502" s="16">
        <v>1000000</v>
      </c>
      <c r="N502" s="20">
        <v>41550</v>
      </c>
      <c r="O502" s="20">
        <v>41550</v>
      </c>
    </row>
    <row r="503" spans="1:15" ht="14.25">
      <c r="A503" s="17">
        <v>2013</v>
      </c>
      <c r="B503" s="18" t="s">
        <v>437</v>
      </c>
      <c r="C503" s="18" t="s">
        <v>438</v>
      </c>
      <c r="D503" s="19">
        <v>3062000</v>
      </c>
      <c r="E503" s="19">
        <v>0</v>
      </c>
      <c r="F503" s="19"/>
      <c r="G503" s="19">
        <v>580</v>
      </c>
      <c r="H503" s="19">
        <v>11.1</v>
      </c>
      <c r="I503" s="19"/>
      <c r="J503" s="19" t="s">
        <v>109</v>
      </c>
      <c r="K503" s="19" t="b">
        <v>0</v>
      </c>
      <c r="L503" s="15">
        <v>2015</v>
      </c>
      <c r="M503" s="16">
        <v>182960000</v>
      </c>
      <c r="N503" s="20">
        <v>41550</v>
      </c>
      <c r="O503" s="20">
        <v>41550</v>
      </c>
    </row>
    <row r="504" spans="1:15" ht="14.25">
      <c r="A504" s="17">
        <v>2013</v>
      </c>
      <c r="B504" s="18" t="s">
        <v>437</v>
      </c>
      <c r="C504" s="18" t="s">
        <v>438</v>
      </c>
      <c r="D504" s="19">
        <v>3062000</v>
      </c>
      <c r="E504" s="19">
        <v>0</v>
      </c>
      <c r="F504" s="19"/>
      <c r="G504" s="19">
        <v>700</v>
      </c>
      <c r="H504" s="19">
        <v>12.2</v>
      </c>
      <c r="I504" s="19"/>
      <c r="J504" s="19" t="s">
        <v>125</v>
      </c>
      <c r="K504" s="19" t="b">
        <v>0</v>
      </c>
      <c r="L504" s="15">
        <v>2014</v>
      </c>
      <c r="M504" s="16">
        <v>800000</v>
      </c>
      <c r="N504" s="20">
        <v>41550</v>
      </c>
      <c r="O504" s="20">
        <v>41550</v>
      </c>
    </row>
    <row r="505" spans="1:15" ht="14.25">
      <c r="A505" s="17">
        <v>2013</v>
      </c>
      <c r="B505" s="18" t="s">
        <v>437</v>
      </c>
      <c r="C505" s="18" t="s">
        <v>438</v>
      </c>
      <c r="D505" s="19">
        <v>3062000</v>
      </c>
      <c r="E505" s="19">
        <v>0</v>
      </c>
      <c r="F505" s="19"/>
      <c r="G505" s="19">
        <v>50</v>
      </c>
      <c r="H505" s="19" t="s">
        <v>43</v>
      </c>
      <c r="I505" s="19"/>
      <c r="J505" s="19" t="s">
        <v>44</v>
      </c>
      <c r="K505" s="19" t="b">
        <v>1</v>
      </c>
      <c r="L505" s="15">
        <v>2016</v>
      </c>
      <c r="M505" s="16">
        <v>129422400</v>
      </c>
      <c r="N505" s="20">
        <v>41550</v>
      </c>
      <c r="O505" s="20">
        <v>41550</v>
      </c>
    </row>
    <row r="506" spans="1:15" ht="14.25">
      <c r="A506" s="17">
        <v>2013</v>
      </c>
      <c r="B506" s="18" t="s">
        <v>437</v>
      </c>
      <c r="C506" s="18" t="s">
        <v>438</v>
      </c>
      <c r="D506" s="19">
        <v>3062000</v>
      </c>
      <c r="E506" s="19">
        <v>0</v>
      </c>
      <c r="F506" s="19"/>
      <c r="G506" s="19">
        <v>460</v>
      </c>
      <c r="H506" s="19">
        <v>9.2</v>
      </c>
      <c r="I506" s="19" t="s">
        <v>446</v>
      </c>
      <c r="J506" s="19" t="s">
        <v>94</v>
      </c>
      <c r="K506" s="19" t="b">
        <v>0</v>
      </c>
      <c r="L506" s="15">
        <v>2022</v>
      </c>
      <c r="M506" s="16">
        <v>0.0435</v>
      </c>
      <c r="N506" s="20">
        <v>41550</v>
      </c>
      <c r="O506" s="20">
        <v>41550</v>
      </c>
    </row>
    <row r="507" spans="1:15" ht="14.25">
      <c r="A507" s="17">
        <v>2013</v>
      </c>
      <c r="B507" s="18" t="s">
        <v>437</v>
      </c>
      <c r="C507" s="18" t="s">
        <v>438</v>
      </c>
      <c r="D507" s="19">
        <v>3062000</v>
      </c>
      <c r="E507" s="19">
        <v>0</v>
      </c>
      <c r="F507" s="19"/>
      <c r="G507" s="19">
        <v>240</v>
      </c>
      <c r="H507" s="19">
        <v>4.2</v>
      </c>
      <c r="I507" s="19"/>
      <c r="J507" s="19" t="s">
        <v>71</v>
      </c>
      <c r="K507" s="19" t="b">
        <v>0</v>
      </c>
      <c r="L507" s="15">
        <v>2013</v>
      </c>
      <c r="M507" s="16">
        <v>10900000</v>
      </c>
      <c r="N507" s="20">
        <v>41550</v>
      </c>
      <c r="O507" s="20">
        <v>41550</v>
      </c>
    </row>
    <row r="508" spans="1:15" ht="14.25">
      <c r="A508" s="17">
        <v>2013</v>
      </c>
      <c r="B508" s="18" t="s">
        <v>437</v>
      </c>
      <c r="C508" s="18" t="s">
        <v>438</v>
      </c>
      <c r="D508" s="19">
        <v>3062000</v>
      </c>
      <c r="E508" s="19">
        <v>0</v>
      </c>
      <c r="F508" s="19"/>
      <c r="G508" s="19">
        <v>10</v>
      </c>
      <c r="H508" s="19">
        <v>1</v>
      </c>
      <c r="I508" s="19" t="s">
        <v>448</v>
      </c>
      <c r="J508" s="19" t="s">
        <v>24</v>
      </c>
      <c r="K508" s="19" t="b">
        <v>1</v>
      </c>
      <c r="L508" s="15">
        <v>2013</v>
      </c>
      <c r="M508" s="16">
        <v>410313788.06</v>
      </c>
      <c r="N508" s="20">
        <v>41550</v>
      </c>
      <c r="O508" s="20">
        <v>41550</v>
      </c>
    </row>
    <row r="509" spans="1:15" ht="14.25">
      <c r="A509" s="17">
        <v>2013</v>
      </c>
      <c r="B509" s="18" t="s">
        <v>437</v>
      </c>
      <c r="C509" s="18" t="s">
        <v>438</v>
      </c>
      <c r="D509" s="19">
        <v>3062000</v>
      </c>
      <c r="E509" s="19">
        <v>0</v>
      </c>
      <c r="F509" s="19"/>
      <c r="G509" s="19">
        <v>390</v>
      </c>
      <c r="H509" s="19">
        <v>6.3</v>
      </c>
      <c r="I509" s="19" t="s">
        <v>442</v>
      </c>
      <c r="J509" s="19" t="s">
        <v>89</v>
      </c>
      <c r="K509" s="19" t="b">
        <v>0</v>
      </c>
      <c r="L509" s="15">
        <v>2018</v>
      </c>
      <c r="M509" s="16">
        <v>0.1375</v>
      </c>
      <c r="N509" s="20">
        <v>41550</v>
      </c>
      <c r="O509" s="20">
        <v>41550</v>
      </c>
    </row>
    <row r="510" spans="1:15" ht="14.25">
      <c r="A510" s="17">
        <v>2013</v>
      </c>
      <c r="B510" s="18" t="s">
        <v>437</v>
      </c>
      <c r="C510" s="18" t="s">
        <v>438</v>
      </c>
      <c r="D510" s="19">
        <v>3062000</v>
      </c>
      <c r="E510" s="19">
        <v>0</v>
      </c>
      <c r="F510" s="19"/>
      <c r="G510" s="19">
        <v>470</v>
      </c>
      <c r="H510" s="19">
        <v>9.3</v>
      </c>
      <c r="I510" s="19" t="s">
        <v>450</v>
      </c>
      <c r="J510" s="19" t="s">
        <v>451</v>
      </c>
      <c r="K510" s="19" t="b">
        <v>1</v>
      </c>
      <c r="L510" s="15">
        <v>2019</v>
      </c>
      <c r="M510" s="16">
        <v>0.0717</v>
      </c>
      <c r="N510" s="20">
        <v>41550</v>
      </c>
      <c r="O510" s="20">
        <v>41550</v>
      </c>
    </row>
    <row r="511" spans="1:15" ht="14.25">
      <c r="A511" s="17">
        <v>2013</v>
      </c>
      <c r="B511" s="18" t="s">
        <v>437</v>
      </c>
      <c r="C511" s="18" t="s">
        <v>438</v>
      </c>
      <c r="D511" s="19">
        <v>3062000</v>
      </c>
      <c r="E511" s="19">
        <v>0</v>
      </c>
      <c r="F511" s="19"/>
      <c r="G511" s="19">
        <v>600</v>
      </c>
      <c r="H511" s="19">
        <v>11.3</v>
      </c>
      <c r="I511" s="19" t="s">
        <v>439</v>
      </c>
      <c r="J511" s="19" t="s">
        <v>111</v>
      </c>
      <c r="K511" s="19" t="b">
        <v>1</v>
      </c>
      <c r="L511" s="15">
        <v>2017</v>
      </c>
      <c r="M511" s="16">
        <v>1409061</v>
      </c>
      <c r="N511" s="20">
        <v>41550</v>
      </c>
      <c r="O511" s="20">
        <v>41550</v>
      </c>
    </row>
    <row r="512" spans="1:15" ht="14.25">
      <c r="A512" s="17">
        <v>2013</v>
      </c>
      <c r="B512" s="18" t="s">
        <v>437</v>
      </c>
      <c r="C512" s="18" t="s">
        <v>438</v>
      </c>
      <c r="D512" s="19">
        <v>3062000</v>
      </c>
      <c r="E512" s="19">
        <v>0</v>
      </c>
      <c r="F512" s="19"/>
      <c r="G512" s="19">
        <v>30</v>
      </c>
      <c r="H512" s="19" t="s">
        <v>39</v>
      </c>
      <c r="I512" s="19"/>
      <c r="J512" s="19" t="s">
        <v>40</v>
      </c>
      <c r="K512" s="19" t="b">
        <v>1</v>
      </c>
      <c r="L512" s="15">
        <v>2014</v>
      </c>
      <c r="M512" s="16">
        <v>77081500</v>
      </c>
      <c r="N512" s="20">
        <v>41550</v>
      </c>
      <c r="O512" s="20">
        <v>41550</v>
      </c>
    </row>
    <row r="513" spans="1:15" ht="14.25">
      <c r="A513" s="17">
        <v>2013</v>
      </c>
      <c r="B513" s="18" t="s">
        <v>437</v>
      </c>
      <c r="C513" s="18" t="s">
        <v>438</v>
      </c>
      <c r="D513" s="19">
        <v>3062000</v>
      </c>
      <c r="E513" s="19">
        <v>0</v>
      </c>
      <c r="F513" s="19"/>
      <c r="G513" s="19">
        <v>500</v>
      </c>
      <c r="H513" s="19">
        <v>9.6</v>
      </c>
      <c r="I513" s="19" t="s">
        <v>454</v>
      </c>
      <c r="J513" s="19" t="s">
        <v>97</v>
      </c>
      <c r="K513" s="19" t="b">
        <v>0</v>
      </c>
      <c r="L513" s="15">
        <v>2024</v>
      </c>
      <c r="M513" s="16">
        <v>0.0233</v>
      </c>
      <c r="N513" s="20">
        <v>41550</v>
      </c>
      <c r="O513" s="20">
        <v>41550</v>
      </c>
    </row>
    <row r="514" spans="1:15" ht="14.25">
      <c r="A514" s="17">
        <v>2013</v>
      </c>
      <c r="B514" s="18" t="s">
        <v>437</v>
      </c>
      <c r="C514" s="18" t="s">
        <v>438</v>
      </c>
      <c r="D514" s="19">
        <v>3062000</v>
      </c>
      <c r="E514" s="19">
        <v>0</v>
      </c>
      <c r="F514" s="19"/>
      <c r="G514" s="19">
        <v>190</v>
      </c>
      <c r="H514" s="19">
        <v>2.2</v>
      </c>
      <c r="I514" s="19"/>
      <c r="J514" s="19" t="s">
        <v>67</v>
      </c>
      <c r="K514" s="19" t="b">
        <v>0</v>
      </c>
      <c r="L514" s="15">
        <v>2019</v>
      </c>
      <c r="M514" s="16">
        <v>35497380</v>
      </c>
      <c r="N514" s="20">
        <v>41550</v>
      </c>
      <c r="O514" s="20">
        <v>41550</v>
      </c>
    </row>
    <row r="515" spans="1:15" ht="14.25">
      <c r="A515" s="17">
        <v>2013</v>
      </c>
      <c r="B515" s="18" t="s">
        <v>437</v>
      </c>
      <c r="C515" s="18" t="s">
        <v>438</v>
      </c>
      <c r="D515" s="19">
        <v>3062000</v>
      </c>
      <c r="E515" s="19">
        <v>0</v>
      </c>
      <c r="F515" s="19"/>
      <c r="G515" s="19">
        <v>500</v>
      </c>
      <c r="H515" s="19">
        <v>9.6</v>
      </c>
      <c r="I515" s="19" t="s">
        <v>454</v>
      </c>
      <c r="J515" s="19" t="s">
        <v>97</v>
      </c>
      <c r="K515" s="19" t="b">
        <v>0</v>
      </c>
      <c r="L515" s="15">
        <v>2017</v>
      </c>
      <c r="M515" s="16">
        <v>0.0849</v>
      </c>
      <c r="N515" s="20">
        <v>41550</v>
      </c>
      <c r="O515" s="20">
        <v>41550</v>
      </c>
    </row>
    <row r="516" spans="1:15" ht="14.25">
      <c r="A516" s="17">
        <v>2013</v>
      </c>
      <c r="B516" s="18" t="s">
        <v>437</v>
      </c>
      <c r="C516" s="18" t="s">
        <v>438</v>
      </c>
      <c r="D516" s="19">
        <v>3062000</v>
      </c>
      <c r="E516" s="19">
        <v>0</v>
      </c>
      <c r="F516" s="19"/>
      <c r="G516" s="19">
        <v>510</v>
      </c>
      <c r="H516" s="19">
        <v>9.7</v>
      </c>
      <c r="I516" s="19"/>
      <c r="J516" s="19" t="s">
        <v>452</v>
      </c>
      <c r="K516" s="19" t="b">
        <v>1</v>
      </c>
      <c r="L516" s="15">
        <v>2023</v>
      </c>
      <c r="M516" s="16">
        <v>0.1257</v>
      </c>
      <c r="N516" s="20">
        <v>41550</v>
      </c>
      <c r="O516" s="20">
        <v>41550</v>
      </c>
    </row>
    <row r="517" spans="1:15" ht="14.25">
      <c r="A517" s="17">
        <v>2013</v>
      </c>
      <c r="B517" s="18" t="s">
        <v>437</v>
      </c>
      <c r="C517" s="18" t="s">
        <v>438</v>
      </c>
      <c r="D517" s="19">
        <v>3062000</v>
      </c>
      <c r="E517" s="19">
        <v>0</v>
      </c>
      <c r="F517" s="19"/>
      <c r="G517" s="19">
        <v>210</v>
      </c>
      <c r="H517" s="19">
        <v>4</v>
      </c>
      <c r="I517" s="19" t="s">
        <v>456</v>
      </c>
      <c r="J517" s="19" t="s">
        <v>22</v>
      </c>
      <c r="K517" s="19" t="b">
        <v>0</v>
      </c>
      <c r="L517" s="15">
        <v>2013</v>
      </c>
      <c r="M517" s="16">
        <v>30172000</v>
      </c>
      <c r="N517" s="20">
        <v>41550</v>
      </c>
      <c r="O517" s="20">
        <v>41550</v>
      </c>
    </row>
    <row r="518" spans="1:15" ht="14.25">
      <c r="A518" s="17">
        <v>2013</v>
      </c>
      <c r="B518" s="18" t="s">
        <v>437</v>
      </c>
      <c r="C518" s="18" t="s">
        <v>438</v>
      </c>
      <c r="D518" s="19">
        <v>3062000</v>
      </c>
      <c r="E518" s="19">
        <v>0</v>
      </c>
      <c r="F518" s="19"/>
      <c r="G518" s="19">
        <v>510</v>
      </c>
      <c r="H518" s="19">
        <v>9.7</v>
      </c>
      <c r="I518" s="19"/>
      <c r="J518" s="19" t="s">
        <v>452</v>
      </c>
      <c r="K518" s="19" t="b">
        <v>1</v>
      </c>
      <c r="L518" s="15">
        <v>2020</v>
      </c>
      <c r="M518" s="16">
        <v>0.1277</v>
      </c>
      <c r="N518" s="20">
        <v>41550</v>
      </c>
      <c r="O518" s="20">
        <v>41550</v>
      </c>
    </row>
    <row r="519" spans="1:15" ht="14.25">
      <c r="A519" s="17">
        <v>2013</v>
      </c>
      <c r="B519" s="18" t="s">
        <v>437</v>
      </c>
      <c r="C519" s="18" t="s">
        <v>438</v>
      </c>
      <c r="D519" s="19">
        <v>3062000</v>
      </c>
      <c r="E519" s="19">
        <v>0</v>
      </c>
      <c r="F519" s="19"/>
      <c r="G519" s="19">
        <v>505</v>
      </c>
      <c r="H519" s="19" t="s">
        <v>98</v>
      </c>
      <c r="I519" s="19" t="s">
        <v>441</v>
      </c>
      <c r="J519" s="19" t="s">
        <v>99</v>
      </c>
      <c r="K519" s="19" t="b">
        <v>0</v>
      </c>
      <c r="L519" s="15">
        <v>2025</v>
      </c>
      <c r="M519" s="16">
        <v>0.1266</v>
      </c>
      <c r="N519" s="20">
        <v>41550</v>
      </c>
      <c r="O519" s="20">
        <v>41550</v>
      </c>
    </row>
    <row r="520" spans="1:15" ht="14.25">
      <c r="A520" s="17">
        <v>2013</v>
      </c>
      <c r="B520" s="18" t="s">
        <v>437</v>
      </c>
      <c r="C520" s="18" t="s">
        <v>438</v>
      </c>
      <c r="D520" s="19">
        <v>3062000</v>
      </c>
      <c r="E520" s="19">
        <v>0</v>
      </c>
      <c r="F520" s="19"/>
      <c r="G520" s="19">
        <v>310</v>
      </c>
      <c r="H520" s="19">
        <v>5.1</v>
      </c>
      <c r="I520" s="19"/>
      <c r="J520" s="19" t="s">
        <v>79</v>
      </c>
      <c r="K520" s="19" t="b">
        <v>1</v>
      </c>
      <c r="L520" s="15">
        <v>2025</v>
      </c>
      <c r="M520" s="16">
        <v>81200</v>
      </c>
      <c r="N520" s="20">
        <v>41550</v>
      </c>
      <c r="O520" s="20">
        <v>41550</v>
      </c>
    </row>
    <row r="521" spans="1:15" ht="14.25">
      <c r="A521" s="17">
        <v>2013</v>
      </c>
      <c r="B521" s="18" t="s">
        <v>437</v>
      </c>
      <c r="C521" s="18" t="s">
        <v>438</v>
      </c>
      <c r="D521" s="19">
        <v>3062000</v>
      </c>
      <c r="E521" s="19">
        <v>0</v>
      </c>
      <c r="F521" s="19"/>
      <c r="G521" s="19">
        <v>200</v>
      </c>
      <c r="H521" s="19">
        <v>3</v>
      </c>
      <c r="I521" s="19" t="s">
        <v>457</v>
      </c>
      <c r="J521" s="19" t="s">
        <v>21</v>
      </c>
      <c r="K521" s="19" t="b">
        <v>0</v>
      </c>
      <c r="L521" s="15">
        <v>2020</v>
      </c>
      <c r="M521" s="16">
        <v>18001200</v>
      </c>
      <c r="N521" s="20">
        <v>41550</v>
      </c>
      <c r="O521" s="20">
        <v>41550</v>
      </c>
    </row>
    <row r="522" spans="1:15" ht="14.25">
      <c r="A522" s="17">
        <v>2013</v>
      </c>
      <c r="B522" s="18" t="s">
        <v>437</v>
      </c>
      <c r="C522" s="18" t="s">
        <v>438</v>
      </c>
      <c r="D522" s="19">
        <v>3062000</v>
      </c>
      <c r="E522" s="19">
        <v>0</v>
      </c>
      <c r="F522" s="19"/>
      <c r="G522" s="19">
        <v>310</v>
      </c>
      <c r="H522" s="19">
        <v>5.1</v>
      </c>
      <c r="I522" s="19"/>
      <c r="J522" s="19" t="s">
        <v>79</v>
      </c>
      <c r="K522" s="19" t="b">
        <v>1</v>
      </c>
      <c r="L522" s="15">
        <v>2026</v>
      </c>
      <c r="M522" s="16">
        <v>81200</v>
      </c>
      <c r="N522" s="20">
        <v>41550</v>
      </c>
      <c r="O522" s="20">
        <v>41550</v>
      </c>
    </row>
    <row r="523" spans="1:15" ht="14.25">
      <c r="A523" s="17">
        <v>2013</v>
      </c>
      <c r="B523" s="18" t="s">
        <v>437</v>
      </c>
      <c r="C523" s="18" t="s">
        <v>438</v>
      </c>
      <c r="D523" s="19">
        <v>3062000</v>
      </c>
      <c r="E523" s="19">
        <v>0</v>
      </c>
      <c r="F523" s="19"/>
      <c r="G523" s="19">
        <v>80</v>
      </c>
      <c r="H523" s="19" t="s">
        <v>49</v>
      </c>
      <c r="I523" s="19"/>
      <c r="J523" s="19" t="s">
        <v>50</v>
      </c>
      <c r="K523" s="19" t="b">
        <v>1</v>
      </c>
      <c r="L523" s="15">
        <v>2013</v>
      </c>
      <c r="M523" s="16">
        <v>50664975.08</v>
      </c>
      <c r="N523" s="20">
        <v>41550</v>
      </c>
      <c r="O523" s="20">
        <v>41550</v>
      </c>
    </row>
    <row r="524" spans="1:15" ht="14.25">
      <c r="A524" s="17">
        <v>2013</v>
      </c>
      <c r="B524" s="18" t="s">
        <v>437</v>
      </c>
      <c r="C524" s="18" t="s">
        <v>438</v>
      </c>
      <c r="D524" s="19">
        <v>3062000</v>
      </c>
      <c r="E524" s="19">
        <v>0</v>
      </c>
      <c r="F524" s="19"/>
      <c r="G524" s="19">
        <v>505</v>
      </c>
      <c r="H524" s="19" t="s">
        <v>98</v>
      </c>
      <c r="I524" s="19" t="s">
        <v>441</v>
      </c>
      <c r="J524" s="19" t="s">
        <v>99</v>
      </c>
      <c r="K524" s="19" t="b">
        <v>0</v>
      </c>
      <c r="L524" s="15">
        <v>2018</v>
      </c>
      <c r="M524" s="16">
        <v>0.1271</v>
      </c>
      <c r="N524" s="20">
        <v>41550</v>
      </c>
      <c r="O524" s="20">
        <v>41550</v>
      </c>
    </row>
    <row r="525" spans="1:15" ht="14.25">
      <c r="A525" s="17">
        <v>2013</v>
      </c>
      <c r="B525" s="18" t="s">
        <v>437</v>
      </c>
      <c r="C525" s="18" t="s">
        <v>438</v>
      </c>
      <c r="D525" s="19">
        <v>3062000</v>
      </c>
      <c r="E525" s="19">
        <v>0</v>
      </c>
      <c r="F525" s="19"/>
      <c r="G525" s="19">
        <v>470</v>
      </c>
      <c r="H525" s="19">
        <v>9.3</v>
      </c>
      <c r="I525" s="19" t="s">
        <v>450</v>
      </c>
      <c r="J525" s="19" t="s">
        <v>451</v>
      </c>
      <c r="K525" s="19" t="b">
        <v>1</v>
      </c>
      <c r="L525" s="15">
        <v>2021</v>
      </c>
      <c r="M525" s="16">
        <v>0.062</v>
      </c>
      <c r="N525" s="20">
        <v>41550</v>
      </c>
      <c r="O525" s="20">
        <v>41550</v>
      </c>
    </row>
    <row r="526" spans="1:15" ht="14.25">
      <c r="A526" s="17">
        <v>2013</v>
      </c>
      <c r="B526" s="18" t="s">
        <v>437</v>
      </c>
      <c r="C526" s="18" t="s">
        <v>438</v>
      </c>
      <c r="D526" s="19">
        <v>3062000</v>
      </c>
      <c r="E526" s="19">
        <v>0</v>
      </c>
      <c r="F526" s="19"/>
      <c r="G526" s="19">
        <v>350</v>
      </c>
      <c r="H526" s="19">
        <v>6</v>
      </c>
      <c r="I526" s="19"/>
      <c r="J526" s="19" t="s">
        <v>25</v>
      </c>
      <c r="K526" s="19" t="b">
        <v>1</v>
      </c>
      <c r="L526" s="15">
        <v>2025</v>
      </c>
      <c r="M526" s="16">
        <v>128800</v>
      </c>
      <c r="N526" s="20">
        <v>41550</v>
      </c>
      <c r="O526" s="20">
        <v>41550</v>
      </c>
    </row>
    <row r="527" spans="1:15" ht="14.25">
      <c r="A527" s="17">
        <v>2013</v>
      </c>
      <c r="B527" s="18" t="s">
        <v>437</v>
      </c>
      <c r="C527" s="18" t="s">
        <v>438</v>
      </c>
      <c r="D527" s="19">
        <v>3062000</v>
      </c>
      <c r="E527" s="19">
        <v>0</v>
      </c>
      <c r="F527" s="19"/>
      <c r="G527" s="19">
        <v>550</v>
      </c>
      <c r="H527" s="19">
        <v>10</v>
      </c>
      <c r="I527" s="19"/>
      <c r="J527" s="19" t="s">
        <v>106</v>
      </c>
      <c r="K527" s="19" t="b">
        <v>0</v>
      </c>
      <c r="L527" s="15">
        <v>2027</v>
      </c>
      <c r="M527" s="16">
        <v>47600</v>
      </c>
      <c r="N527" s="20">
        <v>41550</v>
      </c>
      <c r="O527" s="20">
        <v>41550</v>
      </c>
    </row>
    <row r="528" spans="1:15" ht="14.25">
      <c r="A528" s="17">
        <v>2013</v>
      </c>
      <c r="B528" s="18" t="s">
        <v>437</v>
      </c>
      <c r="C528" s="18" t="s">
        <v>438</v>
      </c>
      <c r="D528" s="19">
        <v>3062000</v>
      </c>
      <c r="E528" s="19">
        <v>0</v>
      </c>
      <c r="F528" s="19"/>
      <c r="G528" s="19">
        <v>640</v>
      </c>
      <c r="H528" s="19">
        <v>11.5</v>
      </c>
      <c r="I528" s="19"/>
      <c r="J528" s="19" t="s">
        <v>117</v>
      </c>
      <c r="K528" s="19" t="b">
        <v>1</v>
      </c>
      <c r="L528" s="15">
        <v>2014</v>
      </c>
      <c r="M528" s="16">
        <v>16000000</v>
      </c>
      <c r="N528" s="20">
        <v>41550</v>
      </c>
      <c r="O528" s="20">
        <v>41550</v>
      </c>
    </row>
    <row r="529" spans="1:15" ht="14.25">
      <c r="A529" s="17">
        <v>2013</v>
      </c>
      <c r="B529" s="18" t="s">
        <v>437</v>
      </c>
      <c r="C529" s="18" t="s">
        <v>438</v>
      </c>
      <c r="D529" s="19">
        <v>3062000</v>
      </c>
      <c r="E529" s="19">
        <v>0</v>
      </c>
      <c r="F529" s="19"/>
      <c r="G529" s="19">
        <v>550</v>
      </c>
      <c r="H529" s="19">
        <v>10</v>
      </c>
      <c r="I529" s="19"/>
      <c r="J529" s="19" t="s">
        <v>106</v>
      </c>
      <c r="K529" s="19" t="b">
        <v>0</v>
      </c>
      <c r="L529" s="15">
        <v>2023</v>
      </c>
      <c r="M529" s="16">
        <v>671200</v>
      </c>
      <c r="N529" s="20">
        <v>41550</v>
      </c>
      <c r="O529" s="20">
        <v>41550</v>
      </c>
    </row>
    <row r="530" spans="1:15" ht="14.25">
      <c r="A530" s="17">
        <v>2013</v>
      </c>
      <c r="B530" s="18" t="s">
        <v>437</v>
      </c>
      <c r="C530" s="18" t="s">
        <v>438</v>
      </c>
      <c r="D530" s="19">
        <v>3062000</v>
      </c>
      <c r="E530" s="19">
        <v>0</v>
      </c>
      <c r="F530" s="19"/>
      <c r="G530" s="19">
        <v>140</v>
      </c>
      <c r="H530" s="19" t="s">
        <v>57</v>
      </c>
      <c r="I530" s="19"/>
      <c r="J530" s="19" t="s">
        <v>58</v>
      </c>
      <c r="K530" s="19" t="b">
        <v>1</v>
      </c>
      <c r="L530" s="15">
        <v>2021</v>
      </c>
      <c r="M530" s="16">
        <v>9926249.43</v>
      </c>
      <c r="N530" s="20">
        <v>41550</v>
      </c>
      <c r="O530" s="20">
        <v>41550</v>
      </c>
    </row>
    <row r="531" spans="1:15" ht="14.25">
      <c r="A531" s="17">
        <v>2013</v>
      </c>
      <c r="B531" s="18" t="s">
        <v>437</v>
      </c>
      <c r="C531" s="18" t="s">
        <v>438</v>
      </c>
      <c r="D531" s="19">
        <v>3062000</v>
      </c>
      <c r="E531" s="19">
        <v>0</v>
      </c>
      <c r="F531" s="19"/>
      <c r="G531" s="19">
        <v>50</v>
      </c>
      <c r="H531" s="19" t="s">
        <v>43</v>
      </c>
      <c r="I531" s="19"/>
      <c r="J531" s="19" t="s">
        <v>44</v>
      </c>
      <c r="K531" s="19" t="b">
        <v>1</v>
      </c>
      <c r="L531" s="15">
        <v>2014</v>
      </c>
      <c r="M531" s="16">
        <v>117390048</v>
      </c>
      <c r="N531" s="20">
        <v>41550</v>
      </c>
      <c r="O531" s="20">
        <v>41550</v>
      </c>
    </row>
    <row r="532" spans="1:15" ht="14.25">
      <c r="A532" s="17">
        <v>2013</v>
      </c>
      <c r="B532" s="18" t="s">
        <v>437</v>
      </c>
      <c r="C532" s="18" t="s">
        <v>438</v>
      </c>
      <c r="D532" s="19">
        <v>3062000</v>
      </c>
      <c r="E532" s="19">
        <v>0</v>
      </c>
      <c r="F532" s="19"/>
      <c r="G532" s="19">
        <v>180</v>
      </c>
      <c r="H532" s="19" t="s">
        <v>65</v>
      </c>
      <c r="I532" s="19"/>
      <c r="J532" s="19" t="s">
        <v>66</v>
      </c>
      <c r="K532" s="19" t="b">
        <v>0</v>
      </c>
      <c r="L532" s="15">
        <v>2020</v>
      </c>
      <c r="M532" s="16">
        <v>2350000</v>
      </c>
      <c r="N532" s="20">
        <v>41550</v>
      </c>
      <c r="O532" s="20">
        <v>41550</v>
      </c>
    </row>
    <row r="533" spans="1:15" ht="14.25">
      <c r="A533" s="17">
        <v>2013</v>
      </c>
      <c r="B533" s="18" t="s">
        <v>437</v>
      </c>
      <c r="C533" s="18" t="s">
        <v>438</v>
      </c>
      <c r="D533" s="19">
        <v>3062000</v>
      </c>
      <c r="E533" s="19">
        <v>0</v>
      </c>
      <c r="F533" s="19"/>
      <c r="G533" s="19">
        <v>620</v>
      </c>
      <c r="H533" s="19" t="s">
        <v>114</v>
      </c>
      <c r="I533" s="19"/>
      <c r="J533" s="19" t="s">
        <v>115</v>
      </c>
      <c r="K533" s="19" t="b">
        <v>1</v>
      </c>
      <c r="L533" s="15">
        <v>2016</v>
      </c>
      <c r="M533" s="16">
        <v>135000</v>
      </c>
      <c r="N533" s="20">
        <v>41550</v>
      </c>
      <c r="O533" s="20">
        <v>41550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23</v>
      </c>
      <c r="L1" s="7" t="s">
        <v>26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206</v>
      </c>
      <c r="N3" s="5" t="s">
        <v>207</v>
      </c>
      <c r="O3" s="5" t="s">
        <v>209</v>
      </c>
      <c r="P3" s="5" t="s">
        <v>208</v>
      </c>
      <c r="Q3" s="5" t="s">
        <v>17</v>
      </c>
      <c r="R3" s="5" t="s">
        <v>18</v>
      </c>
    </row>
    <row r="4" spans="1:18" ht="14.25">
      <c r="A4" s="17">
        <v>2013</v>
      </c>
      <c r="B4" s="18" t="s">
        <v>437</v>
      </c>
      <c r="C4" s="18" t="s">
        <v>438</v>
      </c>
      <c r="D4" s="19">
        <v>3062000</v>
      </c>
      <c r="E4" s="19">
        <v>0</v>
      </c>
      <c r="F4" s="19"/>
      <c r="G4" s="19">
        <v>390</v>
      </c>
      <c r="H4" s="19">
        <v>6.3</v>
      </c>
      <c r="I4" s="19" t="s">
        <v>442</v>
      </c>
      <c r="J4" s="19" t="s">
        <v>89</v>
      </c>
      <c r="K4" s="19" t="b">
        <v>0</v>
      </c>
      <c r="L4" s="15">
        <v>2013</v>
      </c>
      <c r="M4" s="16">
        <v>0.2628</v>
      </c>
      <c r="N4" s="16">
        <v>0.2805</v>
      </c>
      <c r="O4" s="16">
        <v>0.3367</v>
      </c>
      <c r="P4" s="16">
        <v>0.3058</v>
      </c>
      <c r="Q4" s="20">
        <v>41550</v>
      </c>
      <c r="R4" s="20">
        <v>41550</v>
      </c>
    </row>
    <row r="5" spans="1:18" ht="14.25">
      <c r="A5" s="17">
        <v>2013</v>
      </c>
      <c r="B5" s="18" t="s">
        <v>437</v>
      </c>
      <c r="C5" s="18" t="s">
        <v>438</v>
      </c>
      <c r="D5" s="19">
        <v>3062000</v>
      </c>
      <c r="E5" s="19">
        <v>0</v>
      </c>
      <c r="F5" s="19"/>
      <c r="G5" s="19">
        <v>670</v>
      </c>
      <c r="H5" s="19">
        <v>12.1</v>
      </c>
      <c r="I5" s="19"/>
      <c r="J5" s="19" t="s">
        <v>120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41550</v>
      </c>
      <c r="R5" s="20">
        <v>41550</v>
      </c>
    </row>
    <row r="6" spans="1:18" ht="14.25">
      <c r="A6" s="17">
        <v>2013</v>
      </c>
      <c r="B6" s="18" t="s">
        <v>437</v>
      </c>
      <c r="C6" s="18" t="s">
        <v>438</v>
      </c>
      <c r="D6" s="19">
        <v>3062000</v>
      </c>
      <c r="E6" s="19">
        <v>0</v>
      </c>
      <c r="F6" s="19"/>
      <c r="G6" s="19">
        <v>370</v>
      </c>
      <c r="H6" s="19" t="s">
        <v>86</v>
      </c>
      <c r="I6" s="19"/>
      <c r="J6" s="19" t="s">
        <v>87</v>
      </c>
      <c r="K6" s="19" t="b">
        <v>1</v>
      </c>
      <c r="L6" s="15">
        <v>2013</v>
      </c>
      <c r="M6" s="16">
        <v>0</v>
      </c>
      <c r="N6" s="16">
        <v>0</v>
      </c>
      <c r="O6" s="16">
        <v>0</v>
      </c>
      <c r="P6" s="16">
        <v>0</v>
      </c>
      <c r="Q6" s="20">
        <v>41550</v>
      </c>
      <c r="R6" s="20">
        <v>41550</v>
      </c>
    </row>
    <row r="7" spans="1:18" ht="14.25">
      <c r="A7" s="17">
        <v>2013</v>
      </c>
      <c r="B7" s="18" t="s">
        <v>437</v>
      </c>
      <c r="C7" s="18" t="s">
        <v>438</v>
      </c>
      <c r="D7" s="19">
        <v>3062000</v>
      </c>
      <c r="E7" s="19">
        <v>0</v>
      </c>
      <c r="F7" s="19"/>
      <c r="G7" s="19">
        <v>700</v>
      </c>
      <c r="H7" s="19">
        <v>12.2</v>
      </c>
      <c r="I7" s="19"/>
      <c r="J7" s="19" t="s">
        <v>125</v>
      </c>
      <c r="K7" s="19" t="b">
        <v>0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41550</v>
      </c>
      <c r="R7" s="20">
        <v>41550</v>
      </c>
    </row>
    <row r="8" spans="1:18" ht="14.25">
      <c r="A8" s="17">
        <v>2013</v>
      </c>
      <c r="B8" s="18" t="s">
        <v>437</v>
      </c>
      <c r="C8" s="18" t="s">
        <v>438</v>
      </c>
      <c r="D8" s="19">
        <v>3062000</v>
      </c>
      <c r="E8" s="19">
        <v>0</v>
      </c>
      <c r="F8" s="19"/>
      <c r="G8" s="19">
        <v>440</v>
      </c>
      <c r="H8" s="19">
        <v>9</v>
      </c>
      <c r="I8" s="19"/>
      <c r="J8" s="19" t="s">
        <v>175</v>
      </c>
      <c r="K8" s="19" t="b">
        <v>0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41550</v>
      </c>
      <c r="R8" s="20">
        <v>41550</v>
      </c>
    </row>
    <row r="9" spans="1:18" ht="14.25">
      <c r="A9" s="17">
        <v>2013</v>
      </c>
      <c r="B9" s="18" t="s">
        <v>437</v>
      </c>
      <c r="C9" s="18" t="s">
        <v>438</v>
      </c>
      <c r="D9" s="19">
        <v>3062000</v>
      </c>
      <c r="E9" s="19">
        <v>0</v>
      </c>
      <c r="F9" s="19"/>
      <c r="G9" s="19">
        <v>800</v>
      </c>
      <c r="H9" s="19">
        <v>13.1</v>
      </c>
      <c r="I9" s="19"/>
      <c r="J9" s="19" t="s">
        <v>141</v>
      </c>
      <c r="K9" s="19" t="b">
        <v>1</v>
      </c>
      <c r="L9" s="15">
        <v>2013</v>
      </c>
      <c r="M9" s="16">
        <v>0</v>
      </c>
      <c r="N9" s="16">
        <v>0</v>
      </c>
      <c r="O9" s="16">
        <v>0</v>
      </c>
      <c r="P9" s="16">
        <v>0</v>
      </c>
      <c r="Q9" s="20">
        <v>41550</v>
      </c>
      <c r="R9" s="20">
        <v>41550</v>
      </c>
    </row>
    <row r="10" spans="1:18" ht="14.25">
      <c r="A10" s="17">
        <v>2013</v>
      </c>
      <c r="B10" s="18" t="s">
        <v>437</v>
      </c>
      <c r="C10" s="18" t="s">
        <v>438</v>
      </c>
      <c r="D10" s="19">
        <v>3062000</v>
      </c>
      <c r="E10" s="19">
        <v>0</v>
      </c>
      <c r="F10" s="19"/>
      <c r="G10" s="19">
        <v>540</v>
      </c>
      <c r="H10" s="19" t="s">
        <v>104</v>
      </c>
      <c r="I10" s="19" t="s">
        <v>453</v>
      </c>
      <c r="J10" s="19" t="s">
        <v>105</v>
      </c>
      <c r="K10" s="19" t="b">
        <v>0</v>
      </c>
      <c r="L10" s="15">
        <v>2013</v>
      </c>
      <c r="M10" s="16">
        <v>0.0497</v>
      </c>
      <c r="N10" s="16">
        <v>0.0638</v>
      </c>
      <c r="O10" s="16">
        <v>0.0749</v>
      </c>
      <c r="P10" s="16">
        <v>0.0742</v>
      </c>
      <c r="Q10" s="20">
        <v>41550</v>
      </c>
      <c r="R10" s="20">
        <v>41550</v>
      </c>
    </row>
    <row r="11" spans="1:18" ht="14.25">
      <c r="A11" s="17">
        <v>2013</v>
      </c>
      <c r="B11" s="18" t="s">
        <v>437</v>
      </c>
      <c r="C11" s="18" t="s">
        <v>438</v>
      </c>
      <c r="D11" s="19">
        <v>3062000</v>
      </c>
      <c r="E11" s="19">
        <v>0</v>
      </c>
      <c r="F11" s="19"/>
      <c r="G11" s="19">
        <v>850</v>
      </c>
      <c r="H11" s="19">
        <v>13.6</v>
      </c>
      <c r="I11" s="19"/>
      <c r="J11" s="19" t="s">
        <v>146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41550</v>
      </c>
      <c r="R11" s="20">
        <v>41550</v>
      </c>
    </row>
    <row r="12" spans="1:18" ht="14.25">
      <c r="A12" s="17">
        <v>2013</v>
      </c>
      <c r="B12" s="18" t="s">
        <v>437</v>
      </c>
      <c r="C12" s="18" t="s">
        <v>438</v>
      </c>
      <c r="D12" s="19">
        <v>3062000</v>
      </c>
      <c r="E12" s="19">
        <v>0</v>
      </c>
      <c r="F12" s="19"/>
      <c r="G12" s="19">
        <v>400</v>
      </c>
      <c r="H12" s="19">
        <v>7</v>
      </c>
      <c r="I12" s="19"/>
      <c r="J12" s="19" t="s">
        <v>90</v>
      </c>
      <c r="K12" s="19" t="b">
        <v>1</v>
      </c>
      <c r="L12" s="15">
        <v>2013</v>
      </c>
      <c r="M12" s="16">
        <v>0</v>
      </c>
      <c r="N12" s="16">
        <v>0</v>
      </c>
      <c r="O12" s="16">
        <v>0</v>
      </c>
      <c r="P12" s="16">
        <v>0</v>
      </c>
      <c r="Q12" s="20">
        <v>41550</v>
      </c>
      <c r="R12" s="20">
        <v>41550</v>
      </c>
    </row>
    <row r="13" spans="1:18" ht="14.25">
      <c r="A13" s="17">
        <v>2013</v>
      </c>
      <c r="B13" s="18" t="s">
        <v>437</v>
      </c>
      <c r="C13" s="18" t="s">
        <v>438</v>
      </c>
      <c r="D13" s="19">
        <v>3062000</v>
      </c>
      <c r="E13" s="19">
        <v>0</v>
      </c>
      <c r="F13" s="19"/>
      <c r="G13" s="19">
        <v>890</v>
      </c>
      <c r="H13" s="19">
        <v>14.2</v>
      </c>
      <c r="I13" s="19"/>
      <c r="J13" s="19" t="s">
        <v>150</v>
      </c>
      <c r="K13" s="19" t="b">
        <v>1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41550</v>
      </c>
      <c r="R13" s="20">
        <v>41550</v>
      </c>
    </row>
    <row r="14" spans="1:18" ht="14.25">
      <c r="A14" s="17">
        <v>2013</v>
      </c>
      <c r="B14" s="18" t="s">
        <v>437</v>
      </c>
      <c r="C14" s="18" t="s">
        <v>438</v>
      </c>
      <c r="D14" s="19">
        <v>3062000</v>
      </c>
      <c r="E14" s="19">
        <v>0</v>
      </c>
      <c r="F14" s="19"/>
      <c r="G14" s="19">
        <v>360</v>
      </c>
      <c r="H14" s="19">
        <v>6.1</v>
      </c>
      <c r="I14" s="19"/>
      <c r="J14" s="19" t="s">
        <v>458</v>
      </c>
      <c r="K14" s="19" t="b">
        <v>1</v>
      </c>
      <c r="L14" s="15">
        <v>2013</v>
      </c>
      <c r="M14" s="16">
        <v>0</v>
      </c>
      <c r="N14" s="16">
        <v>0</v>
      </c>
      <c r="O14" s="16">
        <v>0</v>
      </c>
      <c r="P14" s="16">
        <v>0</v>
      </c>
      <c r="Q14" s="20">
        <v>41550</v>
      </c>
      <c r="R14" s="20">
        <v>41550</v>
      </c>
    </row>
    <row r="15" spans="1:18" ht="14.25">
      <c r="A15" s="17">
        <v>2013</v>
      </c>
      <c r="B15" s="18" t="s">
        <v>437</v>
      </c>
      <c r="C15" s="18" t="s">
        <v>438</v>
      </c>
      <c r="D15" s="19">
        <v>3062000</v>
      </c>
      <c r="E15" s="19">
        <v>0</v>
      </c>
      <c r="F15" s="19"/>
      <c r="G15" s="19">
        <v>505</v>
      </c>
      <c r="H15" s="19" t="s">
        <v>98</v>
      </c>
      <c r="I15" s="19" t="s">
        <v>441</v>
      </c>
      <c r="J15" s="19" t="s">
        <v>99</v>
      </c>
      <c r="K15" s="19" t="b">
        <v>0</v>
      </c>
      <c r="L15" s="15">
        <v>2013</v>
      </c>
      <c r="M15" s="16">
        <v>0.0482</v>
      </c>
      <c r="N15" s="16">
        <v>0.0529</v>
      </c>
      <c r="O15" s="16">
        <v>0.0393</v>
      </c>
      <c r="P15" s="16">
        <v>0.0624</v>
      </c>
      <c r="Q15" s="20">
        <v>41550</v>
      </c>
      <c r="R15" s="20">
        <v>41550</v>
      </c>
    </row>
    <row r="16" spans="1:18" ht="14.25">
      <c r="A16" s="17">
        <v>2013</v>
      </c>
      <c r="B16" s="18" t="s">
        <v>437</v>
      </c>
      <c r="C16" s="18" t="s">
        <v>438</v>
      </c>
      <c r="D16" s="19">
        <v>3062000</v>
      </c>
      <c r="E16" s="19">
        <v>0</v>
      </c>
      <c r="F16" s="19"/>
      <c r="G16" s="19">
        <v>650</v>
      </c>
      <c r="H16" s="19">
        <v>11.6</v>
      </c>
      <c r="I16" s="19"/>
      <c r="J16" s="19" t="s">
        <v>118</v>
      </c>
      <c r="K16" s="19" t="b">
        <v>1</v>
      </c>
      <c r="L16" s="15">
        <v>2013</v>
      </c>
      <c r="M16" s="16">
        <v>0</v>
      </c>
      <c r="N16" s="16">
        <v>0</v>
      </c>
      <c r="O16" s="16">
        <v>0</v>
      </c>
      <c r="P16" s="16">
        <v>0</v>
      </c>
      <c r="Q16" s="20">
        <v>41550</v>
      </c>
      <c r="R16" s="20">
        <v>41550</v>
      </c>
    </row>
    <row r="17" spans="1:18" ht="14.25">
      <c r="A17" s="17">
        <v>2013</v>
      </c>
      <c r="B17" s="18" t="s">
        <v>437</v>
      </c>
      <c r="C17" s="18" t="s">
        <v>438</v>
      </c>
      <c r="D17" s="19">
        <v>3062000</v>
      </c>
      <c r="E17" s="19">
        <v>0</v>
      </c>
      <c r="F17" s="19"/>
      <c r="G17" s="19">
        <v>560</v>
      </c>
      <c r="H17" s="19">
        <v>10.1</v>
      </c>
      <c r="I17" s="19"/>
      <c r="J17" s="19" t="s">
        <v>107</v>
      </c>
      <c r="K17" s="19" t="b">
        <v>0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41550</v>
      </c>
      <c r="R17" s="20">
        <v>41550</v>
      </c>
    </row>
    <row r="18" spans="1:18" ht="14.25">
      <c r="A18" s="17">
        <v>2013</v>
      </c>
      <c r="B18" s="18" t="s">
        <v>437</v>
      </c>
      <c r="C18" s="18" t="s">
        <v>438</v>
      </c>
      <c r="D18" s="19">
        <v>3062000</v>
      </c>
      <c r="E18" s="19">
        <v>0</v>
      </c>
      <c r="F18" s="19"/>
      <c r="G18" s="19">
        <v>820</v>
      </c>
      <c r="H18" s="19">
        <v>13.3</v>
      </c>
      <c r="I18" s="19"/>
      <c r="J18" s="19" t="s">
        <v>143</v>
      </c>
      <c r="K18" s="19" t="b">
        <v>1</v>
      </c>
      <c r="L18" s="15">
        <v>2013</v>
      </c>
      <c r="M18" s="16">
        <v>0</v>
      </c>
      <c r="N18" s="16">
        <v>0</v>
      </c>
      <c r="O18" s="16">
        <v>0</v>
      </c>
      <c r="P18" s="16">
        <v>0</v>
      </c>
      <c r="Q18" s="20">
        <v>41550</v>
      </c>
      <c r="R18" s="20">
        <v>41550</v>
      </c>
    </row>
    <row r="19" spans="1:18" ht="14.25">
      <c r="A19" s="17">
        <v>2013</v>
      </c>
      <c r="B19" s="18" t="s">
        <v>437</v>
      </c>
      <c r="C19" s="18" t="s">
        <v>438</v>
      </c>
      <c r="D19" s="19">
        <v>3062000</v>
      </c>
      <c r="E19" s="19">
        <v>0</v>
      </c>
      <c r="F19" s="19"/>
      <c r="G19" s="19">
        <v>770</v>
      </c>
      <c r="H19" s="19" t="s">
        <v>136</v>
      </c>
      <c r="I19" s="19"/>
      <c r="J19" s="19" t="s">
        <v>137</v>
      </c>
      <c r="K19" s="19" t="b">
        <v>1</v>
      </c>
      <c r="L19" s="15">
        <v>2013</v>
      </c>
      <c r="M19" s="16">
        <v>0</v>
      </c>
      <c r="N19" s="16">
        <v>0</v>
      </c>
      <c r="O19" s="16">
        <v>0</v>
      </c>
      <c r="P19" s="16">
        <v>0</v>
      </c>
      <c r="Q19" s="20">
        <v>41550</v>
      </c>
      <c r="R19" s="20">
        <v>41550</v>
      </c>
    </row>
    <row r="20" spans="1:18" ht="14.25">
      <c r="A20" s="17">
        <v>2013</v>
      </c>
      <c r="B20" s="18" t="s">
        <v>437</v>
      </c>
      <c r="C20" s="18" t="s">
        <v>438</v>
      </c>
      <c r="D20" s="19">
        <v>3062000</v>
      </c>
      <c r="E20" s="19">
        <v>0</v>
      </c>
      <c r="F20" s="19"/>
      <c r="G20" s="19">
        <v>150</v>
      </c>
      <c r="H20" s="19" t="s">
        <v>59</v>
      </c>
      <c r="I20" s="19"/>
      <c r="J20" s="19" t="s">
        <v>60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41550</v>
      </c>
      <c r="R20" s="20">
        <v>41550</v>
      </c>
    </row>
    <row r="21" spans="1:18" ht="14.25">
      <c r="A21" s="17">
        <v>2013</v>
      </c>
      <c r="B21" s="18" t="s">
        <v>437</v>
      </c>
      <c r="C21" s="18" t="s">
        <v>438</v>
      </c>
      <c r="D21" s="19">
        <v>3062000</v>
      </c>
      <c r="E21" s="19">
        <v>0</v>
      </c>
      <c r="F21" s="19"/>
      <c r="G21" s="19">
        <v>160</v>
      </c>
      <c r="H21" s="19" t="s">
        <v>61</v>
      </c>
      <c r="I21" s="19"/>
      <c r="J21" s="19" t="s">
        <v>62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41550</v>
      </c>
      <c r="R21" s="20">
        <v>41550</v>
      </c>
    </row>
    <row r="22" spans="1:18" ht="14.25">
      <c r="A22" s="17">
        <v>2013</v>
      </c>
      <c r="B22" s="18" t="s">
        <v>437</v>
      </c>
      <c r="C22" s="18" t="s">
        <v>438</v>
      </c>
      <c r="D22" s="19">
        <v>3062000</v>
      </c>
      <c r="E22" s="19">
        <v>0</v>
      </c>
      <c r="F22" s="19"/>
      <c r="G22" s="19">
        <v>740</v>
      </c>
      <c r="H22" s="19" t="s">
        <v>131</v>
      </c>
      <c r="I22" s="19"/>
      <c r="J22" s="19" t="s">
        <v>132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41550</v>
      </c>
      <c r="R22" s="20">
        <v>41550</v>
      </c>
    </row>
    <row r="23" spans="1:18" ht="14.25">
      <c r="A23" s="17">
        <v>2013</v>
      </c>
      <c r="B23" s="18" t="s">
        <v>437</v>
      </c>
      <c r="C23" s="18" t="s">
        <v>438</v>
      </c>
      <c r="D23" s="19">
        <v>3062000</v>
      </c>
      <c r="E23" s="19">
        <v>0</v>
      </c>
      <c r="F23" s="19"/>
      <c r="G23" s="19">
        <v>180</v>
      </c>
      <c r="H23" s="19" t="s">
        <v>65</v>
      </c>
      <c r="I23" s="19"/>
      <c r="J23" s="19" t="s">
        <v>66</v>
      </c>
      <c r="K23" s="19" t="b">
        <v>0</v>
      </c>
      <c r="L23" s="15">
        <v>2013</v>
      </c>
      <c r="M23" s="16">
        <v>2661878.11</v>
      </c>
      <c r="N23" s="16">
        <v>4131238.07</v>
      </c>
      <c r="O23" s="16">
        <v>7100000</v>
      </c>
      <c r="P23" s="16">
        <v>5085565.18</v>
      </c>
      <c r="Q23" s="20">
        <v>41550</v>
      </c>
      <c r="R23" s="20">
        <v>41550</v>
      </c>
    </row>
    <row r="24" spans="1:18" ht="14.25">
      <c r="A24" s="17">
        <v>2013</v>
      </c>
      <c r="B24" s="18" t="s">
        <v>437</v>
      </c>
      <c r="C24" s="18" t="s">
        <v>438</v>
      </c>
      <c r="D24" s="19">
        <v>3062000</v>
      </c>
      <c r="E24" s="19">
        <v>0</v>
      </c>
      <c r="F24" s="19"/>
      <c r="G24" s="19">
        <v>130</v>
      </c>
      <c r="H24" s="19">
        <v>2.1</v>
      </c>
      <c r="I24" s="19"/>
      <c r="J24" s="19" t="s">
        <v>56</v>
      </c>
      <c r="K24" s="19" t="b">
        <v>1</v>
      </c>
      <c r="L24" s="15">
        <v>2013</v>
      </c>
      <c r="M24" s="16">
        <v>305713347.46</v>
      </c>
      <c r="N24" s="16">
        <v>325716535.71</v>
      </c>
      <c r="O24" s="16">
        <v>351140279.76</v>
      </c>
      <c r="P24" s="16">
        <v>349095431.95</v>
      </c>
      <c r="Q24" s="20">
        <v>41550</v>
      </c>
      <c r="R24" s="20">
        <v>41550</v>
      </c>
    </row>
    <row r="25" spans="1:18" ht="14.25">
      <c r="A25" s="17">
        <v>2013</v>
      </c>
      <c r="B25" s="18" t="s">
        <v>437</v>
      </c>
      <c r="C25" s="18" t="s">
        <v>438</v>
      </c>
      <c r="D25" s="19">
        <v>3062000</v>
      </c>
      <c r="E25" s="19">
        <v>0</v>
      </c>
      <c r="F25" s="19"/>
      <c r="G25" s="19">
        <v>500</v>
      </c>
      <c r="H25" s="19">
        <v>9.6</v>
      </c>
      <c r="I25" s="19" t="s">
        <v>454</v>
      </c>
      <c r="J25" s="19" t="s">
        <v>97</v>
      </c>
      <c r="K25" s="19" t="b">
        <v>0</v>
      </c>
      <c r="L25" s="15">
        <v>2013</v>
      </c>
      <c r="M25" s="16">
        <v>0.0497</v>
      </c>
      <c r="N25" s="16">
        <v>0.0638</v>
      </c>
      <c r="O25" s="16">
        <v>0.0749</v>
      </c>
      <c r="P25" s="16">
        <v>0.0742</v>
      </c>
      <c r="Q25" s="20">
        <v>41550</v>
      </c>
      <c r="R25" s="20">
        <v>41550</v>
      </c>
    </row>
    <row r="26" spans="1:18" ht="14.25">
      <c r="A26" s="17">
        <v>2013</v>
      </c>
      <c r="B26" s="18" t="s">
        <v>437</v>
      </c>
      <c r="C26" s="18" t="s">
        <v>438</v>
      </c>
      <c r="D26" s="19">
        <v>3062000</v>
      </c>
      <c r="E26" s="19">
        <v>0</v>
      </c>
      <c r="F26" s="19"/>
      <c r="G26" s="19">
        <v>300</v>
      </c>
      <c r="H26" s="19">
        <v>5</v>
      </c>
      <c r="I26" s="19" t="s">
        <v>455</v>
      </c>
      <c r="J26" s="19" t="s">
        <v>78</v>
      </c>
      <c r="K26" s="19" t="b">
        <v>0</v>
      </c>
      <c r="L26" s="15">
        <v>2013</v>
      </c>
      <c r="M26" s="16">
        <v>14195099.24</v>
      </c>
      <c r="N26" s="16">
        <v>19265684.84</v>
      </c>
      <c r="O26" s="16">
        <v>21069068.84</v>
      </c>
      <c r="P26" s="16">
        <v>24179068.76</v>
      </c>
      <c r="Q26" s="20">
        <v>41550</v>
      </c>
      <c r="R26" s="20">
        <v>41550</v>
      </c>
    </row>
    <row r="27" spans="1:18" ht="14.25">
      <c r="A27" s="17">
        <v>2013</v>
      </c>
      <c r="B27" s="18" t="s">
        <v>437</v>
      </c>
      <c r="C27" s="18" t="s">
        <v>438</v>
      </c>
      <c r="D27" s="19">
        <v>3062000</v>
      </c>
      <c r="E27" s="19">
        <v>0</v>
      </c>
      <c r="F27" s="19"/>
      <c r="G27" s="19">
        <v>810</v>
      </c>
      <c r="H27" s="19">
        <v>13.2</v>
      </c>
      <c r="I27" s="19"/>
      <c r="J27" s="19" t="s">
        <v>142</v>
      </c>
      <c r="K27" s="19" t="b">
        <v>1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41550</v>
      </c>
      <c r="R27" s="20">
        <v>41550</v>
      </c>
    </row>
    <row r="28" spans="1:18" ht="14.25">
      <c r="A28" s="17">
        <v>2013</v>
      </c>
      <c r="B28" s="18" t="s">
        <v>437</v>
      </c>
      <c r="C28" s="18" t="s">
        <v>438</v>
      </c>
      <c r="D28" s="19">
        <v>3062000</v>
      </c>
      <c r="E28" s="19">
        <v>0</v>
      </c>
      <c r="F28" s="19"/>
      <c r="G28" s="19">
        <v>410</v>
      </c>
      <c r="H28" s="19">
        <v>8</v>
      </c>
      <c r="I28" s="19"/>
      <c r="J28" s="19" t="s">
        <v>172</v>
      </c>
      <c r="K28" s="19" t="b">
        <v>1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41550</v>
      </c>
      <c r="R28" s="20">
        <v>41550</v>
      </c>
    </row>
    <row r="29" spans="1:18" ht="14.25">
      <c r="A29" s="17">
        <v>2013</v>
      </c>
      <c r="B29" s="18" t="s">
        <v>437</v>
      </c>
      <c r="C29" s="18" t="s">
        <v>438</v>
      </c>
      <c r="D29" s="19">
        <v>3062000</v>
      </c>
      <c r="E29" s="19">
        <v>0</v>
      </c>
      <c r="F29" s="19"/>
      <c r="G29" s="19">
        <v>580</v>
      </c>
      <c r="H29" s="19">
        <v>11.1</v>
      </c>
      <c r="I29" s="19"/>
      <c r="J29" s="19" t="s">
        <v>109</v>
      </c>
      <c r="K29" s="19" t="b">
        <v>0</v>
      </c>
      <c r="L29" s="15">
        <v>2013</v>
      </c>
      <c r="M29" s="16">
        <v>147511239.58</v>
      </c>
      <c r="N29" s="16">
        <v>172499788.22</v>
      </c>
      <c r="O29" s="16">
        <v>179180554.16</v>
      </c>
      <c r="P29" s="16">
        <v>179189854.16</v>
      </c>
      <c r="Q29" s="20">
        <v>41550</v>
      </c>
      <c r="R29" s="20">
        <v>41550</v>
      </c>
    </row>
    <row r="30" spans="1:18" ht="14.25">
      <c r="A30" s="17">
        <v>2013</v>
      </c>
      <c r="B30" s="18" t="s">
        <v>437</v>
      </c>
      <c r="C30" s="18" t="s">
        <v>438</v>
      </c>
      <c r="D30" s="19">
        <v>3062000</v>
      </c>
      <c r="E30" s="19">
        <v>0</v>
      </c>
      <c r="F30" s="19"/>
      <c r="G30" s="19">
        <v>120</v>
      </c>
      <c r="H30" s="19">
        <v>2</v>
      </c>
      <c r="I30" s="19" t="s">
        <v>443</v>
      </c>
      <c r="J30" s="19" t="s">
        <v>19</v>
      </c>
      <c r="K30" s="19" t="b">
        <v>0</v>
      </c>
      <c r="L30" s="15">
        <v>2013</v>
      </c>
      <c r="M30" s="16">
        <v>370539191.17</v>
      </c>
      <c r="N30" s="16">
        <v>378530806.79</v>
      </c>
      <c r="O30" s="16">
        <v>405455981.22</v>
      </c>
      <c r="P30" s="16">
        <v>396396539.83</v>
      </c>
      <c r="Q30" s="20">
        <v>41550</v>
      </c>
      <c r="R30" s="20">
        <v>41550</v>
      </c>
    </row>
    <row r="31" spans="1:18" ht="14.25">
      <c r="A31" s="17">
        <v>2013</v>
      </c>
      <c r="B31" s="18" t="s">
        <v>437</v>
      </c>
      <c r="C31" s="18" t="s">
        <v>438</v>
      </c>
      <c r="D31" s="19">
        <v>3062000</v>
      </c>
      <c r="E31" s="19">
        <v>0</v>
      </c>
      <c r="F31" s="19"/>
      <c r="G31" s="19">
        <v>510</v>
      </c>
      <c r="H31" s="19">
        <v>9.7</v>
      </c>
      <c r="I31" s="19"/>
      <c r="J31" s="19" t="s">
        <v>452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41550</v>
      </c>
      <c r="R31" s="20">
        <v>41550</v>
      </c>
    </row>
    <row r="32" spans="1:18" ht="14.25">
      <c r="A32" s="17">
        <v>2013</v>
      </c>
      <c r="B32" s="18" t="s">
        <v>437</v>
      </c>
      <c r="C32" s="18" t="s">
        <v>438</v>
      </c>
      <c r="D32" s="19">
        <v>3062000</v>
      </c>
      <c r="E32" s="19">
        <v>0</v>
      </c>
      <c r="F32" s="19"/>
      <c r="G32" s="19">
        <v>50</v>
      </c>
      <c r="H32" s="19" t="s">
        <v>43</v>
      </c>
      <c r="I32" s="19"/>
      <c r="J32" s="19" t="s">
        <v>44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41550</v>
      </c>
      <c r="R32" s="20">
        <v>41550</v>
      </c>
    </row>
    <row r="33" spans="1:18" ht="14.25">
      <c r="A33" s="17">
        <v>2013</v>
      </c>
      <c r="B33" s="18" t="s">
        <v>437</v>
      </c>
      <c r="C33" s="18" t="s">
        <v>438</v>
      </c>
      <c r="D33" s="19">
        <v>3062000</v>
      </c>
      <c r="E33" s="19">
        <v>0</v>
      </c>
      <c r="F33" s="19"/>
      <c r="G33" s="19">
        <v>790</v>
      </c>
      <c r="H33" s="19">
        <v>13</v>
      </c>
      <c r="I33" s="19"/>
      <c r="J33" s="19" t="s">
        <v>140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41550</v>
      </c>
      <c r="R33" s="20">
        <v>41550</v>
      </c>
    </row>
    <row r="34" spans="1:18" ht="14.25">
      <c r="A34" s="17">
        <v>2013</v>
      </c>
      <c r="B34" s="18" t="s">
        <v>437</v>
      </c>
      <c r="C34" s="18" t="s">
        <v>438</v>
      </c>
      <c r="D34" s="19">
        <v>3062000</v>
      </c>
      <c r="E34" s="19">
        <v>0</v>
      </c>
      <c r="F34" s="19"/>
      <c r="G34" s="19">
        <v>910</v>
      </c>
      <c r="H34" s="19" t="s">
        <v>152</v>
      </c>
      <c r="I34" s="19"/>
      <c r="J34" s="19" t="s">
        <v>153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41550</v>
      </c>
      <c r="R34" s="20">
        <v>41550</v>
      </c>
    </row>
    <row r="35" spans="1:18" ht="14.25">
      <c r="A35" s="17">
        <v>2013</v>
      </c>
      <c r="B35" s="18" t="s">
        <v>437</v>
      </c>
      <c r="C35" s="18" t="s">
        <v>438</v>
      </c>
      <c r="D35" s="19">
        <v>3062000</v>
      </c>
      <c r="E35" s="19">
        <v>0</v>
      </c>
      <c r="F35" s="19"/>
      <c r="G35" s="19">
        <v>720</v>
      </c>
      <c r="H35" s="19" t="s">
        <v>128</v>
      </c>
      <c r="I35" s="19"/>
      <c r="J35" s="19" t="s">
        <v>129</v>
      </c>
      <c r="K35" s="19" t="b">
        <v>0</v>
      </c>
      <c r="L35" s="15">
        <v>2013</v>
      </c>
      <c r="M35" s="16">
        <v>0</v>
      </c>
      <c r="N35" s="16">
        <v>0</v>
      </c>
      <c r="O35" s="16">
        <v>0</v>
      </c>
      <c r="P35" s="16">
        <v>0</v>
      </c>
      <c r="Q35" s="20">
        <v>41550</v>
      </c>
      <c r="R35" s="20">
        <v>41550</v>
      </c>
    </row>
    <row r="36" spans="1:18" ht="14.25">
      <c r="A36" s="17">
        <v>2013</v>
      </c>
      <c r="B36" s="18" t="s">
        <v>437</v>
      </c>
      <c r="C36" s="18" t="s">
        <v>438</v>
      </c>
      <c r="D36" s="19">
        <v>3062000</v>
      </c>
      <c r="E36" s="19">
        <v>0</v>
      </c>
      <c r="F36" s="19"/>
      <c r="G36" s="19">
        <v>40</v>
      </c>
      <c r="H36" s="19" t="s">
        <v>41</v>
      </c>
      <c r="I36" s="19"/>
      <c r="J36" s="19" t="s">
        <v>42</v>
      </c>
      <c r="K36" s="19" t="b">
        <v>1</v>
      </c>
      <c r="L36" s="15">
        <v>2013</v>
      </c>
      <c r="M36" s="16">
        <v>0</v>
      </c>
      <c r="N36" s="16">
        <v>0</v>
      </c>
      <c r="O36" s="16">
        <v>0</v>
      </c>
      <c r="P36" s="16">
        <v>0</v>
      </c>
      <c r="Q36" s="20">
        <v>41550</v>
      </c>
      <c r="R36" s="20">
        <v>41550</v>
      </c>
    </row>
    <row r="37" spans="1:18" ht="14.25">
      <c r="A37" s="17">
        <v>2013</v>
      </c>
      <c r="B37" s="18" t="s">
        <v>437</v>
      </c>
      <c r="C37" s="18" t="s">
        <v>438</v>
      </c>
      <c r="D37" s="19">
        <v>3062000</v>
      </c>
      <c r="E37" s="19">
        <v>0</v>
      </c>
      <c r="F37" s="19"/>
      <c r="G37" s="19">
        <v>230</v>
      </c>
      <c r="H37" s="19" t="s">
        <v>69</v>
      </c>
      <c r="I37" s="19"/>
      <c r="J37" s="19" t="s">
        <v>70</v>
      </c>
      <c r="K37" s="19" t="b">
        <v>0</v>
      </c>
      <c r="L37" s="15">
        <v>2013</v>
      </c>
      <c r="M37" s="16">
        <v>0</v>
      </c>
      <c r="N37" s="16">
        <v>0</v>
      </c>
      <c r="O37" s="16">
        <v>0</v>
      </c>
      <c r="P37" s="16">
        <v>0</v>
      </c>
      <c r="Q37" s="20">
        <v>41550</v>
      </c>
      <c r="R37" s="20">
        <v>41550</v>
      </c>
    </row>
    <row r="38" spans="1:18" ht="14.25">
      <c r="A38" s="17">
        <v>2013</v>
      </c>
      <c r="B38" s="18" t="s">
        <v>437</v>
      </c>
      <c r="C38" s="18" t="s">
        <v>438</v>
      </c>
      <c r="D38" s="19">
        <v>3062000</v>
      </c>
      <c r="E38" s="19">
        <v>0</v>
      </c>
      <c r="F38" s="19"/>
      <c r="G38" s="19">
        <v>90</v>
      </c>
      <c r="H38" s="19">
        <v>1.2</v>
      </c>
      <c r="I38" s="19"/>
      <c r="J38" s="19" t="s">
        <v>51</v>
      </c>
      <c r="K38" s="19" t="b">
        <v>1</v>
      </c>
      <c r="L38" s="15">
        <v>2013</v>
      </c>
      <c r="M38" s="16">
        <v>19718449.43</v>
      </c>
      <c r="N38" s="16">
        <v>23456727.62</v>
      </c>
      <c r="O38" s="16">
        <v>13633574.46</v>
      </c>
      <c r="P38" s="16">
        <v>24685519.84</v>
      </c>
      <c r="Q38" s="20">
        <v>41550</v>
      </c>
      <c r="R38" s="20">
        <v>41550</v>
      </c>
    </row>
    <row r="39" spans="1:18" ht="14.25">
      <c r="A39" s="17">
        <v>2013</v>
      </c>
      <c r="B39" s="18" t="s">
        <v>437</v>
      </c>
      <c r="C39" s="18" t="s">
        <v>438</v>
      </c>
      <c r="D39" s="19">
        <v>3062000</v>
      </c>
      <c r="E39" s="19">
        <v>0</v>
      </c>
      <c r="F39" s="19"/>
      <c r="G39" s="19">
        <v>470</v>
      </c>
      <c r="H39" s="19">
        <v>9.3</v>
      </c>
      <c r="I39" s="19" t="s">
        <v>450</v>
      </c>
      <c r="J39" s="19" t="s">
        <v>451</v>
      </c>
      <c r="K39" s="19" t="b">
        <v>1</v>
      </c>
      <c r="L39" s="15">
        <v>2013</v>
      </c>
      <c r="M39" s="16">
        <v>0.0497</v>
      </c>
      <c r="N39" s="16">
        <v>0.0638</v>
      </c>
      <c r="O39" s="16">
        <v>0.0749</v>
      </c>
      <c r="P39" s="16">
        <v>0.0742</v>
      </c>
      <c r="Q39" s="20">
        <v>41550</v>
      </c>
      <c r="R39" s="20">
        <v>41550</v>
      </c>
    </row>
    <row r="40" spans="1:18" ht="14.25">
      <c r="A40" s="17">
        <v>2013</v>
      </c>
      <c r="B40" s="18" t="s">
        <v>437</v>
      </c>
      <c r="C40" s="18" t="s">
        <v>438</v>
      </c>
      <c r="D40" s="19">
        <v>3062000</v>
      </c>
      <c r="E40" s="19">
        <v>0</v>
      </c>
      <c r="F40" s="19"/>
      <c r="G40" s="19">
        <v>870</v>
      </c>
      <c r="H40" s="19">
        <v>14</v>
      </c>
      <c r="I40" s="19"/>
      <c r="J40" s="19" t="s">
        <v>148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41550</v>
      </c>
      <c r="R40" s="20">
        <v>41550</v>
      </c>
    </row>
    <row r="41" spans="1:18" ht="14.25">
      <c r="A41" s="17">
        <v>2013</v>
      </c>
      <c r="B41" s="18" t="s">
        <v>437</v>
      </c>
      <c r="C41" s="18" t="s">
        <v>438</v>
      </c>
      <c r="D41" s="19">
        <v>3062000</v>
      </c>
      <c r="E41" s="19">
        <v>0</v>
      </c>
      <c r="F41" s="19"/>
      <c r="G41" s="19">
        <v>690</v>
      </c>
      <c r="H41" s="19" t="s">
        <v>123</v>
      </c>
      <c r="I41" s="19"/>
      <c r="J41" s="19" t="s">
        <v>124</v>
      </c>
      <c r="K41" s="19" t="b">
        <v>1</v>
      </c>
      <c r="L41" s="15">
        <v>2013</v>
      </c>
      <c r="M41" s="16">
        <v>0</v>
      </c>
      <c r="N41" s="16">
        <v>0</v>
      </c>
      <c r="O41" s="16">
        <v>0</v>
      </c>
      <c r="P41" s="16">
        <v>0</v>
      </c>
      <c r="Q41" s="20">
        <v>41550</v>
      </c>
      <c r="R41" s="20">
        <v>41550</v>
      </c>
    </row>
    <row r="42" spans="1:18" ht="14.25">
      <c r="A42" s="17">
        <v>2013</v>
      </c>
      <c r="B42" s="18" t="s">
        <v>437</v>
      </c>
      <c r="C42" s="18" t="s">
        <v>438</v>
      </c>
      <c r="D42" s="19">
        <v>3062000</v>
      </c>
      <c r="E42" s="19">
        <v>0</v>
      </c>
      <c r="F42" s="19"/>
      <c r="G42" s="19">
        <v>190</v>
      </c>
      <c r="H42" s="19">
        <v>2.2</v>
      </c>
      <c r="I42" s="19"/>
      <c r="J42" s="19" t="s">
        <v>67</v>
      </c>
      <c r="K42" s="19" t="b">
        <v>0</v>
      </c>
      <c r="L42" s="15">
        <v>2013</v>
      </c>
      <c r="M42" s="16">
        <v>64825843.71</v>
      </c>
      <c r="N42" s="16">
        <v>52814271.08</v>
      </c>
      <c r="O42" s="16">
        <v>54315701.46</v>
      </c>
      <c r="P42" s="16">
        <v>47301107.88</v>
      </c>
      <c r="Q42" s="20">
        <v>41550</v>
      </c>
      <c r="R42" s="20">
        <v>41550</v>
      </c>
    </row>
    <row r="43" spans="1:18" ht="14.25">
      <c r="A43" s="17">
        <v>2013</v>
      </c>
      <c r="B43" s="18" t="s">
        <v>437</v>
      </c>
      <c r="C43" s="18" t="s">
        <v>438</v>
      </c>
      <c r="D43" s="19">
        <v>3062000</v>
      </c>
      <c r="E43" s="19">
        <v>0</v>
      </c>
      <c r="F43" s="19"/>
      <c r="G43" s="19">
        <v>260</v>
      </c>
      <c r="H43" s="19">
        <v>4.3</v>
      </c>
      <c r="I43" s="19"/>
      <c r="J43" s="19" t="s">
        <v>74</v>
      </c>
      <c r="K43" s="19" t="b">
        <v>1</v>
      </c>
      <c r="L43" s="15">
        <v>2013</v>
      </c>
      <c r="M43" s="16">
        <v>37726000</v>
      </c>
      <c r="N43" s="16">
        <v>34000000</v>
      </c>
      <c r="O43" s="16">
        <v>44822000</v>
      </c>
      <c r="P43" s="16">
        <v>42000000</v>
      </c>
      <c r="Q43" s="20">
        <v>41550</v>
      </c>
      <c r="R43" s="20">
        <v>41550</v>
      </c>
    </row>
    <row r="44" spans="1:18" ht="14.25">
      <c r="A44" s="17">
        <v>2013</v>
      </c>
      <c r="B44" s="18" t="s">
        <v>437</v>
      </c>
      <c r="C44" s="18" t="s">
        <v>438</v>
      </c>
      <c r="D44" s="19">
        <v>3062000</v>
      </c>
      <c r="E44" s="19">
        <v>0</v>
      </c>
      <c r="F44" s="19"/>
      <c r="G44" s="19">
        <v>860</v>
      </c>
      <c r="H44" s="19">
        <v>13.7</v>
      </c>
      <c r="I44" s="19"/>
      <c r="J44" s="19" t="s">
        <v>147</v>
      </c>
      <c r="K44" s="19" t="b">
        <v>1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41550</v>
      </c>
      <c r="R44" s="20">
        <v>41550</v>
      </c>
    </row>
    <row r="45" spans="1:18" ht="14.25">
      <c r="A45" s="17">
        <v>2013</v>
      </c>
      <c r="B45" s="18" t="s">
        <v>437</v>
      </c>
      <c r="C45" s="18" t="s">
        <v>438</v>
      </c>
      <c r="D45" s="19">
        <v>3062000</v>
      </c>
      <c r="E45" s="19">
        <v>0</v>
      </c>
      <c r="F45" s="19"/>
      <c r="G45" s="19">
        <v>590</v>
      </c>
      <c r="H45" s="19">
        <v>11.2</v>
      </c>
      <c r="I45" s="19"/>
      <c r="J45" s="19" t="s">
        <v>110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41550</v>
      </c>
      <c r="R45" s="20">
        <v>41550</v>
      </c>
    </row>
    <row r="46" spans="1:18" ht="14.25">
      <c r="A46" s="17">
        <v>2013</v>
      </c>
      <c r="B46" s="18" t="s">
        <v>437</v>
      </c>
      <c r="C46" s="18" t="s">
        <v>438</v>
      </c>
      <c r="D46" s="19">
        <v>3062000</v>
      </c>
      <c r="E46" s="19">
        <v>0</v>
      </c>
      <c r="F46" s="19"/>
      <c r="G46" s="19">
        <v>280</v>
      </c>
      <c r="H46" s="19">
        <v>4.4</v>
      </c>
      <c r="I46" s="19"/>
      <c r="J46" s="19" t="s">
        <v>76</v>
      </c>
      <c r="K46" s="19" t="b">
        <v>0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41550</v>
      </c>
      <c r="R46" s="20">
        <v>41550</v>
      </c>
    </row>
    <row r="47" spans="1:18" ht="14.25">
      <c r="A47" s="17">
        <v>2013</v>
      </c>
      <c r="B47" s="18" t="s">
        <v>437</v>
      </c>
      <c r="C47" s="18" t="s">
        <v>438</v>
      </c>
      <c r="D47" s="19">
        <v>3062000</v>
      </c>
      <c r="E47" s="19">
        <v>0</v>
      </c>
      <c r="F47" s="19"/>
      <c r="G47" s="19">
        <v>320</v>
      </c>
      <c r="H47" s="19" t="s">
        <v>80</v>
      </c>
      <c r="I47" s="19"/>
      <c r="J47" s="19" t="s">
        <v>459</v>
      </c>
      <c r="K47" s="19" t="b">
        <v>1</v>
      </c>
      <c r="L47" s="15">
        <v>2013</v>
      </c>
      <c r="M47" s="16">
        <v>0</v>
      </c>
      <c r="N47" s="16">
        <v>0</v>
      </c>
      <c r="O47" s="16">
        <v>0</v>
      </c>
      <c r="P47" s="16">
        <v>0</v>
      </c>
      <c r="Q47" s="20">
        <v>41550</v>
      </c>
      <c r="R47" s="20">
        <v>41550</v>
      </c>
    </row>
    <row r="48" spans="1:18" ht="14.25">
      <c r="A48" s="17">
        <v>2013</v>
      </c>
      <c r="B48" s="18" t="s">
        <v>437</v>
      </c>
      <c r="C48" s="18" t="s">
        <v>438</v>
      </c>
      <c r="D48" s="19">
        <v>3062000</v>
      </c>
      <c r="E48" s="19">
        <v>0</v>
      </c>
      <c r="F48" s="19"/>
      <c r="G48" s="19">
        <v>760</v>
      </c>
      <c r="H48" s="19">
        <v>12.4</v>
      </c>
      <c r="I48" s="19"/>
      <c r="J48" s="19" t="s">
        <v>135</v>
      </c>
      <c r="K48" s="19" t="b">
        <v>1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41550</v>
      </c>
      <c r="R48" s="20">
        <v>41550</v>
      </c>
    </row>
    <row r="49" spans="1:18" ht="14.25">
      <c r="A49" s="17">
        <v>2013</v>
      </c>
      <c r="B49" s="18" t="s">
        <v>437</v>
      </c>
      <c r="C49" s="18" t="s">
        <v>438</v>
      </c>
      <c r="D49" s="19">
        <v>3062000</v>
      </c>
      <c r="E49" s="19">
        <v>0</v>
      </c>
      <c r="F49" s="19"/>
      <c r="G49" s="19">
        <v>290</v>
      </c>
      <c r="H49" s="19" t="s">
        <v>77</v>
      </c>
      <c r="I49" s="19"/>
      <c r="J49" s="19" t="s">
        <v>73</v>
      </c>
      <c r="K49" s="19" t="b">
        <v>0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41550</v>
      </c>
      <c r="R49" s="20">
        <v>41550</v>
      </c>
    </row>
    <row r="50" spans="1:18" ht="14.25">
      <c r="A50" s="17">
        <v>2013</v>
      </c>
      <c r="B50" s="18" t="s">
        <v>437</v>
      </c>
      <c r="C50" s="18" t="s">
        <v>438</v>
      </c>
      <c r="D50" s="19">
        <v>3062000</v>
      </c>
      <c r="E50" s="19">
        <v>0</v>
      </c>
      <c r="F50" s="19"/>
      <c r="G50" s="19">
        <v>570</v>
      </c>
      <c r="H50" s="19">
        <v>11</v>
      </c>
      <c r="I50" s="19"/>
      <c r="J50" s="19" t="s">
        <v>108</v>
      </c>
      <c r="K50" s="19" t="b">
        <v>0</v>
      </c>
      <c r="L50" s="15">
        <v>2013</v>
      </c>
      <c r="M50" s="16">
        <v>0</v>
      </c>
      <c r="N50" s="16">
        <v>0</v>
      </c>
      <c r="O50" s="16">
        <v>0</v>
      </c>
      <c r="P50" s="16">
        <v>0</v>
      </c>
      <c r="Q50" s="20">
        <v>41550</v>
      </c>
      <c r="R50" s="20">
        <v>41550</v>
      </c>
    </row>
    <row r="51" spans="1:18" ht="14.25">
      <c r="A51" s="17">
        <v>2013</v>
      </c>
      <c r="B51" s="18" t="s">
        <v>437</v>
      </c>
      <c r="C51" s="18" t="s">
        <v>438</v>
      </c>
      <c r="D51" s="19">
        <v>3062000</v>
      </c>
      <c r="E51" s="19">
        <v>0</v>
      </c>
      <c r="F51" s="19"/>
      <c r="G51" s="19">
        <v>520</v>
      </c>
      <c r="H51" s="19" t="s">
        <v>101</v>
      </c>
      <c r="I51" s="19"/>
      <c r="J51" s="19" t="s">
        <v>449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41550</v>
      </c>
      <c r="R51" s="20">
        <v>41550</v>
      </c>
    </row>
    <row r="52" spans="1:18" ht="14.25">
      <c r="A52" s="17">
        <v>2013</v>
      </c>
      <c r="B52" s="18" t="s">
        <v>437</v>
      </c>
      <c r="C52" s="18" t="s">
        <v>438</v>
      </c>
      <c r="D52" s="19">
        <v>3062000</v>
      </c>
      <c r="E52" s="19">
        <v>0</v>
      </c>
      <c r="F52" s="19"/>
      <c r="G52" s="19">
        <v>60</v>
      </c>
      <c r="H52" s="19" t="s">
        <v>45</v>
      </c>
      <c r="I52" s="19"/>
      <c r="J52" s="19" t="s">
        <v>46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41550</v>
      </c>
      <c r="R52" s="20">
        <v>41550</v>
      </c>
    </row>
    <row r="53" spans="1:18" ht="14.25">
      <c r="A53" s="17">
        <v>2013</v>
      </c>
      <c r="B53" s="18" t="s">
        <v>437</v>
      </c>
      <c r="C53" s="18" t="s">
        <v>438</v>
      </c>
      <c r="D53" s="19">
        <v>3062000</v>
      </c>
      <c r="E53" s="19">
        <v>0</v>
      </c>
      <c r="F53" s="19"/>
      <c r="G53" s="19">
        <v>880</v>
      </c>
      <c r="H53" s="19">
        <v>14.1</v>
      </c>
      <c r="I53" s="19"/>
      <c r="J53" s="19" t="s">
        <v>149</v>
      </c>
      <c r="K53" s="19" t="b">
        <v>1</v>
      </c>
      <c r="L53" s="15">
        <v>2013</v>
      </c>
      <c r="M53" s="16">
        <v>0</v>
      </c>
      <c r="N53" s="16">
        <v>0</v>
      </c>
      <c r="O53" s="16">
        <v>0</v>
      </c>
      <c r="P53" s="16">
        <v>24179068.76</v>
      </c>
      <c r="Q53" s="20">
        <v>41550</v>
      </c>
      <c r="R53" s="20">
        <v>41550</v>
      </c>
    </row>
    <row r="54" spans="1:18" ht="14.25">
      <c r="A54" s="17">
        <v>2013</v>
      </c>
      <c r="B54" s="18" t="s">
        <v>437</v>
      </c>
      <c r="C54" s="18" t="s">
        <v>438</v>
      </c>
      <c r="D54" s="19">
        <v>3062000</v>
      </c>
      <c r="E54" s="19">
        <v>0</v>
      </c>
      <c r="F54" s="19"/>
      <c r="G54" s="19">
        <v>610</v>
      </c>
      <c r="H54" s="19" t="s">
        <v>112</v>
      </c>
      <c r="I54" s="19"/>
      <c r="J54" s="19" t="s">
        <v>113</v>
      </c>
      <c r="K54" s="19" t="b">
        <v>1</v>
      </c>
      <c r="L54" s="15">
        <v>2013</v>
      </c>
      <c r="M54" s="16">
        <v>0</v>
      </c>
      <c r="N54" s="16">
        <v>9948267.62</v>
      </c>
      <c r="O54" s="16">
        <v>13591790.28</v>
      </c>
      <c r="P54" s="16">
        <v>13591790.28</v>
      </c>
      <c r="Q54" s="20">
        <v>41550</v>
      </c>
      <c r="R54" s="20">
        <v>41550</v>
      </c>
    </row>
    <row r="55" spans="1:18" ht="14.25">
      <c r="A55" s="17">
        <v>2013</v>
      </c>
      <c r="B55" s="18" t="s">
        <v>437</v>
      </c>
      <c r="C55" s="18" t="s">
        <v>438</v>
      </c>
      <c r="D55" s="19">
        <v>3062000</v>
      </c>
      <c r="E55" s="19">
        <v>0</v>
      </c>
      <c r="F55" s="19"/>
      <c r="G55" s="19">
        <v>930</v>
      </c>
      <c r="H55" s="19" t="s">
        <v>156</v>
      </c>
      <c r="I55" s="19"/>
      <c r="J55" s="19" t="s">
        <v>157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41550</v>
      </c>
      <c r="R55" s="20">
        <v>41550</v>
      </c>
    </row>
    <row r="56" spans="1:18" ht="14.25">
      <c r="A56" s="17">
        <v>2013</v>
      </c>
      <c r="B56" s="18" t="s">
        <v>437</v>
      </c>
      <c r="C56" s="18" t="s">
        <v>438</v>
      </c>
      <c r="D56" s="19">
        <v>3062000</v>
      </c>
      <c r="E56" s="19">
        <v>0</v>
      </c>
      <c r="F56" s="19"/>
      <c r="G56" s="19">
        <v>600</v>
      </c>
      <c r="H56" s="19">
        <v>11.3</v>
      </c>
      <c r="I56" s="19" t="s">
        <v>439</v>
      </c>
      <c r="J56" s="19" t="s">
        <v>111</v>
      </c>
      <c r="K56" s="19" t="b">
        <v>1</v>
      </c>
      <c r="L56" s="15">
        <v>2013</v>
      </c>
      <c r="M56" s="16">
        <v>0</v>
      </c>
      <c r="N56" s="16">
        <v>19683480.59</v>
      </c>
      <c r="O56" s="16">
        <v>43910083.25</v>
      </c>
      <c r="P56" s="16">
        <v>43910083.25</v>
      </c>
      <c r="Q56" s="20">
        <v>41550</v>
      </c>
      <c r="R56" s="20">
        <v>41550</v>
      </c>
    </row>
    <row r="57" spans="1:18" ht="14.25">
      <c r="A57" s="17">
        <v>2013</v>
      </c>
      <c r="B57" s="18" t="s">
        <v>437</v>
      </c>
      <c r="C57" s="18" t="s">
        <v>438</v>
      </c>
      <c r="D57" s="19">
        <v>3062000</v>
      </c>
      <c r="E57" s="19">
        <v>0</v>
      </c>
      <c r="F57" s="19"/>
      <c r="G57" s="19">
        <v>630</v>
      </c>
      <c r="H57" s="19">
        <v>11.4</v>
      </c>
      <c r="I57" s="19"/>
      <c r="J57" s="19" t="s">
        <v>116</v>
      </c>
      <c r="K57" s="19" t="b">
        <v>1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41550</v>
      </c>
      <c r="R57" s="20">
        <v>41550</v>
      </c>
    </row>
    <row r="58" spans="1:18" ht="14.25">
      <c r="A58" s="17">
        <v>2013</v>
      </c>
      <c r="B58" s="18" t="s">
        <v>437</v>
      </c>
      <c r="C58" s="18" t="s">
        <v>438</v>
      </c>
      <c r="D58" s="19">
        <v>3062000</v>
      </c>
      <c r="E58" s="19">
        <v>0</v>
      </c>
      <c r="F58" s="19"/>
      <c r="G58" s="19">
        <v>640</v>
      </c>
      <c r="H58" s="19">
        <v>11.5</v>
      </c>
      <c r="I58" s="19"/>
      <c r="J58" s="19" t="s">
        <v>117</v>
      </c>
      <c r="K58" s="19" t="b">
        <v>1</v>
      </c>
      <c r="L58" s="15">
        <v>2013</v>
      </c>
      <c r="M58" s="16">
        <v>0</v>
      </c>
      <c r="N58" s="16">
        <v>0</v>
      </c>
      <c r="O58" s="16">
        <v>0</v>
      </c>
      <c r="P58" s="16">
        <v>0</v>
      </c>
      <c r="Q58" s="20">
        <v>41550</v>
      </c>
      <c r="R58" s="20">
        <v>41550</v>
      </c>
    </row>
    <row r="59" spans="1:18" ht="14.25">
      <c r="A59" s="17">
        <v>2013</v>
      </c>
      <c r="B59" s="18" t="s">
        <v>437</v>
      </c>
      <c r="C59" s="18" t="s">
        <v>438</v>
      </c>
      <c r="D59" s="19">
        <v>3062000</v>
      </c>
      <c r="E59" s="19">
        <v>0</v>
      </c>
      <c r="F59" s="19"/>
      <c r="G59" s="19">
        <v>110</v>
      </c>
      <c r="H59" s="19" t="s">
        <v>54</v>
      </c>
      <c r="I59" s="19"/>
      <c r="J59" s="19" t="s">
        <v>55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41550</v>
      </c>
      <c r="R59" s="20">
        <v>41550</v>
      </c>
    </row>
    <row r="60" spans="1:18" ht="14.25">
      <c r="A60" s="17">
        <v>2013</v>
      </c>
      <c r="B60" s="18" t="s">
        <v>437</v>
      </c>
      <c r="C60" s="18" t="s">
        <v>438</v>
      </c>
      <c r="D60" s="19">
        <v>3062000</v>
      </c>
      <c r="E60" s="19">
        <v>0</v>
      </c>
      <c r="F60" s="19"/>
      <c r="G60" s="19">
        <v>750</v>
      </c>
      <c r="H60" s="19" t="s">
        <v>133</v>
      </c>
      <c r="I60" s="19"/>
      <c r="J60" s="19" t="s">
        <v>134</v>
      </c>
      <c r="K60" s="19" t="b">
        <v>0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41550</v>
      </c>
      <c r="R60" s="20">
        <v>41550</v>
      </c>
    </row>
    <row r="61" spans="1:18" ht="14.25">
      <c r="A61" s="17">
        <v>2013</v>
      </c>
      <c r="B61" s="18" t="s">
        <v>437</v>
      </c>
      <c r="C61" s="18" t="s">
        <v>438</v>
      </c>
      <c r="D61" s="19">
        <v>3062000</v>
      </c>
      <c r="E61" s="19">
        <v>0</v>
      </c>
      <c r="F61" s="19"/>
      <c r="G61" s="19">
        <v>170</v>
      </c>
      <c r="H61" s="19" t="s">
        <v>63</v>
      </c>
      <c r="I61" s="19"/>
      <c r="J61" s="19" t="s">
        <v>64</v>
      </c>
      <c r="K61" s="19" t="b">
        <v>1</v>
      </c>
      <c r="L61" s="15">
        <v>2013</v>
      </c>
      <c r="M61" s="16">
        <v>2707118.11</v>
      </c>
      <c r="N61" s="16">
        <v>4192438.07</v>
      </c>
      <c r="O61" s="16">
        <v>7405000</v>
      </c>
      <c r="P61" s="16">
        <v>5127565.18</v>
      </c>
      <c r="Q61" s="20">
        <v>41550</v>
      </c>
      <c r="R61" s="20">
        <v>41550</v>
      </c>
    </row>
    <row r="62" spans="1:18" ht="14.25">
      <c r="A62" s="17">
        <v>2013</v>
      </c>
      <c r="B62" s="18" t="s">
        <v>437</v>
      </c>
      <c r="C62" s="18" t="s">
        <v>438</v>
      </c>
      <c r="D62" s="19">
        <v>3062000</v>
      </c>
      <c r="E62" s="19">
        <v>0</v>
      </c>
      <c r="F62" s="19"/>
      <c r="G62" s="19">
        <v>710</v>
      </c>
      <c r="H62" s="19" t="s">
        <v>126</v>
      </c>
      <c r="I62" s="19"/>
      <c r="J62" s="19" t="s">
        <v>127</v>
      </c>
      <c r="K62" s="19" t="b">
        <v>0</v>
      </c>
      <c r="L62" s="15">
        <v>2013</v>
      </c>
      <c r="M62" s="16">
        <v>1225741.76</v>
      </c>
      <c r="N62" s="16">
        <v>11769688.29</v>
      </c>
      <c r="O62" s="16">
        <v>2053733.92</v>
      </c>
      <c r="P62" s="16">
        <v>2053733.92</v>
      </c>
      <c r="Q62" s="20">
        <v>41550</v>
      </c>
      <c r="R62" s="20">
        <v>41550</v>
      </c>
    </row>
    <row r="63" spans="1:18" ht="14.25">
      <c r="A63" s="17">
        <v>2013</v>
      </c>
      <c r="B63" s="18" t="s">
        <v>437</v>
      </c>
      <c r="C63" s="18" t="s">
        <v>438</v>
      </c>
      <c r="D63" s="19">
        <v>3062000</v>
      </c>
      <c r="E63" s="19">
        <v>0</v>
      </c>
      <c r="F63" s="19"/>
      <c r="G63" s="19">
        <v>30</v>
      </c>
      <c r="H63" s="19" t="s">
        <v>39</v>
      </c>
      <c r="I63" s="19"/>
      <c r="J63" s="19" t="s">
        <v>40</v>
      </c>
      <c r="K63" s="19" t="b">
        <v>1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41550</v>
      </c>
      <c r="R63" s="20">
        <v>41550</v>
      </c>
    </row>
    <row r="64" spans="1:18" ht="14.25">
      <c r="A64" s="17">
        <v>2013</v>
      </c>
      <c r="B64" s="18" t="s">
        <v>437</v>
      </c>
      <c r="C64" s="18" t="s">
        <v>438</v>
      </c>
      <c r="D64" s="19">
        <v>3062000</v>
      </c>
      <c r="E64" s="19">
        <v>0</v>
      </c>
      <c r="F64" s="19"/>
      <c r="G64" s="19">
        <v>430</v>
      </c>
      <c r="H64" s="19">
        <v>8.2</v>
      </c>
      <c r="I64" s="19" t="s">
        <v>447</v>
      </c>
      <c r="J64" s="19" t="s">
        <v>92</v>
      </c>
      <c r="K64" s="19" t="b">
        <v>0</v>
      </c>
      <c r="L64" s="15">
        <v>2013</v>
      </c>
      <c r="M64" s="16">
        <v>13863114.66</v>
      </c>
      <c r="N64" s="16">
        <v>20484622.63</v>
      </c>
      <c r="O64" s="16">
        <v>16929195.84</v>
      </c>
      <c r="P64" s="16">
        <v>26507270.72</v>
      </c>
      <c r="Q64" s="20">
        <v>41550</v>
      </c>
      <c r="R64" s="20">
        <v>41550</v>
      </c>
    </row>
    <row r="65" spans="1:18" ht="14.25">
      <c r="A65" s="17">
        <v>2013</v>
      </c>
      <c r="B65" s="18" t="s">
        <v>437</v>
      </c>
      <c r="C65" s="18" t="s">
        <v>438</v>
      </c>
      <c r="D65" s="19">
        <v>3062000</v>
      </c>
      <c r="E65" s="19">
        <v>0</v>
      </c>
      <c r="F65" s="19"/>
      <c r="G65" s="19">
        <v>830</v>
      </c>
      <c r="H65" s="19">
        <v>13.4</v>
      </c>
      <c r="I65" s="19"/>
      <c r="J65" s="19" t="s">
        <v>144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41550</v>
      </c>
      <c r="R65" s="20">
        <v>41550</v>
      </c>
    </row>
    <row r="66" spans="1:18" ht="14.25">
      <c r="A66" s="17">
        <v>2013</v>
      </c>
      <c r="B66" s="18" t="s">
        <v>437</v>
      </c>
      <c r="C66" s="18" t="s">
        <v>438</v>
      </c>
      <c r="D66" s="19">
        <v>3062000</v>
      </c>
      <c r="E66" s="19">
        <v>0</v>
      </c>
      <c r="F66" s="19"/>
      <c r="G66" s="19">
        <v>490</v>
      </c>
      <c r="H66" s="19">
        <v>9.5</v>
      </c>
      <c r="I66" s="19"/>
      <c r="J66" s="19" t="s">
        <v>96</v>
      </c>
      <c r="K66" s="19" t="b">
        <v>1</v>
      </c>
      <c r="L66" s="15">
        <v>2013</v>
      </c>
      <c r="M66" s="16">
        <v>0</v>
      </c>
      <c r="N66" s="16">
        <v>0</v>
      </c>
      <c r="O66" s="16">
        <v>0</v>
      </c>
      <c r="P66" s="16">
        <v>0</v>
      </c>
      <c r="Q66" s="20">
        <v>41550</v>
      </c>
      <c r="R66" s="20">
        <v>41550</v>
      </c>
    </row>
    <row r="67" spans="1:18" ht="14.25">
      <c r="A67" s="17">
        <v>2013</v>
      </c>
      <c r="B67" s="18" t="s">
        <v>437</v>
      </c>
      <c r="C67" s="18" t="s">
        <v>438</v>
      </c>
      <c r="D67" s="19">
        <v>3062000</v>
      </c>
      <c r="E67" s="19">
        <v>0</v>
      </c>
      <c r="F67" s="19"/>
      <c r="G67" s="19">
        <v>140</v>
      </c>
      <c r="H67" s="19" t="s">
        <v>57</v>
      </c>
      <c r="I67" s="19"/>
      <c r="J67" s="19" t="s">
        <v>58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41550</v>
      </c>
      <c r="R67" s="20">
        <v>41550</v>
      </c>
    </row>
    <row r="68" spans="1:18" ht="14.25">
      <c r="A68" s="17">
        <v>2013</v>
      </c>
      <c r="B68" s="18" t="s">
        <v>437</v>
      </c>
      <c r="C68" s="18" t="s">
        <v>438</v>
      </c>
      <c r="D68" s="19">
        <v>3062000</v>
      </c>
      <c r="E68" s="19">
        <v>0</v>
      </c>
      <c r="F68" s="19"/>
      <c r="G68" s="19">
        <v>240</v>
      </c>
      <c r="H68" s="19">
        <v>4.2</v>
      </c>
      <c r="I68" s="19"/>
      <c r="J68" s="19" t="s">
        <v>71</v>
      </c>
      <c r="K68" s="19" t="b">
        <v>0</v>
      </c>
      <c r="L68" s="15">
        <v>2013</v>
      </c>
      <c r="M68" s="16">
        <v>0</v>
      </c>
      <c r="N68" s="16">
        <v>2770000</v>
      </c>
      <c r="O68" s="16">
        <v>5799064</v>
      </c>
      <c r="P68" s="16">
        <v>5799064</v>
      </c>
      <c r="Q68" s="20">
        <v>41550</v>
      </c>
      <c r="R68" s="20">
        <v>41550</v>
      </c>
    </row>
    <row r="69" spans="1:18" ht="14.25">
      <c r="A69" s="17">
        <v>2013</v>
      </c>
      <c r="B69" s="18" t="s">
        <v>437</v>
      </c>
      <c r="C69" s="18" t="s">
        <v>438</v>
      </c>
      <c r="D69" s="19">
        <v>3062000</v>
      </c>
      <c r="E69" s="19">
        <v>0</v>
      </c>
      <c r="F69" s="19"/>
      <c r="G69" s="19">
        <v>10</v>
      </c>
      <c r="H69" s="19">
        <v>1</v>
      </c>
      <c r="I69" s="19" t="s">
        <v>448</v>
      </c>
      <c r="J69" s="19" t="s">
        <v>24</v>
      </c>
      <c r="K69" s="19" t="b">
        <v>1</v>
      </c>
      <c r="L69" s="15">
        <v>2013</v>
      </c>
      <c r="M69" s="16">
        <v>339294911.55</v>
      </c>
      <c r="N69" s="16">
        <v>366887885.96</v>
      </c>
      <c r="O69" s="16">
        <v>375903986.06</v>
      </c>
      <c r="P69" s="16">
        <v>394489158.51</v>
      </c>
      <c r="Q69" s="20">
        <v>41550</v>
      </c>
      <c r="R69" s="20">
        <v>41550</v>
      </c>
    </row>
    <row r="70" spans="1:18" ht="14.25">
      <c r="A70" s="17">
        <v>2013</v>
      </c>
      <c r="B70" s="18" t="s">
        <v>437</v>
      </c>
      <c r="C70" s="18" t="s">
        <v>438</v>
      </c>
      <c r="D70" s="19">
        <v>3062000</v>
      </c>
      <c r="E70" s="19">
        <v>0</v>
      </c>
      <c r="F70" s="19"/>
      <c r="G70" s="19">
        <v>660</v>
      </c>
      <c r="H70" s="19">
        <v>12</v>
      </c>
      <c r="I70" s="19"/>
      <c r="J70" s="19" t="s">
        <v>119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41550</v>
      </c>
      <c r="R70" s="20">
        <v>41550</v>
      </c>
    </row>
    <row r="71" spans="1:18" ht="14.25">
      <c r="A71" s="17">
        <v>2013</v>
      </c>
      <c r="B71" s="18" t="s">
        <v>437</v>
      </c>
      <c r="C71" s="18" t="s">
        <v>438</v>
      </c>
      <c r="D71" s="19">
        <v>3062000</v>
      </c>
      <c r="E71" s="19">
        <v>0</v>
      </c>
      <c r="F71" s="19"/>
      <c r="G71" s="19">
        <v>210</v>
      </c>
      <c r="H71" s="19">
        <v>4</v>
      </c>
      <c r="I71" s="19" t="s">
        <v>456</v>
      </c>
      <c r="J71" s="19" t="s">
        <v>22</v>
      </c>
      <c r="K71" s="19" t="b">
        <v>0</v>
      </c>
      <c r="L71" s="15">
        <v>2013</v>
      </c>
      <c r="M71" s="16">
        <v>37726000</v>
      </c>
      <c r="N71" s="16">
        <v>36770000</v>
      </c>
      <c r="O71" s="16">
        <v>50621064</v>
      </c>
      <c r="P71" s="16">
        <v>47799064</v>
      </c>
      <c r="Q71" s="20">
        <v>41550</v>
      </c>
      <c r="R71" s="20">
        <v>41550</v>
      </c>
    </row>
    <row r="72" spans="1:18" ht="14.25">
      <c r="A72" s="17">
        <v>2013</v>
      </c>
      <c r="B72" s="18" t="s">
        <v>437</v>
      </c>
      <c r="C72" s="18" t="s">
        <v>438</v>
      </c>
      <c r="D72" s="19">
        <v>3062000</v>
      </c>
      <c r="E72" s="19">
        <v>0</v>
      </c>
      <c r="F72" s="19"/>
      <c r="G72" s="19">
        <v>270</v>
      </c>
      <c r="H72" s="19" t="s">
        <v>75</v>
      </c>
      <c r="I72" s="19"/>
      <c r="J72" s="19" t="s">
        <v>73</v>
      </c>
      <c r="K72" s="19" t="b">
        <v>1</v>
      </c>
      <c r="L72" s="15">
        <v>2013</v>
      </c>
      <c r="M72" s="16">
        <v>0</v>
      </c>
      <c r="N72" s="16">
        <v>11642920.83</v>
      </c>
      <c r="O72" s="16">
        <v>23752931.16</v>
      </c>
      <c r="P72" s="16">
        <v>23619995.24</v>
      </c>
      <c r="Q72" s="20">
        <v>41550</v>
      </c>
      <c r="R72" s="20">
        <v>41550</v>
      </c>
    </row>
    <row r="73" spans="1:18" ht="14.25">
      <c r="A73" s="17">
        <v>2013</v>
      </c>
      <c r="B73" s="18" t="s">
        <v>437</v>
      </c>
      <c r="C73" s="18" t="s">
        <v>438</v>
      </c>
      <c r="D73" s="19">
        <v>3062000</v>
      </c>
      <c r="E73" s="19">
        <v>0</v>
      </c>
      <c r="F73" s="19"/>
      <c r="G73" s="19">
        <v>80</v>
      </c>
      <c r="H73" s="19" t="s">
        <v>49</v>
      </c>
      <c r="I73" s="19"/>
      <c r="J73" s="19" t="s">
        <v>50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41550</v>
      </c>
      <c r="R73" s="20">
        <v>41550</v>
      </c>
    </row>
    <row r="74" spans="1:18" ht="14.25">
      <c r="A74" s="17">
        <v>2013</v>
      </c>
      <c r="B74" s="18" t="s">
        <v>437</v>
      </c>
      <c r="C74" s="18" t="s">
        <v>438</v>
      </c>
      <c r="D74" s="19">
        <v>3062000</v>
      </c>
      <c r="E74" s="19">
        <v>0</v>
      </c>
      <c r="F74" s="19"/>
      <c r="G74" s="19">
        <v>900</v>
      </c>
      <c r="H74" s="19">
        <v>14.3</v>
      </c>
      <c r="I74" s="19"/>
      <c r="J74" s="19" t="s">
        <v>151</v>
      </c>
      <c r="K74" s="19" t="b">
        <v>1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41550</v>
      </c>
      <c r="R74" s="20">
        <v>41550</v>
      </c>
    </row>
    <row r="75" spans="1:18" ht="14.25">
      <c r="A75" s="17">
        <v>2013</v>
      </c>
      <c r="B75" s="18" t="s">
        <v>437</v>
      </c>
      <c r="C75" s="18" t="s">
        <v>438</v>
      </c>
      <c r="D75" s="19">
        <v>3062000</v>
      </c>
      <c r="E75" s="19">
        <v>0</v>
      </c>
      <c r="F75" s="19"/>
      <c r="G75" s="19">
        <v>330</v>
      </c>
      <c r="H75" s="19" t="s">
        <v>82</v>
      </c>
      <c r="I75" s="19"/>
      <c r="J75" s="19" t="s">
        <v>83</v>
      </c>
      <c r="K75" s="19" t="b">
        <v>1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41550</v>
      </c>
      <c r="R75" s="20">
        <v>41550</v>
      </c>
    </row>
    <row r="76" spans="1:18" ht="14.25">
      <c r="A76" s="17">
        <v>2013</v>
      </c>
      <c r="B76" s="18" t="s">
        <v>437</v>
      </c>
      <c r="C76" s="18" t="s">
        <v>438</v>
      </c>
      <c r="D76" s="19">
        <v>3062000</v>
      </c>
      <c r="E76" s="19">
        <v>0</v>
      </c>
      <c r="F76" s="19"/>
      <c r="G76" s="19">
        <v>20</v>
      </c>
      <c r="H76" s="19">
        <v>1.1</v>
      </c>
      <c r="I76" s="19"/>
      <c r="J76" s="19" t="s">
        <v>38</v>
      </c>
      <c r="K76" s="19" t="b">
        <v>1</v>
      </c>
      <c r="L76" s="15">
        <v>2013</v>
      </c>
      <c r="M76" s="16">
        <v>319576462.12</v>
      </c>
      <c r="N76" s="16">
        <v>343431158.34</v>
      </c>
      <c r="O76" s="16">
        <v>362270411.6</v>
      </c>
      <c r="P76" s="16">
        <v>369803638.67</v>
      </c>
      <c r="Q76" s="20">
        <v>41550</v>
      </c>
      <c r="R76" s="20">
        <v>41550</v>
      </c>
    </row>
    <row r="77" spans="1:18" ht="14.25">
      <c r="A77" s="17">
        <v>2013</v>
      </c>
      <c r="B77" s="18" t="s">
        <v>437</v>
      </c>
      <c r="C77" s="18" t="s">
        <v>438</v>
      </c>
      <c r="D77" s="19">
        <v>3062000</v>
      </c>
      <c r="E77" s="19">
        <v>0</v>
      </c>
      <c r="F77" s="19"/>
      <c r="G77" s="19">
        <v>250</v>
      </c>
      <c r="H77" s="19" t="s">
        <v>72</v>
      </c>
      <c r="I77" s="19"/>
      <c r="J77" s="19" t="s">
        <v>73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41550</v>
      </c>
      <c r="R77" s="20">
        <v>41550</v>
      </c>
    </row>
    <row r="78" spans="1:18" ht="14.25">
      <c r="A78" s="17">
        <v>2013</v>
      </c>
      <c r="B78" s="18" t="s">
        <v>437</v>
      </c>
      <c r="C78" s="18" t="s">
        <v>438</v>
      </c>
      <c r="D78" s="19">
        <v>3062000</v>
      </c>
      <c r="E78" s="19">
        <v>0</v>
      </c>
      <c r="F78" s="19"/>
      <c r="G78" s="19">
        <v>220</v>
      </c>
      <c r="H78" s="19">
        <v>4.1</v>
      </c>
      <c r="I78" s="19"/>
      <c r="J78" s="19" t="s">
        <v>68</v>
      </c>
      <c r="K78" s="19" t="b">
        <v>0</v>
      </c>
      <c r="L78" s="15">
        <v>2013</v>
      </c>
      <c r="M78" s="16">
        <v>0</v>
      </c>
      <c r="N78" s="16">
        <v>0</v>
      </c>
      <c r="O78" s="16">
        <v>0</v>
      </c>
      <c r="P78" s="16">
        <v>0</v>
      </c>
      <c r="Q78" s="20">
        <v>41550</v>
      </c>
      <c r="R78" s="20">
        <v>41550</v>
      </c>
    </row>
    <row r="79" spans="1:18" ht="14.25">
      <c r="A79" s="17">
        <v>2013</v>
      </c>
      <c r="B79" s="18" t="s">
        <v>437</v>
      </c>
      <c r="C79" s="18" t="s">
        <v>438</v>
      </c>
      <c r="D79" s="19">
        <v>3062000</v>
      </c>
      <c r="E79" s="19">
        <v>0</v>
      </c>
      <c r="F79" s="19"/>
      <c r="G79" s="19">
        <v>70</v>
      </c>
      <c r="H79" s="19" t="s">
        <v>47</v>
      </c>
      <c r="I79" s="19"/>
      <c r="J79" s="19" t="s">
        <v>48</v>
      </c>
      <c r="K79" s="19" t="b">
        <v>1</v>
      </c>
      <c r="L79" s="15">
        <v>2013</v>
      </c>
      <c r="M79" s="16">
        <v>0</v>
      </c>
      <c r="N79" s="16">
        <v>0</v>
      </c>
      <c r="O79" s="16">
        <v>0</v>
      </c>
      <c r="P79" s="16">
        <v>0</v>
      </c>
      <c r="Q79" s="20">
        <v>41550</v>
      </c>
      <c r="R79" s="20">
        <v>41550</v>
      </c>
    </row>
    <row r="80" spans="1:18" ht="14.25">
      <c r="A80" s="17">
        <v>2013</v>
      </c>
      <c r="B80" s="18" t="s">
        <v>437</v>
      </c>
      <c r="C80" s="18" t="s">
        <v>438</v>
      </c>
      <c r="D80" s="19">
        <v>3062000</v>
      </c>
      <c r="E80" s="19">
        <v>0</v>
      </c>
      <c r="F80" s="19"/>
      <c r="G80" s="19">
        <v>450</v>
      </c>
      <c r="H80" s="19">
        <v>9.1</v>
      </c>
      <c r="I80" s="19" t="s">
        <v>450</v>
      </c>
      <c r="J80" s="19" t="s">
        <v>93</v>
      </c>
      <c r="K80" s="19" t="b">
        <v>1</v>
      </c>
      <c r="L80" s="15">
        <v>2013</v>
      </c>
      <c r="M80" s="16">
        <v>0.0497</v>
      </c>
      <c r="N80" s="16">
        <v>0.0638</v>
      </c>
      <c r="O80" s="16">
        <v>0.0749</v>
      </c>
      <c r="P80" s="16">
        <v>0.0742</v>
      </c>
      <c r="Q80" s="20">
        <v>41550</v>
      </c>
      <c r="R80" s="20">
        <v>41550</v>
      </c>
    </row>
    <row r="81" spans="1:18" ht="14.25">
      <c r="A81" s="17">
        <v>2013</v>
      </c>
      <c r="B81" s="18" t="s">
        <v>437</v>
      </c>
      <c r="C81" s="18" t="s">
        <v>438</v>
      </c>
      <c r="D81" s="19">
        <v>3062000</v>
      </c>
      <c r="E81" s="19">
        <v>0</v>
      </c>
      <c r="F81" s="19"/>
      <c r="G81" s="19">
        <v>530</v>
      </c>
      <c r="H81" s="19">
        <v>9.8</v>
      </c>
      <c r="I81" s="19" t="s">
        <v>444</v>
      </c>
      <c r="J81" s="19" t="s">
        <v>103</v>
      </c>
      <c r="K81" s="19" t="b">
        <v>0</v>
      </c>
      <c r="L81" s="15">
        <v>2013</v>
      </c>
      <c r="M81" s="16">
        <v>0.0497</v>
      </c>
      <c r="N81" s="16">
        <v>0.0638</v>
      </c>
      <c r="O81" s="16">
        <v>0.0749</v>
      </c>
      <c r="P81" s="16">
        <v>0.0742</v>
      </c>
      <c r="Q81" s="20">
        <v>41550</v>
      </c>
      <c r="R81" s="20">
        <v>41550</v>
      </c>
    </row>
    <row r="82" spans="1:18" ht="14.25">
      <c r="A82" s="17">
        <v>2013</v>
      </c>
      <c r="B82" s="18" t="s">
        <v>437</v>
      </c>
      <c r="C82" s="18" t="s">
        <v>438</v>
      </c>
      <c r="D82" s="19">
        <v>3062000</v>
      </c>
      <c r="E82" s="19">
        <v>0</v>
      </c>
      <c r="F82" s="19"/>
      <c r="G82" s="19">
        <v>780</v>
      </c>
      <c r="H82" s="19" t="s">
        <v>138</v>
      </c>
      <c r="I82" s="19"/>
      <c r="J82" s="19" t="s">
        <v>139</v>
      </c>
      <c r="K82" s="19" t="b">
        <v>1</v>
      </c>
      <c r="L82" s="15">
        <v>2013</v>
      </c>
      <c r="M82" s="16">
        <v>0</v>
      </c>
      <c r="N82" s="16">
        <v>0</v>
      </c>
      <c r="O82" s="16">
        <v>0</v>
      </c>
      <c r="P82" s="16">
        <v>0</v>
      </c>
      <c r="Q82" s="20">
        <v>41550</v>
      </c>
      <c r="R82" s="20">
        <v>41550</v>
      </c>
    </row>
    <row r="83" spans="1:18" ht="14.25">
      <c r="A83" s="17">
        <v>2013</v>
      </c>
      <c r="B83" s="18" t="s">
        <v>437</v>
      </c>
      <c r="C83" s="18" t="s">
        <v>438</v>
      </c>
      <c r="D83" s="19">
        <v>3062000</v>
      </c>
      <c r="E83" s="19">
        <v>0</v>
      </c>
      <c r="F83" s="19"/>
      <c r="G83" s="19">
        <v>620</v>
      </c>
      <c r="H83" s="19" t="s">
        <v>114</v>
      </c>
      <c r="I83" s="19"/>
      <c r="J83" s="19" t="s">
        <v>115</v>
      </c>
      <c r="K83" s="19" t="b">
        <v>1</v>
      </c>
      <c r="L83" s="15">
        <v>2013</v>
      </c>
      <c r="M83" s="16">
        <v>0</v>
      </c>
      <c r="N83" s="16">
        <v>9735212.97</v>
      </c>
      <c r="O83" s="16">
        <v>30318292.97</v>
      </c>
      <c r="P83" s="16">
        <v>30318292.97</v>
      </c>
      <c r="Q83" s="20">
        <v>41550</v>
      </c>
      <c r="R83" s="20">
        <v>41550</v>
      </c>
    </row>
    <row r="84" spans="1:18" ht="14.25">
      <c r="A84" s="17">
        <v>2013</v>
      </c>
      <c r="B84" s="18" t="s">
        <v>437</v>
      </c>
      <c r="C84" s="18" t="s">
        <v>438</v>
      </c>
      <c r="D84" s="19">
        <v>3062000</v>
      </c>
      <c r="E84" s="19">
        <v>0</v>
      </c>
      <c r="F84" s="19"/>
      <c r="G84" s="19">
        <v>480</v>
      </c>
      <c r="H84" s="19">
        <v>9.4</v>
      </c>
      <c r="I84" s="19" t="s">
        <v>446</v>
      </c>
      <c r="J84" s="19" t="s">
        <v>95</v>
      </c>
      <c r="K84" s="19" t="b">
        <v>0</v>
      </c>
      <c r="L84" s="15">
        <v>2013</v>
      </c>
      <c r="M84" s="16">
        <v>0.0497</v>
      </c>
      <c r="N84" s="16">
        <v>0.0638</v>
      </c>
      <c r="O84" s="16">
        <v>0.0749</v>
      </c>
      <c r="P84" s="16">
        <v>0.0742</v>
      </c>
      <c r="Q84" s="20">
        <v>41550</v>
      </c>
      <c r="R84" s="20">
        <v>41550</v>
      </c>
    </row>
    <row r="85" spans="1:18" ht="14.25">
      <c r="A85" s="17">
        <v>2013</v>
      </c>
      <c r="B85" s="18" t="s">
        <v>437</v>
      </c>
      <c r="C85" s="18" t="s">
        <v>438</v>
      </c>
      <c r="D85" s="19">
        <v>3062000</v>
      </c>
      <c r="E85" s="19">
        <v>0</v>
      </c>
      <c r="F85" s="19"/>
      <c r="G85" s="19">
        <v>200</v>
      </c>
      <c r="H85" s="19">
        <v>3</v>
      </c>
      <c r="I85" s="19" t="s">
        <v>457</v>
      </c>
      <c r="J85" s="19" t="s">
        <v>21</v>
      </c>
      <c r="K85" s="19" t="b">
        <v>0</v>
      </c>
      <c r="L85" s="15">
        <v>2013</v>
      </c>
      <c r="M85" s="16">
        <v>-31244279.62</v>
      </c>
      <c r="N85" s="16">
        <v>-11642920.83</v>
      </c>
      <c r="O85" s="16">
        <v>-29551995.16</v>
      </c>
      <c r="P85" s="16">
        <v>-1907381.32</v>
      </c>
      <c r="Q85" s="20">
        <v>41550</v>
      </c>
      <c r="R85" s="20">
        <v>41550</v>
      </c>
    </row>
    <row r="86" spans="1:18" ht="14.25">
      <c r="A86" s="17">
        <v>2013</v>
      </c>
      <c r="B86" s="18" t="s">
        <v>437</v>
      </c>
      <c r="C86" s="18" t="s">
        <v>438</v>
      </c>
      <c r="D86" s="19">
        <v>3062000</v>
      </c>
      <c r="E86" s="19">
        <v>0</v>
      </c>
      <c r="F86" s="19"/>
      <c r="G86" s="19">
        <v>920</v>
      </c>
      <c r="H86" s="19" t="s">
        <v>154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41550</v>
      </c>
      <c r="R86" s="20">
        <v>41550</v>
      </c>
    </row>
    <row r="87" spans="1:18" ht="14.25">
      <c r="A87" s="17">
        <v>2013</v>
      </c>
      <c r="B87" s="18" t="s">
        <v>437</v>
      </c>
      <c r="C87" s="18" t="s">
        <v>438</v>
      </c>
      <c r="D87" s="19">
        <v>3062000</v>
      </c>
      <c r="E87" s="19">
        <v>0</v>
      </c>
      <c r="F87" s="19"/>
      <c r="G87" s="19">
        <v>420</v>
      </c>
      <c r="H87" s="19">
        <v>8.1</v>
      </c>
      <c r="I87" s="19" t="s">
        <v>440</v>
      </c>
      <c r="J87" s="19" t="s">
        <v>91</v>
      </c>
      <c r="K87" s="19" t="b">
        <v>0</v>
      </c>
      <c r="L87" s="15">
        <v>2013</v>
      </c>
      <c r="M87" s="16">
        <v>13863114.66</v>
      </c>
      <c r="N87" s="16">
        <v>17714622.63</v>
      </c>
      <c r="O87" s="16">
        <v>11130131.84</v>
      </c>
      <c r="P87" s="16">
        <v>20708206.72</v>
      </c>
      <c r="Q87" s="20">
        <v>41550</v>
      </c>
      <c r="R87" s="20">
        <v>41550</v>
      </c>
    </row>
    <row r="88" spans="1:18" ht="14.25">
      <c r="A88" s="17">
        <v>2013</v>
      </c>
      <c r="B88" s="18" t="s">
        <v>437</v>
      </c>
      <c r="C88" s="18" t="s">
        <v>438</v>
      </c>
      <c r="D88" s="19">
        <v>3062000</v>
      </c>
      <c r="E88" s="19">
        <v>0</v>
      </c>
      <c r="F88" s="19"/>
      <c r="G88" s="19">
        <v>550</v>
      </c>
      <c r="H88" s="19">
        <v>10</v>
      </c>
      <c r="I88" s="19"/>
      <c r="J88" s="19" t="s">
        <v>106</v>
      </c>
      <c r="K88" s="19" t="b">
        <v>0</v>
      </c>
      <c r="L88" s="15">
        <v>2013</v>
      </c>
      <c r="M88" s="16">
        <v>0</v>
      </c>
      <c r="N88" s="16">
        <v>0</v>
      </c>
      <c r="O88" s="16">
        <v>0</v>
      </c>
      <c r="P88" s="16">
        <v>0</v>
      </c>
      <c r="Q88" s="20">
        <v>41550</v>
      </c>
      <c r="R88" s="20">
        <v>41550</v>
      </c>
    </row>
    <row r="89" spans="1:18" ht="14.25">
      <c r="A89" s="17">
        <v>2013</v>
      </c>
      <c r="B89" s="18" t="s">
        <v>437</v>
      </c>
      <c r="C89" s="18" t="s">
        <v>438</v>
      </c>
      <c r="D89" s="19">
        <v>3062000</v>
      </c>
      <c r="E89" s="19">
        <v>0</v>
      </c>
      <c r="F89" s="19"/>
      <c r="G89" s="19">
        <v>730</v>
      </c>
      <c r="H89" s="19">
        <v>12.3</v>
      </c>
      <c r="I89" s="19"/>
      <c r="J89" s="19" t="s">
        <v>130</v>
      </c>
      <c r="K89" s="19" t="b">
        <v>0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41550</v>
      </c>
      <c r="R89" s="20">
        <v>41550</v>
      </c>
    </row>
    <row r="90" spans="1:18" ht="14.25">
      <c r="A90" s="17">
        <v>2013</v>
      </c>
      <c r="B90" s="18" t="s">
        <v>437</v>
      </c>
      <c r="C90" s="18" t="s">
        <v>438</v>
      </c>
      <c r="D90" s="19">
        <v>3062000</v>
      </c>
      <c r="E90" s="19">
        <v>0</v>
      </c>
      <c r="F90" s="19"/>
      <c r="G90" s="19">
        <v>460</v>
      </c>
      <c r="H90" s="19">
        <v>9.2</v>
      </c>
      <c r="I90" s="19" t="s">
        <v>446</v>
      </c>
      <c r="J90" s="19" t="s">
        <v>94</v>
      </c>
      <c r="K90" s="19" t="b">
        <v>0</v>
      </c>
      <c r="L90" s="15">
        <v>2013</v>
      </c>
      <c r="M90" s="16">
        <v>0.0497</v>
      </c>
      <c r="N90" s="16">
        <v>0.0638</v>
      </c>
      <c r="O90" s="16">
        <v>0.0749</v>
      </c>
      <c r="P90" s="16">
        <v>0.0742</v>
      </c>
      <c r="Q90" s="20">
        <v>41550</v>
      </c>
      <c r="R90" s="20">
        <v>41550</v>
      </c>
    </row>
    <row r="91" spans="1:18" ht="14.25">
      <c r="A91" s="17">
        <v>2013</v>
      </c>
      <c r="B91" s="18" t="s">
        <v>437</v>
      </c>
      <c r="C91" s="18" t="s">
        <v>438</v>
      </c>
      <c r="D91" s="19">
        <v>3062000</v>
      </c>
      <c r="E91" s="19">
        <v>0</v>
      </c>
      <c r="F91" s="19"/>
      <c r="G91" s="19">
        <v>940</v>
      </c>
      <c r="H91" s="19">
        <v>14.4</v>
      </c>
      <c r="I91" s="19"/>
      <c r="J91" s="19" t="s">
        <v>158</v>
      </c>
      <c r="K91" s="19" t="b">
        <v>1</v>
      </c>
      <c r="L91" s="15">
        <v>2013</v>
      </c>
      <c r="M91" s="16">
        <v>0</v>
      </c>
      <c r="N91" s="16">
        <v>0</v>
      </c>
      <c r="O91" s="16">
        <v>0</v>
      </c>
      <c r="P91" s="16">
        <v>0</v>
      </c>
      <c r="Q91" s="20">
        <v>41550</v>
      </c>
      <c r="R91" s="20">
        <v>41550</v>
      </c>
    </row>
    <row r="92" spans="1:18" ht="14.25">
      <c r="A92" s="17">
        <v>2013</v>
      </c>
      <c r="B92" s="18" t="s">
        <v>437</v>
      </c>
      <c r="C92" s="18" t="s">
        <v>438</v>
      </c>
      <c r="D92" s="19">
        <v>3062000</v>
      </c>
      <c r="E92" s="19">
        <v>0</v>
      </c>
      <c r="F92" s="19"/>
      <c r="G92" s="19">
        <v>680</v>
      </c>
      <c r="H92" s="19" t="s">
        <v>121</v>
      </c>
      <c r="I92" s="19"/>
      <c r="J92" s="19" t="s">
        <v>122</v>
      </c>
      <c r="K92" s="19" t="b">
        <v>1</v>
      </c>
      <c r="L92" s="15">
        <v>2013</v>
      </c>
      <c r="M92" s="16">
        <v>2894569.49</v>
      </c>
      <c r="N92" s="16">
        <v>4603323.29</v>
      </c>
      <c r="O92" s="16">
        <v>7127485.12</v>
      </c>
      <c r="P92" s="16">
        <v>7127485.12</v>
      </c>
      <c r="Q92" s="20">
        <v>41550</v>
      </c>
      <c r="R92" s="20">
        <v>41550</v>
      </c>
    </row>
    <row r="93" spans="1:18" ht="14.25">
      <c r="A93" s="17">
        <v>2013</v>
      </c>
      <c r="B93" s="18" t="s">
        <v>437</v>
      </c>
      <c r="C93" s="18" t="s">
        <v>438</v>
      </c>
      <c r="D93" s="19">
        <v>3062000</v>
      </c>
      <c r="E93" s="19">
        <v>0</v>
      </c>
      <c r="F93" s="19"/>
      <c r="G93" s="19">
        <v>100</v>
      </c>
      <c r="H93" s="19" t="s">
        <v>52</v>
      </c>
      <c r="I93" s="19"/>
      <c r="J93" s="19" t="s">
        <v>53</v>
      </c>
      <c r="K93" s="19" t="b">
        <v>1</v>
      </c>
      <c r="L93" s="15">
        <v>2013</v>
      </c>
      <c r="M93" s="16">
        <v>2491821.13</v>
      </c>
      <c r="N93" s="16">
        <v>1691206.53</v>
      </c>
      <c r="O93" s="16">
        <v>3646000</v>
      </c>
      <c r="P93" s="16">
        <v>3926613</v>
      </c>
      <c r="Q93" s="20">
        <v>41550</v>
      </c>
      <c r="R93" s="20">
        <v>41550</v>
      </c>
    </row>
    <row r="94" spans="1:18" ht="14.25">
      <c r="A94" s="17">
        <v>2013</v>
      </c>
      <c r="B94" s="18" t="s">
        <v>437</v>
      </c>
      <c r="C94" s="18" t="s">
        <v>438</v>
      </c>
      <c r="D94" s="19">
        <v>3062000</v>
      </c>
      <c r="E94" s="19">
        <v>0</v>
      </c>
      <c r="F94" s="19"/>
      <c r="G94" s="19">
        <v>310</v>
      </c>
      <c r="H94" s="19">
        <v>5.1</v>
      </c>
      <c r="I94" s="19"/>
      <c r="J94" s="19" t="s">
        <v>79</v>
      </c>
      <c r="K94" s="19" t="b">
        <v>1</v>
      </c>
      <c r="L94" s="15">
        <v>2013</v>
      </c>
      <c r="M94" s="16">
        <v>14195099.24</v>
      </c>
      <c r="N94" s="16">
        <v>19265684.84</v>
      </c>
      <c r="O94" s="16">
        <v>21069068.84</v>
      </c>
      <c r="P94" s="16">
        <v>24179068.76</v>
      </c>
      <c r="Q94" s="20">
        <v>41550</v>
      </c>
      <c r="R94" s="20">
        <v>41550</v>
      </c>
    </row>
    <row r="95" spans="1:18" ht="14.25">
      <c r="A95" s="17">
        <v>2013</v>
      </c>
      <c r="B95" s="18" t="s">
        <v>437</v>
      </c>
      <c r="C95" s="18" t="s">
        <v>438</v>
      </c>
      <c r="D95" s="19">
        <v>3062000</v>
      </c>
      <c r="E95" s="19">
        <v>0</v>
      </c>
      <c r="F95" s="19"/>
      <c r="G95" s="19">
        <v>840</v>
      </c>
      <c r="H95" s="19">
        <v>13.5</v>
      </c>
      <c r="I95" s="19"/>
      <c r="J95" s="19" t="s">
        <v>145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41550</v>
      </c>
      <c r="R95" s="20">
        <v>41550</v>
      </c>
    </row>
    <row r="96" spans="1:18" ht="14.25">
      <c r="A96" s="17">
        <v>2013</v>
      </c>
      <c r="B96" s="18" t="s">
        <v>437</v>
      </c>
      <c r="C96" s="18" t="s">
        <v>438</v>
      </c>
      <c r="D96" s="19">
        <v>3062000</v>
      </c>
      <c r="E96" s="19">
        <v>0</v>
      </c>
      <c r="F96" s="19"/>
      <c r="G96" s="19">
        <v>380</v>
      </c>
      <c r="H96" s="19">
        <v>6.2</v>
      </c>
      <c r="I96" s="19" t="s">
        <v>445</v>
      </c>
      <c r="J96" s="19" t="s">
        <v>88</v>
      </c>
      <c r="K96" s="19" t="b">
        <v>0</v>
      </c>
      <c r="L96" s="15">
        <v>2013</v>
      </c>
      <c r="M96" s="16">
        <v>0.2628</v>
      </c>
      <c r="N96" s="16">
        <v>0.2805</v>
      </c>
      <c r="O96" s="16">
        <v>0.3367</v>
      </c>
      <c r="P96" s="16">
        <v>0.3058</v>
      </c>
      <c r="Q96" s="20">
        <v>41550</v>
      </c>
      <c r="R96" s="20">
        <v>41550</v>
      </c>
    </row>
    <row r="97" spans="1:18" ht="14.25">
      <c r="A97" s="17">
        <v>2013</v>
      </c>
      <c r="B97" s="18" t="s">
        <v>437</v>
      </c>
      <c r="C97" s="18" t="s">
        <v>438</v>
      </c>
      <c r="D97" s="19">
        <v>3062000</v>
      </c>
      <c r="E97" s="19">
        <v>0</v>
      </c>
      <c r="F97" s="19"/>
      <c r="G97" s="19">
        <v>350</v>
      </c>
      <c r="H97" s="19">
        <v>6</v>
      </c>
      <c r="I97" s="19"/>
      <c r="J97" s="19" t="s">
        <v>25</v>
      </c>
      <c r="K97" s="19" t="b">
        <v>1</v>
      </c>
      <c r="L97" s="15">
        <v>2013</v>
      </c>
      <c r="M97" s="16">
        <v>89162025.08</v>
      </c>
      <c r="N97" s="16">
        <v>102898340.24</v>
      </c>
      <c r="O97" s="16">
        <v>126557935.4</v>
      </c>
      <c r="P97" s="16">
        <v>120625935.48</v>
      </c>
      <c r="Q97" s="20">
        <v>41550</v>
      </c>
      <c r="R97" s="20">
        <v>41550</v>
      </c>
    </row>
    <row r="98" spans="1:18" ht="14.25">
      <c r="A98" s="17">
        <v>2013</v>
      </c>
      <c r="B98" s="18" t="s">
        <v>437</v>
      </c>
      <c r="C98" s="18" t="s">
        <v>438</v>
      </c>
      <c r="D98" s="19">
        <v>3062000</v>
      </c>
      <c r="E98" s="19">
        <v>0</v>
      </c>
      <c r="F98" s="19"/>
      <c r="G98" s="19">
        <v>340</v>
      </c>
      <c r="H98" s="19">
        <v>5.2</v>
      </c>
      <c r="I98" s="19"/>
      <c r="J98" s="19" t="s">
        <v>84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41550</v>
      </c>
      <c r="R98" s="20">
        <v>41550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2013-10-22T06:58:38Z</cp:lastPrinted>
  <dcterms:created xsi:type="dcterms:W3CDTF">2010-09-17T02:30:46Z</dcterms:created>
  <dcterms:modified xsi:type="dcterms:W3CDTF">2013-10-22T07:02:39Z</dcterms:modified>
  <cp:category/>
  <cp:version/>
  <cp:contentType/>
  <cp:contentStatus/>
</cp:coreProperties>
</file>