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firstSheet="1" activeTab="1"/>
  </bookViews>
  <sheets>
    <sheet name="Arkusz2" sheetId="1" r:id="rId1"/>
    <sheet name="Uch.nr  RM nr z 27.11.2013." sheetId="2" r:id="rId2"/>
    <sheet name="zał. nr 1" sheetId="3" r:id="rId3"/>
    <sheet name="Zał. nr 2" sheetId="4" r:id="rId4"/>
    <sheet name="Zał. nr 3" sheetId="5" r:id="rId5"/>
    <sheet name="Zał. nr 4" sheetId="6" r:id="rId6"/>
    <sheet name="Zał. nr 5" sheetId="7" r:id="rId7"/>
    <sheet name="Wolny" sheetId="8" r:id="rId8"/>
  </sheets>
  <definedNames>
    <definedName name="_xlnm.Print_Titles" localSheetId="7">'Wolny'!$12:$13</definedName>
    <definedName name="_xlnm.Print_Titles" localSheetId="2">'zał. nr 1'!$10:$12</definedName>
    <definedName name="_xlnm.Print_Titles" localSheetId="3">'Zał. nr 2'!$12:$13</definedName>
    <definedName name="_xlnm.Print_Titles" localSheetId="4">'Zał. nr 3'!$12:$13</definedName>
  </definedNames>
  <calcPr fullCalcOnLoad="1"/>
</workbook>
</file>

<file path=xl/sharedStrings.xml><?xml version="1.0" encoding="utf-8"?>
<sst xmlns="http://schemas.openxmlformats.org/spreadsheetml/2006/main" count="1556" uniqueCount="888">
  <si>
    <t>cel: Upowszechnianie edukacji przedszkolnej wśród 35 dzieci w wieku 3 - 5 lat z terenu m. Konina, powiatu konińskiego, tureckiego, kolskiego i słupeckiego</t>
  </si>
  <si>
    <t>2013-2015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</si>
  <si>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</si>
  <si>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</si>
  <si>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2013 rok</t>
  </si>
  <si>
    <t xml:space="preserve">                  2013 rok</t>
  </si>
  <si>
    <t>Środki z EFS ; WRPO, inne</t>
  </si>
  <si>
    <t xml:space="preserve">Przedszkole nr 25 "Bajka" w Koninie </t>
  </si>
  <si>
    <r>
      <t xml:space="preserve">Cel: </t>
    </r>
    <r>
      <rPr>
        <sz val="9"/>
        <rFont val="Times New Roman"/>
        <family val="1"/>
      </rPr>
      <t>upowszechnianie edukacji przedszkolnej nastawionej na działalność ekologiczną i prozdrowotną</t>
    </r>
  </si>
  <si>
    <t>Wyrównywanie szans edukacyjnych i zapewnienie wysokiej jakości usług edukacyjnych świadczonych w systemie oświaty, zmniejszenie nierówności w stopniu upowszechniania edukacji przedszkolnej poprzez realizację Projektu pt.: "W  Bajkowym Ogrodzie"</t>
  </si>
  <si>
    <t xml:space="preserve">Miasto Konin - Urząd Miejski w Koninie </t>
  </si>
  <si>
    <t>cel: Rozwój wykształcenia i kompetencji w regionach</t>
  </si>
  <si>
    <t>Wyrównywanie szans edukacyjnych uczniów z grup o utrudnionym dostępie do edukacji oraz zmniejszenie różnic w jakości usług edukacyjnych poprzez realizację projektu Pt. "Edukacja wczesnoszkolna na dobry początek"</t>
  </si>
  <si>
    <t xml:space="preserve">Urząd Miejski w Koninie,  Niepubliczne Przedszkole "Bajkowa Kraina"   w Koninie                       </t>
  </si>
  <si>
    <t>Zmniejszenie nierówności w stopniu upowszechniania edukacji przedszkolnej poprzez realizację projektu pt. "Bajkowa kraina bez barier"</t>
  </si>
  <si>
    <t>Projekt pt. "Dobry pomysł na firmę - wspomagamy przedsiębiorczość w Koninie"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</si>
  <si>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</si>
  <si>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</si>
  <si>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Przedszkole nr 2 w Koninie "Kraina Wesołej Zabawy"</t>
  </si>
  <si>
    <t>Podniesienie i uzupełnienie kwalifikacji kadry pedagogicznej i administracyjnej poprzez realizacje projektu Pt. "Dokształcanie to Twoja szansa"</t>
  </si>
  <si>
    <t>wkład własny niepieniężny</t>
  </si>
  <si>
    <t>cel: Podniesienie jakości  edukacji</t>
  </si>
  <si>
    <t>Doskonalenie i dokształcanie kadry pedagogicznej i administracyjnej poprzez realizację projektu Pt. "W drodze do wiedzy"</t>
  </si>
  <si>
    <t>Wyrównywanie szans edukacyjnych uczniów z grup o utrudnionym dostępie do edukacji oraz zmniejszenie różnic w jakości usług edukacyjnych  poprzez realizację projektu Pt. "Pierwsze kroki w edukacji"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</si>
  <si>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</si>
  <si>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</si>
  <si>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</si>
  <si>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</si>
  <si>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</si>
  <si>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</si>
  <si>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</si>
  <si>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</si>
  <si>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</si>
  <si>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</si>
  <si>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</si>
  <si>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</si>
  <si>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</si>
  <si>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Miasto Konin - Miejski Ośrodek Pomocy Rodzinie w Koninie</t>
  </si>
  <si>
    <t>cel - Rozwój i upowszechnianie aktywnej integracji społecznej</t>
  </si>
  <si>
    <t>Rozwój i upowszechnianie aktywnej integracji przez MOPR w Projekcie systemowym "Wykorzystaj swoją szansę!" w ramach Programu Operacyjnego Kapitał Ludzki</t>
  </si>
  <si>
    <t>Zadania powiatu</t>
  </si>
  <si>
    <t>Europejski Fundusz Społeczny - Program  Operacyjny  Kapitał Ludzki</t>
  </si>
  <si>
    <t xml:space="preserve"> Miejski Ośrodek Doskonalenia Nauczycieli  w Koninie </t>
  </si>
  <si>
    <t>Wyrównywanie szans edukacyjnych uczniów z grup o utrudnionym dostępie do edukacji oraz zmniejszenie różnic w jakości usług edukacyjnych projekt pn. "Startuj z nami w przyszłość"</t>
  </si>
  <si>
    <t>ZS im. Kopernika w  Koninie</t>
  </si>
  <si>
    <t>"Wykwalifikowana Kadra w Koperniku"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</si>
  <si>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</si>
  <si>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</si>
  <si>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</si>
  <si>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</si>
  <si>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</si>
  <si>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</si>
  <si>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</si>
  <si>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</si>
  <si>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Wysoko wykwalifikowane kadry systemu oświaty w ramach  projektu pt. "Podniesienie kwalifikacji dla kadry pedagogicznej szkół subregionu konińskiego"</t>
  </si>
  <si>
    <t>„Uczenie się przez całe życie”  Leonardo da Vinci</t>
  </si>
  <si>
    <t>Dotacja dla Ochotniczej Straży Pożarnej Konin – Starówka na zakup zestawu ratownictwa technicznego z agregatem hydraulicznym LUKAS GmbH, model P630 SG o mocy 2,2 KW</t>
  </si>
  <si>
    <t>zakup zestawu ratownictwa technicznego z agregatem hydraulicznym LUKAS GmbH, model P630 SG o mocy 2,2 KW</t>
  </si>
  <si>
    <t>zakup automatu czyszczącego do podlogi oraz destryfikatora powietrza do hali namiotowej</t>
  </si>
  <si>
    <t>z dnia 10 października 2013 r. Nr 123/2013 Prezydenta Miasta Konina z dnia 24 pażdziernika 2013 r.</t>
  </si>
  <si>
    <t>zakup samochodu rozpoznawczo-ratowniczego z możliwością przewozu małogabarytowego sprzetu do działań chemiczno-ekologicznych</t>
  </si>
  <si>
    <t>ZSB  w Koninie</t>
  </si>
  <si>
    <t>cel: doskonalenie kompetencji zwodowych  oraz szkolenie językowe i kulturowe</t>
  </si>
  <si>
    <t>„Mistrz w zawodzie - praktyki zagraniczne dla uczniów”</t>
  </si>
  <si>
    <t>80195</t>
  </si>
  <si>
    <t>Gimnazjum nr 1 w Koninie</t>
  </si>
  <si>
    <t>cel: Wymiana doświadczeń i uczenie się od siebie nawzajem w dziedzinie języków obcych</t>
  </si>
  <si>
    <t>Zakupy inwestycyjne dla Obiektu Rekreacyjno Sportowego „Rondo” w Koninie</t>
  </si>
  <si>
    <t>Zakup samochodu dostawczego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</si>
  <si>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</si>
  <si>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</si>
  <si>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</si>
  <si>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</si>
  <si>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</si>
  <si>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</si>
  <si>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</si>
  <si>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</si>
  <si>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</si>
  <si>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</si>
  <si>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</si>
  <si>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</si>
  <si>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</si>
  <si>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Zwiększa się plan wydatków o kwotę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</si>
  <si>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</si>
  <si>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</si>
  <si>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</si>
  <si>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</si>
  <si>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</si>
  <si>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</si>
  <si>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</si>
  <si>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</si>
  <si>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Zakup sztandaru dla Szkoły Podstawowej nr 12  w Koninie
</t>
  </si>
  <si>
    <t>SP nr 12/WO</t>
  </si>
  <si>
    <t>Podłączenie I Liceum Ogólnokształcącego i Filii MBP Starówka do sieci KoMAN</t>
  </si>
  <si>
    <t xml:space="preserve">        a) dochody bieżące w wysokości                                        </t>
  </si>
  <si>
    <t>zastępuje się kwotą</t>
  </si>
  <si>
    <t xml:space="preserve">             Zmniejsza się</t>
  </si>
  <si>
    <t>Zagospodarowanie terenów pogórniczych os. Zatorze - w zakresie budowy ścieżki spacerowej - Etap IV</t>
  </si>
  <si>
    <t>dokumentacja projektowo-kosztorysowa, wykonawstwo</t>
  </si>
  <si>
    <t xml:space="preserve">          Zwiększa się</t>
  </si>
  <si>
    <t>Kwotę wydatków ogółem</t>
  </si>
  <si>
    <t xml:space="preserve">           1) kwotę  wydatków  gminy  ogółem                      </t>
  </si>
  <si>
    <t xml:space="preserve">                                     UCHWAŁA  NR   </t>
  </si>
  <si>
    <t>Konina z dnia 4 lipca 2013 r.; Nr 89/2013 Prezydenta Miasta Konina z dnia 15 lipca 2013 r.; Nr 90/2013 Prezydenta</t>
  </si>
  <si>
    <t>Nr 101/2013 Prezydenta Miasta Konina z dnia 27 sierpnia 2013 r.; Nr 109/2013 Prezydenta Miasta Konina</t>
  </si>
  <si>
    <t xml:space="preserve">Nr 114/2013 Prezydenta Miasta Konina z dnia 30 września 2013 r. Nr  118/2013 Prezydenta Miasta Konina </t>
  </si>
  <si>
    <t>Wykonanie dokumentacji projektowej  budowy ulic: Storczykowa, Bluszczowa, Gerberowa, Begoniowa, Kaktusowa, Nasturcjowa, Daliowa, Piwoniowa, Zawilcowa  w Koninie</t>
  </si>
  <si>
    <t xml:space="preserve">do Uchwały </t>
  </si>
  <si>
    <t>Zakup licencji oprogramowania i . Adres do prowadzenia "Ewidencji miejscowości, ulic i adresów"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</si>
  <si>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</si>
  <si>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</si>
  <si>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Zakup samochodu rozpoznawczo-ratowniczego z możliwością przewozu małogabarytowego sprzetu do działań chemiczno-ekologicznych</t>
  </si>
  <si>
    <t>z dnia 6 września 2013 r.; Nr 111/2013 Prezydenta Miasta Konina z dnia 13 września 2013 r.; Nr 113/2013</t>
  </si>
  <si>
    <t>Prezydenta Miasta Konina z dnia 24 września 2013 r.; Nr 621 Rady Miasta Konina z dnia 25 września 2013 r.;</t>
  </si>
  <si>
    <t>4120</t>
  </si>
  <si>
    <t>4140</t>
  </si>
  <si>
    <t>4360</t>
  </si>
  <si>
    <t>4370</t>
  </si>
  <si>
    <t>4700</t>
  </si>
  <si>
    <t>3020</t>
  </si>
  <si>
    <t>4117</t>
  </si>
  <si>
    <t>4177</t>
  </si>
  <si>
    <t>4247</t>
  </si>
  <si>
    <t>Zakupy inwestycyjne dla obiektów MOS i R w Koninie</t>
  </si>
  <si>
    <t>4390</t>
  </si>
  <si>
    <t>Miasta Konina z dnia 22 lipca 2013 r.; Nr 613 Rady Miasta Konina z dnia 31 lipca 2013 r.; Nr 97/2013 Prezydenta</t>
  </si>
  <si>
    <t>Miasta Konina z dnia 13 sierpnia 2013 r.; Nr 619 Rady Miasta Konina z dnia 26 sierpnia 2013 r.;</t>
  </si>
  <si>
    <t>W części dotyczącej dochodów  powiatu</t>
  </si>
  <si>
    <t>85395</t>
  </si>
  <si>
    <t>4307</t>
  </si>
  <si>
    <t>4309</t>
  </si>
  <si>
    <t>Zakup sprzętu EEG Biofeedback</t>
  </si>
  <si>
    <t>4430</t>
  </si>
  <si>
    <t>Modernizacja placu zabaw przy ul. Energetyka 2,4,6 w Koninie</t>
  </si>
  <si>
    <t>Opracowanie dokumentacji projektowo-wykonawczej na nowy przebieg cieku wodnego odprowadzajacego wody deszczowe z terenów inwestycyjnych w obrębie Międzylesie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</si>
  <si>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</si>
  <si>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</si>
  <si>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</si>
  <si>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</si>
  <si>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</si>
  <si>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t>W części dotyczącej zadań  gminy</t>
  </si>
  <si>
    <t>Dokumentacje przyszłościowe</t>
  </si>
  <si>
    <t xml:space="preserve">opracowanie dokumentacji projektowej w zakresie budowy łącznika ulic Poznańska - Rumiankowa - Zakładowa - Kleczewska 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</si>
  <si>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</si>
  <si>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</si>
  <si>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zastępuje się kwotą</t>
  </si>
  <si>
    <t>a) kwotę części gminnej</t>
  </si>
  <si>
    <t xml:space="preserve">    zastępuje się kwotą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</si>
  <si>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</si>
  <si>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</si>
  <si>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</si>
  <si>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</si>
  <si>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</si>
  <si>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</si>
  <si>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2. W Załączniku Nr 1 do uchwały budżetowej dokonuje się następujących zmian:</t>
  </si>
  <si>
    <r>
      <t xml:space="preserve">w sprawie </t>
    </r>
    <r>
      <rPr>
        <b/>
        <i/>
        <sz val="14"/>
        <rFont val="Times New Roman"/>
        <family val="1"/>
      </rPr>
      <t>zmian w budżecie miasta Konina na 2013 rok</t>
    </r>
  </si>
  <si>
    <t>W części dotyczącej dochodów  gminy</t>
  </si>
  <si>
    <t xml:space="preserve">         1) dochody gminy ogółem                                                                                  </t>
  </si>
  <si>
    <t xml:space="preserve">         W uchwale Nr 506 Rady Miasta Konina z dnia 19 grudnia 2012 r. w sprawie uchwalenia budżetu</t>
  </si>
  <si>
    <t>SL</t>
  </si>
  <si>
    <t>ZAŁĄCZNIK nr 1</t>
  </si>
  <si>
    <t>Plan wydatków majątkowych realizowanych ze środków budżetowych miasta Konina na 2013 rok</t>
  </si>
  <si>
    <t>w złotych</t>
  </si>
  <si>
    <t xml:space="preserve">           Plan na 2013 rok</t>
  </si>
  <si>
    <t>Lp</t>
  </si>
  <si>
    <t>Dział</t>
  </si>
  <si>
    <t>Nazwa  zadania</t>
  </si>
  <si>
    <t>Ogólny koszt zadania</t>
  </si>
  <si>
    <t>Poniesione nakłady i przewidywane do końca 2012 roku</t>
  </si>
  <si>
    <t>Zakres rzeczowy zadania</t>
  </si>
  <si>
    <t>Odpow. za realizację           i uwagi</t>
  </si>
  <si>
    <t>Termin rozpocz. i zakoń. inwestycji</t>
  </si>
  <si>
    <t>ogółem</t>
  </si>
  <si>
    <t>środki  w ramach ustawy Prawo ochrony środowiska</t>
  </si>
  <si>
    <t>RAZEM GMINA</t>
  </si>
  <si>
    <t>MZK/DR</t>
  </si>
  <si>
    <t>monitoring wewnetrzny do autobusów</t>
  </si>
  <si>
    <t>80110</t>
  </si>
  <si>
    <t>Zakup monitoringu wewnętrznego do autobusów - MZK</t>
  </si>
  <si>
    <t>Transport i łączność</t>
  </si>
  <si>
    <t>Drogi publiczne gminne</t>
  </si>
  <si>
    <t>Budowa ulic na osiedlu Wilków (Leszczynowa, Borowa)</t>
  </si>
  <si>
    <t>zakup busa</t>
  </si>
  <si>
    <t>budowa windy schodowej</t>
  </si>
  <si>
    <t>budowa podjazdu</t>
  </si>
  <si>
    <t xml:space="preserve"> ścianka boulderowa</t>
  </si>
  <si>
    <t xml:space="preserve">zakupu oprogramowania wraz z licencją </t>
  </si>
  <si>
    <t>place zabaw</t>
  </si>
  <si>
    <t>hangar plus wyposażenie</t>
  </si>
  <si>
    <t>Zakup laptopa dla Przedszkola nr 10</t>
  </si>
  <si>
    <t>Zakup wyposażenia placu zabaw dla Przedszkola nr 10</t>
  </si>
  <si>
    <t>zakup laptopa</t>
  </si>
  <si>
    <t xml:space="preserve">zakup wyposażenia placu zabaw </t>
  </si>
  <si>
    <t>80130</t>
  </si>
  <si>
    <t>0750</t>
  </si>
  <si>
    <t>0830</t>
  </si>
  <si>
    <t>4210</t>
  </si>
  <si>
    <t>4520</t>
  </si>
  <si>
    <t>80120</t>
  </si>
  <si>
    <t>854</t>
  </si>
  <si>
    <t>85401</t>
  </si>
  <si>
    <t>750</t>
  </si>
  <si>
    <t>75023</t>
  </si>
  <si>
    <t>2007</t>
  </si>
  <si>
    <t>2009</t>
  </si>
  <si>
    <t>kwotę środków i dotacji na realizację zadań w ramach</t>
  </si>
  <si>
    <t>programów i projektów funduszy strukturalnych</t>
  </si>
  <si>
    <t xml:space="preserve">        b) dochody majątkowe w wysokości                                        </t>
  </si>
  <si>
    <t xml:space="preserve">         2) dochody powiatu ogółem                                                                                  </t>
  </si>
  <si>
    <r>
      <t>­</t>
    </r>
    <r>
      <rPr>
        <i/>
        <sz val="11"/>
        <rFont val="Times New Roman"/>
        <family val="1"/>
      </rPr>
      <t xml:space="preserve"> kwotę wydatków na programy finansowane z udziałem środków</t>
    </r>
  </si>
  <si>
    <t>o których mowa w art. 5 ust. 1 pkt 2 i 3 ufp w części związanej</t>
  </si>
  <si>
    <t>z realizacją zadań jst</t>
  </si>
  <si>
    <t>Projekt pt. "Objazd Europy z Jules Varnes i naszymi przyjaciółmi partnerami"</t>
  </si>
  <si>
    <t>3. W Załączniku Nr 1 do uchwały budżetowej dokonuje się następujących zmian:</t>
  </si>
  <si>
    <t>Założenie systemu sygnalizacji włamania w Przedszkolu nr 25 BAJKA</t>
  </si>
  <si>
    <t>założenie systemu sygnalizacji włamania</t>
  </si>
  <si>
    <t>przebudowa ulic wraz z oświetleniem i odwodnieniem</t>
  </si>
  <si>
    <t>WI</t>
  </si>
  <si>
    <t>2012/2013</t>
  </si>
  <si>
    <t>Budowa ulic na osiedlu Chorzeń (Tulipanowa i Krokusowa)</t>
  </si>
  <si>
    <t>budowa ulic wraz z oświetleniem i odwodnieniem</t>
  </si>
  <si>
    <t>Przebudowa ulicy Jana Matejki w Koninie</t>
  </si>
  <si>
    <t>przebudowa ulicy wraz z oświetleniem i odwodnieniem</t>
  </si>
  <si>
    <t>Przebudowa ulicy Stodolnianej w Koninie</t>
  </si>
  <si>
    <t>2012/2014</t>
  </si>
  <si>
    <t>Budowa chodnika przy ul. Nowiny w kierunku cmentarza parafialnego</t>
  </si>
  <si>
    <t>budowa chodnika wraz z odwodnieniem i oświetleniem</t>
  </si>
  <si>
    <t xml:space="preserve">Budowa przedłużenia ul. Makowej od Al. Astrów do torów kolejowych   </t>
  </si>
  <si>
    <t>wykonanie dokumentacji projektowej wraz z etapem przygotowania do realizacji</t>
  </si>
  <si>
    <t>Wykonanie monitoringu CCTV w budynkach Żłobka Miejskiego przy ul. Sosnowej 6 oraz przy ul. Staszica 17</t>
  </si>
  <si>
    <t>Wykonanie monitoringu CCTV</t>
  </si>
  <si>
    <t>Żłobki</t>
  </si>
  <si>
    <t xml:space="preserve">Opracowanie dokumentacji projektowo – kosztorysowej na przebudowę  ulicy Południowej w Koninie
</t>
  </si>
  <si>
    <t>Opracowanie dokumentacji projektowo-kosztorysowej na budowę ulicy Wierzbowej (od ul. Europejskiej w kierunku wschodnim)</t>
  </si>
  <si>
    <t>wykonanie dokumentacji projektowo-kosztorysowej</t>
  </si>
  <si>
    <t>Budowa i przebudowa ulicy Kapitańskiej w Koninie</t>
  </si>
  <si>
    <t>budowa i przebudowa ulicy wraz z oświetleniem i odwodnieniem</t>
  </si>
  <si>
    <t>Rozbudowa skrzyżowania ulic Stanisława Staszica, Romana Dmowskiego i Tadeusza Kościuszki na skrzyżowanie typu "rondo" w Koninie</t>
  </si>
  <si>
    <t>budowa ronda na skrzyżowaniu ulic, oświetlenie ronda, kanalizacja deszczowa</t>
  </si>
  <si>
    <t>Budowa parkingu przy ul. Sadowej 9</t>
  </si>
  <si>
    <t>opracowanie dokumentacji projektowo-kosztorysowej, realizacja zadania</t>
  </si>
  <si>
    <t>DR</t>
  </si>
  <si>
    <t>Budowa ulicy Drewnowskiego i ulicy Godlewskiego</t>
  </si>
  <si>
    <t>budowa ulicy wraz z odwodnieniem i oświetleniem</t>
  </si>
  <si>
    <t>Opracowanie dokumentacji projektowo- kosztorysowej  kładki nad Kanałem Ulgi</t>
  </si>
  <si>
    <t xml:space="preserve">opracowanie dokumentacji projektowo-kosztorysowej, </t>
  </si>
  <si>
    <t>Opracowanie dokumentacji  projektowo –  kosztorysowej na budowę ulicy Brunatnej w Koninie - etap I</t>
  </si>
  <si>
    <t>Dostawa i montaż parkomatów na terenie miasta Konina</t>
  </si>
  <si>
    <t>dostawa i montaż 7 szt. parkomatów</t>
  </si>
  <si>
    <t>Gospodarka mieszkaniowa</t>
  </si>
  <si>
    <t>Gospodarka gruntami i nieruchomościami</t>
  </si>
  <si>
    <t>Nabycie nieruchomości gruntowych</t>
  </si>
  <si>
    <t>GN/GM</t>
  </si>
  <si>
    <t>2012-2016</t>
  </si>
  <si>
    <t>Pozostała działalność</t>
  </si>
  <si>
    <t>Modernizacja wewnętrznej instalacji elektrycznej w budynkach przy ul. Kanałowej 6, 7, 11</t>
  </si>
  <si>
    <t>opracowanie dokumentacji i realizacja</t>
  </si>
  <si>
    <t>Administracja publiczna</t>
  </si>
  <si>
    <t>Urzędy gmin (miast i miast na prawach powiatu)</t>
  </si>
  <si>
    <t>Doposażenie techniczne Urzędu</t>
  </si>
  <si>
    <t xml:space="preserve">zakup drukarek, komputerów, MS Office MOLP, zakup rzutnika i laptopa </t>
  </si>
  <si>
    <t>IN</t>
  </si>
  <si>
    <t>Adaptacja budynku przy ul. Benesza 1 w Koninie  na cele administracyjne</t>
  </si>
  <si>
    <t xml:space="preserve">adaptacja istniejącego budynku na cele administracji  </t>
  </si>
  <si>
    <t>2012-2014</t>
  </si>
  <si>
    <t>Adaptacja budynku przy ul. 3 Maja 1 i 3 na Centrum Organizacji Pozarządowych</t>
  </si>
  <si>
    <t>adaptacja istniejącego budynku na potrzeby COP</t>
  </si>
  <si>
    <t>Bezpieczeństwo publiczne i ochrona przeciwpożarowa</t>
  </si>
  <si>
    <t>Ochotnicze Straże Pożarne</t>
  </si>
  <si>
    <t xml:space="preserve">Zakupy inwestycyjne </t>
  </si>
  <si>
    <t>zakup motopompy Niagara  dla OSP Cukrownia</t>
  </si>
  <si>
    <t>WZ</t>
  </si>
  <si>
    <t>Obrona cywilna</t>
  </si>
  <si>
    <t>zakup i montaż 1 elektronicznej syreny alarmowej tubowej wraz z osprzętem (montaż 1 punktu alarmowego)</t>
  </si>
  <si>
    <t>Rezerwa celowa na inwestycje i zakupy inwestycyjne</t>
  </si>
  <si>
    <t>Oświata i wychowanie</t>
  </si>
  <si>
    <t>Szkoły podstawowe</t>
  </si>
  <si>
    <t>Budowa placu zabaw w ramach programu rządowego "Radosna Szkoła" przy Szkole Podstawowej Nr 1</t>
  </si>
  <si>
    <t>budowa dużego placu zabaw</t>
  </si>
  <si>
    <t xml:space="preserve">Opracowanie koncepcji i studium wykonalności na budowę sali gimnastycznej przy SP nr 1
</t>
  </si>
  <si>
    <t xml:space="preserve">koncepcja i studium wykonalności </t>
  </si>
  <si>
    <t xml:space="preserve">zakup kserokopiarki </t>
  </si>
  <si>
    <t>Przedszkola</t>
  </si>
  <si>
    <t xml:space="preserve">DRUK NR 728 </t>
  </si>
  <si>
    <t>Modernizacja i rozbudowa budynku przy ul. Kamiennej 28 w Koninie</t>
  </si>
  <si>
    <t>adaptacja budynku na potrzeby punktu przedszkolnego i świetlicy</t>
  </si>
  <si>
    <t>Modernizacja placu zabaw Przedszkola nr 31</t>
  </si>
  <si>
    <t>modernizacja placu zabaw</t>
  </si>
  <si>
    <t>P nr 31/WO</t>
  </si>
  <si>
    <t>853</t>
  </si>
  <si>
    <t>80104</t>
  </si>
  <si>
    <t xml:space="preserve">założenie monitoringu wizyjnego </t>
  </si>
  <si>
    <t>P nr 25/WO</t>
  </si>
  <si>
    <t>Założenie monitoringu wizyjnego przy Przedszkolu Nr 31</t>
  </si>
  <si>
    <t>Termomodernizacja budynku Przedszkola nr 10</t>
  </si>
  <si>
    <t>docieplenie ścian</t>
  </si>
  <si>
    <t>P nr 10/WO</t>
  </si>
  <si>
    <t>Budowa parkingu przy Przedszkolu nr 7 w Koninie</t>
  </si>
  <si>
    <t>budowa parkingu</t>
  </si>
  <si>
    <t>Zakup obieraczki do ziemniaków dla Przedszkola Nr 4</t>
  </si>
  <si>
    <t xml:space="preserve">zakup obieraczki do ziemniaków </t>
  </si>
  <si>
    <t>P nr 4/WO</t>
  </si>
  <si>
    <t>Gimnazja</t>
  </si>
  <si>
    <t>Zakup kserokopiarki dla Gimnazjum Nr 2</t>
  </si>
  <si>
    <t>G nr 2/WO</t>
  </si>
  <si>
    <t>Stołówki szkolne i przedszkolne</t>
  </si>
  <si>
    <t>Zakup kotła warzelnego dla SP-15</t>
  </si>
  <si>
    <t xml:space="preserve">zakup kotła warzelnego </t>
  </si>
  <si>
    <t>SP nr 15/WO</t>
  </si>
  <si>
    <t>Zarządzanie energią w budynkach użyteczności publicznej w Koninie</t>
  </si>
  <si>
    <t xml:space="preserve">wymiana oświetlenia na energooszczędne </t>
  </si>
  <si>
    <t>Ochrona zdrowia</t>
  </si>
  <si>
    <t>Izby wytrzeźwień</t>
  </si>
  <si>
    <t>Zakup sprzętu medycznego</t>
  </si>
  <si>
    <t>zakup sprzętu medycznego</t>
  </si>
  <si>
    <t>ODPOzPAiP</t>
  </si>
  <si>
    <t>Pozostałe zadania w zakresie polityki społecznej</t>
  </si>
  <si>
    <t xml:space="preserve">Pozostała działalność </t>
  </si>
  <si>
    <t>Zakup sprzętu do zabaw ruchowych na plac zabaw dla Przedszkola nr 32</t>
  </si>
  <si>
    <t>sprzęt do zabaw ruchowych</t>
  </si>
  <si>
    <t>P nr 32/WO</t>
  </si>
  <si>
    <t>Zakup sprzętu do Sali Doświadczania Świata dla Przedszkola nr 32</t>
  </si>
  <si>
    <t xml:space="preserve"> sprzęt do Sali Doświadczania Świata</t>
  </si>
  <si>
    <t xml:space="preserve">Opracowanie dokumentacji projektowej na budowę instalacji centralnego ogrzewania i ciepłej wody na osiedlu donków komunalnych przy ul. M. Dąbrowskiej w Koninie </t>
  </si>
  <si>
    <t>Jesteś przedsiębiorczy! Zacznij działać już dziś w  Koninie - w ramach programu POKL (dotacja celowa)</t>
  </si>
  <si>
    <t>przekazanie dotacji inwestycyjnej na założenie działalności gospodarczej zgodnie z biznesplanem m.in. na zakup sprzętu komputerowego i oprogramowania, maszyn i urządzeń lub remont pomieszczeń</t>
  </si>
  <si>
    <t>DG</t>
  </si>
  <si>
    <t>Jesteś przedsiębiorczy! Zacznij działać już dziś w  Koninie  - w ramach programu POKL (dotacja celowa)</t>
  </si>
  <si>
    <t>Dobry pomysł na firmę - wspomagamy przedsiębiorczość w Koninie - w ramach programu POKL (dotacja celowa)</t>
  </si>
  <si>
    <t>rozwój przedsiębiorczości w mieście Koninie oraz poprawa sytuacji na rynku pracy -wsparcie 47 os. które rozpoczęły działalność gospodarczą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</si>
  <si>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</si>
  <si>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</si>
  <si>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</si>
  <si>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 xml:space="preserve">usuwanie wyrobów zawierających azbest </t>
  </si>
  <si>
    <t>OŚ</t>
  </si>
  <si>
    <t>Oświetlenie ulic, placów i dróg</t>
  </si>
  <si>
    <t xml:space="preserve">Budowa sygnalizacji świetlnej na skrzyżowaniu ul. Przemysłowej i ul. Gosławickiej  wraz z doświetleniem przejść dla pieszych
</t>
  </si>
  <si>
    <t xml:space="preserve">sygnalizacja świetlna oraz doświetlenie 3 przejść dla pieszych  – rejon ul. Gosławickiej,  ul. Jędrzejewskiego, przy wjeździe do ZE PAK
</t>
  </si>
  <si>
    <t xml:space="preserve">Budowa  sygnalizacji świetlnej na skrzyżowaniu ulic Zagórowska - Pułaskiego  - Marii  Dąbrowskiej
</t>
  </si>
  <si>
    <t>sygnalizacja świetlna</t>
  </si>
  <si>
    <t>Doświetlenie przejść dla pieszych w Koninie</t>
  </si>
  <si>
    <t xml:space="preserve">11 kwietnia 2013 r.; Nr 559  Rady Miasta Konina z dnia 24 kwietnia 2013 r.; Nr 46/2013 Prezydenta Miasta Konina </t>
  </si>
  <si>
    <t xml:space="preserve">z dnia 24 maja 2013 r.; Nr 574 Rady Miasta Konina z dnia 29 maja 2013 r.; Nr 67/2013 Prezydenta Miasta Konina </t>
  </si>
  <si>
    <t xml:space="preserve">z dnia 14 czerwca 2013 r.; Nr 592 Rady Miasta Konina z dnia 26 czerwca 2013 r.; Nr 75/2013 Prezydenta Miasta </t>
  </si>
  <si>
    <t>4270</t>
  </si>
  <si>
    <t>Budowa przyłącza światłowodowego do sterownika sygnalizacji świetlnej na skrzyżowaniu ul. Kard. S. Wyszyńskiego i ul. Przyjaźni w Koninie</t>
  </si>
  <si>
    <t xml:space="preserve">aktualizacja dokumentacji projektowej- zmiana nazwy dokumentacji i uzupelnienie podziałów geodezyjnych gruntów </t>
  </si>
  <si>
    <t>zakup zmywarki</t>
  </si>
  <si>
    <t>budowa kanalizacji</t>
  </si>
  <si>
    <t>Przebudowa skrzyżowania ulicy Warszawskiej z ulicą Kolską w Koninie</t>
  </si>
  <si>
    <t>Budowa instalacji centralnego ogrzewania i ciepłej wody w budynku przy ul. M. Dąbrowskiej 50 w Koninie</t>
  </si>
  <si>
    <t>Wykonanie instalacji monitoringu widowni i hali sportowej w obiekcie sportowo-rekreacyjnym "Rondo" w Koninie</t>
  </si>
  <si>
    <t xml:space="preserve">wykonanie instalacji monitoringu widowni i hali sportowej </t>
  </si>
  <si>
    <t>budowa instalacji centralnego ogrzewania i ciepłej wody</t>
  </si>
  <si>
    <t>80146</t>
  </si>
  <si>
    <t>budowa chodnika</t>
  </si>
  <si>
    <t>zmiany w dokumentacji</t>
  </si>
  <si>
    <t>wykonanie monitoringu</t>
  </si>
  <si>
    <t>4010</t>
  </si>
  <si>
    <t>4110</t>
  </si>
  <si>
    <t>4260</t>
  </si>
  <si>
    <t>4350</t>
  </si>
  <si>
    <t>4280</t>
  </si>
  <si>
    <t>4127</t>
  </si>
  <si>
    <t>aktualizacja dokumentacji projektowej ;  zlecenie oceny przydatności do dalszego wykorzystania instniejącej dokumentacji oraz opracowanie  przedmiotu zamówienia dla  przeprojektowania istniejacej dokumentacji projektowo-kosztorysowej na II etap nowego przebiegu drogi krajowej nr 25 w Koninie</t>
  </si>
  <si>
    <t>WI/DR</t>
  </si>
  <si>
    <t xml:space="preserve">zakup i montaż dźwigów  osobowych </t>
  </si>
  <si>
    <t>instalacja klimatyzacji</t>
  </si>
  <si>
    <t>budowa sieci kanalizacji sanitarnej i wodociągu</t>
  </si>
  <si>
    <t xml:space="preserve">          w tym:</t>
  </si>
  <si>
    <t xml:space="preserve">budowa sieci kanalizacji sanitarnej </t>
  </si>
  <si>
    <t>budowa  wodociągu</t>
  </si>
  <si>
    <t>Wykonanie klimatyzacji pomieszczenia Strefy K oraz modernizacja central klimatyzacyjnych sali widowiskowej</t>
  </si>
  <si>
    <t>wykonanie klimatyzacji  oraz modernizacja central klimatyzacyjnych</t>
  </si>
  <si>
    <t>tablica wyników; nagłościenie; klimatyzatory; urządzenia do aromatoterapii</t>
  </si>
  <si>
    <t>samochód dostawczy</t>
  </si>
  <si>
    <t>przebudowa parkingu</t>
  </si>
  <si>
    <t xml:space="preserve">wykonanie  miejsca do ważenia pojazdów </t>
  </si>
  <si>
    <t>70095</t>
  </si>
  <si>
    <t>Zmniejsza się plan wydatków o kwotę</t>
  </si>
  <si>
    <t>dz.600 rozdz.60016 § 6050 zmniejsza się o kwotę</t>
  </si>
  <si>
    <t xml:space="preserve">Rozbudowa skrzyżowania ulic Stanisława Staszica, Romana Dmowskiego </t>
  </si>
  <si>
    <t>i Tadeusza Kościuszki na skrzyżowanie typu "rondo" w Koninie</t>
  </si>
  <si>
    <t>dz.600 rozdz.60016 § 6010 zwiększa się o kwotę</t>
  </si>
  <si>
    <t xml:space="preserve">Rewitalizacja Starówki - budowa budynków mieszkalnych wielorodzinnych pomiędzy </t>
  </si>
  <si>
    <t xml:space="preserve"> ulicą  Wodną  i Grunwaldzką w Koninie </t>
  </si>
  <si>
    <t>dz.700 rozdz.70095  6050 zmniejsza się o kwotę</t>
  </si>
  <si>
    <t>2013/1\2014</t>
  </si>
  <si>
    <t>75095</t>
  </si>
  <si>
    <t>rozdz.75023 w § 6060 zwiększa się o kwotę</t>
  </si>
  <si>
    <t>rozdz.75095 w § 6060 zwiększa się o kwotę</t>
  </si>
  <si>
    <t>dz. 750 rozdz.75023 zwiększa się o kwotę</t>
  </si>
  <si>
    <t>dz. 754 rozdz.75495 § 6060 zwiększa się o kwotę</t>
  </si>
  <si>
    <t>Zakup fotoradaru dla potrzeb Straży Miejskiej w Koninie</t>
  </si>
  <si>
    <t>dz. 758 rozdz.75818 § 6800 zmniejsza się o kwotę</t>
  </si>
  <si>
    <t>W części dotyczącej zadań  powiatu</t>
  </si>
  <si>
    <t>Zakup  fotoradaru dla potrzeb Straży Miejskiej w Koninie</t>
  </si>
  <si>
    <t>MOPR</t>
  </si>
  <si>
    <t>§ 6060 zmniejsza się o kwotę</t>
  </si>
  <si>
    <t xml:space="preserve">Dotacja dla Ochotniczej Straży Pożarnej Konin – Starówka na zakup zestawu </t>
  </si>
  <si>
    <t xml:space="preserve"> ratownictwa technicznego z agregatem hydraulicznym LUKAS GmbH, </t>
  </si>
  <si>
    <t xml:space="preserve"> model P630 SG o mocy 2,2 KW</t>
  </si>
  <si>
    <t>§ 6230  zmniejsza się o kwotę</t>
  </si>
  <si>
    <t>dz.754 rozdz.75412 zmniejsza się o kwotę</t>
  </si>
  <si>
    <t>dz. 801 rozdz.80104 § 6060 zwiększa się o kwotę</t>
  </si>
  <si>
    <t>dz. 852 rozdz.85219 § 6060 zwiększa się o kwotę</t>
  </si>
  <si>
    <t>dz. 926 rozdz.92604 § 6060 zwiększa się o kwotę</t>
  </si>
  <si>
    <t>dz. 851 rozdz.85111 § 6220 zwiększa się o kwotę</t>
  </si>
  <si>
    <t xml:space="preserve">                                                                               § 4</t>
  </si>
  <si>
    <t>realizowanych na podstawie porozumień między jednostkami samorządu terytorialnego</t>
  </si>
  <si>
    <t>Zwiększa się plan dotacji celowej o kwotę</t>
  </si>
  <si>
    <t>dz.801 rozdz.80104 § 2310 zwiększa się o kwotę</t>
  </si>
  <si>
    <t>dz.801 rozdz.80104  zwiększa się o kwotę</t>
  </si>
  <si>
    <t>§ 4010 zwiększa się o kwotę</t>
  </si>
  <si>
    <t>§ 4110 zwiększa się o kwotę</t>
  </si>
  <si>
    <r>
      <t xml:space="preserve"> z Załącznika nr 9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</si>
  <si>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r>
      <t xml:space="preserve">zadań z zakresu administracji rządowej na 2013 rok " </t>
    </r>
    <r>
      <rPr>
        <sz val="12"/>
        <rFont val="Times New Roman"/>
        <family val="1"/>
      </rPr>
      <t>:</t>
    </r>
  </si>
  <si>
    <r>
      <t xml:space="preserve">4. W Załączniku nr 6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</si>
  <si>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r>
      <t xml:space="preserve">na 2013 rok  - zadania własne" </t>
    </r>
    <r>
      <rPr>
        <sz val="12"/>
        <rFont val="Times New Roman"/>
        <family val="1"/>
      </rPr>
      <t>dokonuje się następujących zmian:</t>
    </r>
  </si>
  <si>
    <t>5. W § 1 ust. 3</t>
  </si>
  <si>
    <t>7. W Załączniku Nr 2 do uchwały budżetowej dokonuje się następujących zmian:</t>
  </si>
  <si>
    <r>
      <t xml:space="preserve">8.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</si>
  <si>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 xml:space="preserve">W pkt 4  uchwały nr 645 Rady Miasta Konina z dnia 30 pażdziernika 2013 roku usuwa się zapis </t>
  </si>
  <si>
    <t>4019</t>
  </si>
  <si>
    <t>4119</t>
  </si>
  <si>
    <t>4129</t>
  </si>
  <si>
    <t>4179</t>
  </si>
  <si>
    <t>3117</t>
  </si>
  <si>
    <t>3119</t>
  </si>
  <si>
    <t>4219</t>
  </si>
  <si>
    <t>6237</t>
  </si>
  <si>
    <t>6239</t>
  </si>
  <si>
    <t>6209</t>
  </si>
  <si>
    <t>2827</t>
  </si>
  <si>
    <t>2829</t>
  </si>
  <si>
    <t xml:space="preserve"> - kwotę środków i dotacji na realizację zadań w ramach</t>
  </si>
  <si>
    <r>
      <t>­</t>
    </r>
    <r>
      <rPr>
        <i/>
        <sz val="11"/>
        <rFont val="Times New Roman"/>
        <family val="1"/>
      </rPr>
      <t xml:space="preserve"> kwotę wydatków na gospodarowanie</t>
    </r>
  </si>
  <si>
    <t>odpadami komunalnymi</t>
  </si>
  <si>
    <t>Zakup serwera dla MOPR w Koninie</t>
  </si>
  <si>
    <t>Ośrodki pomocy społecznej</t>
  </si>
  <si>
    <t xml:space="preserve">dz.853 rozdz.85395 zmniejsza się o kwotę </t>
  </si>
  <si>
    <t>Dotacja celowa dla WSZ w Koninie na zakup przenośnego echokardiografu</t>
  </si>
  <si>
    <t>dla potrzeb Oddziału Intensywnego Nadzoru i Kardiologicznego</t>
  </si>
  <si>
    <t>Dotacja celowa dla WSZ w Koninie na zakup przenośnego echokardiografu dla potrzeb Oddziału Intensywnego Nadzoru i Kardiologicznego</t>
  </si>
  <si>
    <t>§ 6237 zmniejsza się o kwotę</t>
  </si>
  <si>
    <t>§ 6239 zmniejsza się o kwotę</t>
  </si>
  <si>
    <t xml:space="preserve">Dobry pomysł na firmę - wspomagamy przedsiębiorczość w Koninie - w ramach </t>
  </si>
  <si>
    <t xml:space="preserve"> programu POKL (dotacja celowa)</t>
  </si>
  <si>
    <t>ZAŁĄCZNIK nr  2</t>
  </si>
  <si>
    <t>Limit  wydatków majątkowych   na  programy finansowane  z udziałem</t>
  </si>
  <si>
    <t>środków o których mowa w art. 5 ust. 1 pkt 2 i 3  ustawy</t>
  </si>
  <si>
    <t>o finansach publicznych na 2013 rok</t>
  </si>
  <si>
    <t xml:space="preserve">                     2013 rok</t>
  </si>
  <si>
    <t>Środki z EFRR i EFS</t>
  </si>
  <si>
    <t>Europejski Fundusz Rozwoju Regionalnego - Program Operacyjny Innowacyjna Gospodarka</t>
  </si>
  <si>
    <t>Miasto Konin -Urząd Miejski w Koninie</t>
  </si>
  <si>
    <t>cel - Rozwój polskiej gospodarki w oparciu o innowacyjne przedsiębiorstwa</t>
  </si>
  <si>
    <t xml:space="preserve">Zwiększenie atrakcyjności Konina i subregionu konińskiego w ramach projektu pt.: "Przygotowanie terenów inwestycyjnych w obrębie Konin-Międzylesie (działania studyjno-koncepcyjne)" </t>
  </si>
  <si>
    <t>2011-2013</t>
  </si>
  <si>
    <t>Projekt Pt.  "Dobry pomysł na firmę - wspomagamy przedsiębiorczość w Koninie"</t>
  </si>
  <si>
    <t xml:space="preserve"> projekt Pt. "Słoneczny Świat Przedszkolaka""</t>
  </si>
  <si>
    <t xml:space="preserve">do Uchwały nr     </t>
  </si>
  <si>
    <t xml:space="preserve">z dnia  27 listopada 2013 roku       </t>
  </si>
  <si>
    <t>ZAŁĄCZNIK nr 3</t>
  </si>
  <si>
    <t xml:space="preserve">      PLAN DOTACJI DLA PODMIOTÓW NIE ZALICZANYCH DO SEKTORA FINANSÓW </t>
  </si>
  <si>
    <t>PUBLICZNYCH NA CELE PUBLICZNE ZWIĄZANE Z REALIZACJĄ ZADAŃ MIASTA  NA 2013 ROK</t>
  </si>
  <si>
    <t>Wyszczególnienie</t>
  </si>
  <si>
    <t xml:space="preserve">Określenie zadań </t>
  </si>
  <si>
    <t>Plan na 2013 rok</t>
  </si>
  <si>
    <t>Razem zadania gminy</t>
  </si>
  <si>
    <t xml:space="preserve">Dotacje podmiotowe </t>
  </si>
  <si>
    <t xml:space="preserve">Centrum Szkoleniowe „WIEDZA” </t>
  </si>
  <si>
    <t xml:space="preserve">Gimnazjum Towarzystwa Salezjańskiego </t>
  </si>
  <si>
    <t>AP Edukacja Gimnazjum dla Dorosłych</t>
  </si>
  <si>
    <t xml:space="preserve">Przedszkole niepubliczne„Bajkolandia”  </t>
  </si>
  <si>
    <t>Przedszkole niepubliczne "Chatka -Puchatka"</t>
  </si>
  <si>
    <t xml:space="preserve">Punkt przedszkolny „Bajkowa Kraina”  </t>
  </si>
  <si>
    <t xml:space="preserve">Punkt przedszkolny „Misiowa Kraina”  </t>
  </si>
  <si>
    <t>Punkt przedszkolny "Mały Artysta"</t>
  </si>
  <si>
    <t>Punkt przedszkolny "Akademia Smyka"</t>
  </si>
  <si>
    <t>Dotacje celowe</t>
  </si>
  <si>
    <t>dotacja dla Ochotniczej Straży Pożarnej Konin – Starówka na zakup zestawu ratownictwa technicznego z agregatem hydraulicznym LUKAS GmbH, model P630 SG o mocy 2,2 KW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</si>
  <si>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</si>
  <si>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</si>
  <si>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</si>
  <si>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</si>
  <si>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</si>
  <si>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</si>
  <si>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</si>
  <si>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</si>
  <si>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pomoc żywnościowa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</si>
  <si>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</si>
  <si>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</si>
  <si>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</si>
  <si>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</si>
  <si>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dotacja celowa dla prywatnych żłobków</t>
  </si>
  <si>
    <t>Wspieranie realizacji zadań organizacji pozarządowych</t>
  </si>
  <si>
    <t>"Jesteś przedsiębiorczy! Zacznij działać już dziś w Koninie "  w ramach programu POKL (dotacja celowa)</t>
  </si>
  <si>
    <t>"Dobry pomysł na firmę" wspomagamy przedsiębiorczość w Koninie - w ramach programu POKL (dotacja celowa)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</si>
  <si>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</si>
  <si>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</si>
  <si>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</si>
  <si>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</si>
  <si>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</si>
  <si>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remont kościoła ,  konserwacja ołtarzy bocznych  pw. św. Bartłomieja w Koninie</t>
  </si>
  <si>
    <t>renowacja  i konserwacja  ołtarza barokowego w kościele pw. św. Marii Magdaleny w Klasztorze oo. Franciszkanów w Koninie</t>
  </si>
  <si>
    <t>organizacja imprez kulturalnych dla mieszkańców m. Konina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</si>
  <si>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</si>
  <si>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</si>
  <si>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dofinansowanie szkolenia uzdolnionych sportowo   w piłce koszykowej kobiet (ekstarklasa)</t>
  </si>
  <si>
    <t>dofinansowanie szkolenia uzdolnionych sportowo   w piłce ręcznej mężczyzn (II liga)</t>
  </si>
  <si>
    <t>realizacja zadań o których mowa w § 6 pkt 1 Uchwały nr 226 Rady Miasta Konina z dnia 26 października 2011 roku</t>
  </si>
  <si>
    <t>organizacja imprez sportowo-rekreacyjnych dla mieszkańców Konina</t>
  </si>
  <si>
    <t>organizacja imprez sportowo-rekreacyjnych dla osób niepełnosprawnych</t>
  </si>
  <si>
    <t xml:space="preserve">Razem zadania powiatu </t>
  </si>
  <si>
    <t>Centrum Nauki i Biznesu „Żak</t>
  </si>
  <si>
    <t>Europejskie Centrum Kształcenia "PASCAL"</t>
  </si>
  <si>
    <t xml:space="preserve">Zespół Edukacji „WIEDZA”    </t>
  </si>
  <si>
    <t xml:space="preserve">Technikum Uzupełniające Michał Lewandowski  </t>
  </si>
  <si>
    <t>Zakład Doskonalenia Zawodowego Centrum Kształcenia</t>
  </si>
  <si>
    <t xml:space="preserve">COSINUS     </t>
  </si>
  <si>
    <t>Niepubliczne Policealne Studium Zawodowe Michał Lewandowski</t>
  </si>
  <si>
    <t xml:space="preserve">AP EDUKACJA            </t>
  </si>
  <si>
    <t>Cech Rzemiosł Różnych</t>
  </si>
  <si>
    <t xml:space="preserve">Elitarne Studium Służb Ochrony „DELTA”  </t>
  </si>
  <si>
    <t xml:space="preserve">  Liceum Ogólnokształcące w Konińskim Centrum Edukacyjnym</t>
  </si>
  <si>
    <t>Liceum Ogólnokształcące dla Dorosłych Michał Lewandowski</t>
  </si>
  <si>
    <t>prowadzenie warsztatów terapii zajęciowej, rehabilitacja zawodowa i społeczna</t>
  </si>
  <si>
    <t>Edukacyjna opieka wychowawcza</t>
  </si>
  <si>
    <t xml:space="preserve">Polskiego Stowarzyszenia na Rzecz Osób z Upośledzeniem Umysłowym 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</si>
  <si>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</si>
  <si>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</si>
  <si>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</si>
  <si>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>działalność na rzecz rozwoju gospodarczego wspierająca lokalny rynek pracy</t>
  </si>
  <si>
    <t>OGÓŁEM</t>
  </si>
  <si>
    <t xml:space="preserve">do Uchwały nr  </t>
  </si>
  <si>
    <t xml:space="preserve">        PLAN DOTACJI DLA PODMIOTÓW ZALICZANYCH DO SEKTORA FINANSÓW </t>
  </si>
  <si>
    <t xml:space="preserve">PUBLICZNYCH NA CELE PUBLICZNE ZWIĄZANE Z REALIZACJĄ ZADAŃ MIASTA  </t>
  </si>
  <si>
    <t xml:space="preserve">                                                             NA 2013 ROK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</si>
  <si>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</si>
  <si>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</si>
  <si>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</si>
  <si>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</si>
  <si>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</si>
  <si>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zakup monitoringu wewnętrznego do autobusów - MZK</t>
  </si>
  <si>
    <t>na realizację zadania pn. "Aglomeracja konińska -  współpraca JST kluczem do nowoczesnego rozwoju gospodarczego"</t>
  </si>
  <si>
    <t>Gospodarka komunalna  i ochrona środowiska</t>
  </si>
  <si>
    <t xml:space="preserve">dotacja dla KDK na wykonanie klimatyzacji pomieszczenia Strefy K oraz modernizacja central klimatyzacyjnych sali widowiskowej
</t>
  </si>
  <si>
    <t>Miejska Biblioteka Publiczna</t>
  </si>
  <si>
    <t>koszty utrzymania dzieci  z miasta Konina umieszczonych w placówkach opiekuńczych na terenie kraju</t>
  </si>
  <si>
    <t>koszty utrzymania dzieci  z miasta Konina umieszczonych w rodzinach zastępczych na terenie kraju</t>
  </si>
  <si>
    <t>prowadzenie działalności Powiatowego Urzędu Pracy</t>
  </si>
  <si>
    <t xml:space="preserve">do Uchwały nr </t>
  </si>
  <si>
    <t xml:space="preserve">z dnia  27 listopada 2013 roku     </t>
  </si>
  <si>
    <t>Załącznik nr 5</t>
  </si>
  <si>
    <t>ZAŁĄCZNIK nr 4</t>
  </si>
  <si>
    <t xml:space="preserve">pkt 1)  kwotę rezerwy ogólnej </t>
  </si>
  <si>
    <t>b) kwotę części powiatowej</t>
  </si>
  <si>
    <t>pkt 3) kwotę rezerwy celowej na inwestycje i zakupy inwestycyjne</t>
  </si>
  <si>
    <t>Zakup pierwszego wyposażenia dla nowoutworzonego oddziału przedszkolnego przy Przedszkolu nr 1  na osiedlu Wilków</t>
  </si>
  <si>
    <t xml:space="preserve">Zakup pierwszego wyposażenia dla nowoutworzonego oddziału przedszkolnego </t>
  </si>
  <si>
    <t>przy Przedszkolu nr 1  na osiedlu Wilków</t>
  </si>
  <si>
    <t>do sektora finansów publicznych na cele publiczne związane z realizacją zadań miasta na 2013 rok"</t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</si>
  <si>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</si>
  <si>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t>" Limit wydatków majątkowych na programy finansowane z udziałem środków, o których</t>
  </si>
  <si>
    <r>
      <t xml:space="preserve">brzmienie w treści </t>
    </r>
    <r>
      <rPr>
        <b/>
        <sz val="13"/>
        <rFont val="Times New Roman"/>
        <family val="1"/>
      </rPr>
      <t xml:space="preserve">Załącznika nr 2 </t>
    </r>
    <r>
      <rPr>
        <sz val="13"/>
        <rFont val="Times New Roman"/>
        <family val="1"/>
      </rPr>
      <t xml:space="preserve">  do niniejszej uchwały</t>
    </r>
  </si>
  <si>
    <t>9. Załącznik nr 4 do uchwały budżetowej obejmujący:</t>
  </si>
  <si>
    <t>10. Załącznik nr 5 do uchwały budżetowej obejmujący:</t>
  </si>
  <si>
    <r>
      <t xml:space="preserve">brzmienie w treści </t>
    </r>
    <r>
      <rPr>
        <b/>
        <sz val="13"/>
        <rFont val="Times New Roman"/>
        <family val="1"/>
      </rPr>
      <t>Załącznika nr 3</t>
    </r>
    <r>
      <rPr>
        <sz val="13"/>
        <rFont val="Times New Roman"/>
        <family val="1"/>
      </rPr>
      <t xml:space="preserve">  do niniejszej uchwały</t>
    </r>
  </si>
  <si>
    <r>
      <t xml:space="preserve">11. Załącznik nr 11 do uchwały budżetowej obejmujący  </t>
    </r>
    <r>
      <rPr>
        <i/>
        <sz val="13"/>
        <rFont val="Times New Roman"/>
        <family val="1"/>
      </rPr>
      <t>"Plan dotacji dla podmiotów nie zaliczanych</t>
    </r>
  </si>
  <si>
    <r>
      <t xml:space="preserve">12. 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</si>
  <si>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5 </t>
    </r>
    <r>
      <rPr>
        <sz val="13"/>
        <rFont val="Times New Roman"/>
        <family val="1"/>
      </rPr>
      <t>do niniejszej uchwały</t>
    </r>
  </si>
  <si>
    <t>13. W § 4 do uchwały budżetowej dokonuje się następujących zmian:</t>
  </si>
  <si>
    <t>Aktualizacja  dokumentacji projektowej na „Przebudowę mostu im. Józefa Piłsudskiego w  Koninie"</t>
  </si>
  <si>
    <t>zabezpieczenie</t>
  </si>
  <si>
    <t>opracowanie dokumentacji projektowej i budowa przyłącza</t>
  </si>
  <si>
    <t>Dofinansowanie zakupu   radiowozów dla KMP w Koninie</t>
  </si>
  <si>
    <t>zakup   radiowozów</t>
  </si>
  <si>
    <t xml:space="preserve">wykonanie sterowania wyjazdową sygnalizacją świetlną </t>
  </si>
  <si>
    <t>Budowa ulicy na os. Zemełki oznaczonej w planie symbolem KL-2  wraz z dwoma sięgaczami KD</t>
  </si>
  <si>
    <t>SP nr 8/WO</t>
  </si>
  <si>
    <t xml:space="preserve"> z dnia 30 stycznia 2013 r. Nr 13/2013 Prezydenta Miasta Konina z dnia 7 lutego 2013 r.; Nr 14/2013 Prezydenta</t>
  </si>
  <si>
    <t>Miasta Konina z dnia  15 lutego 2013 r.; Nr 522 Rady Miasta Konina z dnia 27 lutego 2013 r.; Nr 22/2013</t>
  </si>
  <si>
    <t>Nr 540 Rady Miasta Konina z dnia 27 marca 2013 r.;  Nr 40/2013 Prezydenta Miasta Konina z dnia</t>
  </si>
  <si>
    <t xml:space="preserve">z dnia  25 kwietnia 2013 r.;  Nr 49/2013 Prezydenta Miasta Konina z dnia 29 kwietnia 2013 r.;  </t>
  </si>
  <si>
    <t>Opracowanie dokumentacji projektowo-kosztorysowej ścieżki rowerowej wokół Wyspy Pociejewo</t>
  </si>
  <si>
    <t>a/ nabycie działek gruntu obrębach: Pawłówek, Przydziałki, Grójec, Łężyn, Nowy Dwór ;  b/ nabycie gruntów w związku z przebudową ulic: Europejskiej, Kolskiej, Warszawskiej                                                          c/ wykupy gruntów pod budowę przyszłych dróg na terenie całego miasta</t>
  </si>
  <si>
    <t>Zakup i zamontowanie windy dla uczniów niepełnosprawnych w  SP nr 15 w Koninie</t>
  </si>
  <si>
    <t>zakup i zamontowanie windy</t>
  </si>
  <si>
    <t>Modernizacja oświetlenia ulicznego miasta  Konina na energooszczędne</t>
  </si>
  <si>
    <t>2013/2015</t>
  </si>
  <si>
    <t>Adaptacja pomieszczeń budynku Klubu Energetyk na potrzeby Młodzieżowego Domu Kultury w Koninie</t>
  </si>
  <si>
    <t xml:space="preserve">adaptacja pomieszczeń budynku </t>
  </si>
  <si>
    <t>przebudowa chodnika</t>
  </si>
  <si>
    <t>Wniesienie wkładu pieniężnego na opracowanie dokumentacji projektowej na budowę kanalizacji sanitarnej os. Wilków V etap (ul. Topolowa, Jarzębinowa)</t>
  </si>
  <si>
    <t xml:space="preserve">ul. Przemysłowa (dawny 
Konwart); ul.Przemysłowa  - ul. Jeziorna; ul. Przemysłowa – Maliniec  (2 przejścia – rejon ul. Zapłocie i  ul. Malinieckiej); 
ul. Przemysłowa – Gaj; ul. Ślesińska - Cukrownia
</t>
  </si>
  <si>
    <t xml:space="preserve">Budowa oświetlenia ulicznego Al.. Cukrownicza, ul. Pałacowa, ul. 150-lecia, ul. Kortowa
</t>
  </si>
  <si>
    <t>oświetlenie uliczne</t>
  </si>
  <si>
    <t>Budowa kanalizacji deszczowej na terenie osiedla Pątnów  w Koninie</t>
  </si>
  <si>
    <t>dokumentacja projektowo-kosztorysowa</t>
  </si>
  <si>
    <t>Przygotowanie terenów inwestycyjnych w obrębie Konin - Międzylesie</t>
  </si>
  <si>
    <t>opracowanie studyjno-koncepcyjne, opracowanie dokumentacji projektowej</t>
  </si>
  <si>
    <t>2011/2013</t>
  </si>
  <si>
    <t>Budowa przyłączy kanalizacyjnych i przyłączenie nieruchomości do miejskiej sieci kanalizacyjnej</t>
  </si>
  <si>
    <t>przyłącza kanalizacyjne</t>
  </si>
  <si>
    <t>GK</t>
  </si>
  <si>
    <t xml:space="preserve">Kultura fizyczna </t>
  </si>
  <si>
    <t>Obiekty sportowe</t>
  </si>
  <si>
    <t>Wykonanie piłkochwytów przy boisku ORLIK 2012 przy Gimnazjum nr 3 na os. Chorzeń</t>
  </si>
  <si>
    <t>podwyższenie istniejących piłkochwytów</t>
  </si>
  <si>
    <t>Dokumentacja przyszłościowa na budowę boiska przy Gimnazjum                      nr 7 ul. Kard.Wyszyńskiego</t>
  </si>
  <si>
    <t>opracowanie dokumentacji projektowej</t>
  </si>
  <si>
    <t xml:space="preserve">Instytucje kultury fizycznej </t>
  </si>
  <si>
    <t>Wykonanie siłowni terenowej na osiedlu Zatorze</t>
  </si>
  <si>
    <t>siłownia terenowa</t>
  </si>
  <si>
    <t>MOSiR</t>
  </si>
  <si>
    <t>RAZEM POWIAT</t>
  </si>
  <si>
    <t>Drogi publiczne w miastach na prawach powiatu</t>
  </si>
  <si>
    <t>Przebudowa Wiaduktu Briańskiego wraz ze skrzyżowaniem ulic Kleczewska-Fryderyka Chopina</t>
  </si>
  <si>
    <t>przebudowa wiaduktu wraz ze skrzyżowaniem ulic oraz odwodnieniem i oświetleniem</t>
  </si>
  <si>
    <t>WI/GN</t>
  </si>
  <si>
    <t>Przebudowa ul. Żwirki i Wigury wraz z kanalizacją deszczową</t>
  </si>
  <si>
    <t>przebudowa ulicy wraz z kanalizacją deszczową</t>
  </si>
  <si>
    <t xml:space="preserve">Opracowanie dokumentacji projektowo-kosztorysowej na połączenie ul. I. Paderewskiego z ul. Kard. S. Wyszyńskiego
</t>
  </si>
  <si>
    <t>Budowa oświetlenia solarnego</t>
  </si>
  <si>
    <t>Rady  Miasta Konina</t>
  </si>
  <si>
    <t xml:space="preserve">Opracowanie dokumentacji projektowej na przebudowę parkingu przy ul.Kard. S. Wyszyńskiego
</t>
  </si>
  <si>
    <t>Aktualizacja dokumentacji projektowej na II etap nowego przebiegu drogi krajowej Nr 25</t>
  </si>
  <si>
    <t xml:space="preserve">aktualizacja dokumentacji projektowej </t>
  </si>
  <si>
    <t>Działalność usługowa</t>
  </si>
  <si>
    <t>Ośrodki dokumentacji geodezyjnej i kartograficznej</t>
  </si>
  <si>
    <t>Zakup sprzętu komputerowego i kserograficznego do obsługi państwowego zasobu geodezyjnego i kartograficznego</t>
  </si>
  <si>
    <t>zakup sprzętu komputerowego i kserograficznego</t>
  </si>
  <si>
    <t>GM</t>
  </si>
  <si>
    <t>Nadzór budowlany</t>
  </si>
  <si>
    <t>Zakup urządzenia biurowego wielofunkcyjnego dla PINB dla miasta Konina</t>
  </si>
  <si>
    <t>zakup urządzenia wielofunkcyjnego (drukarka, fax., skan, kserokopiarka)</t>
  </si>
  <si>
    <t>PINB</t>
  </si>
  <si>
    <t>Zakup zestawu komputerowego wraz z oprogramowaniem dla PINB dla miasta Konina</t>
  </si>
  <si>
    <t>zakup komputera stacjonarnego (komputer, monitor, mysz, klawiatura, oprogramowanie)</t>
  </si>
  <si>
    <t>Komendy powiatowe Państwowej Straży Pożarnej</t>
  </si>
  <si>
    <t>85305</t>
  </si>
  <si>
    <t>2830</t>
  </si>
  <si>
    <t>851</t>
  </si>
  <si>
    <t>85158</t>
  </si>
  <si>
    <t>6010</t>
  </si>
  <si>
    <t>6050</t>
  </si>
  <si>
    <t>85111</t>
  </si>
  <si>
    <t>6220</t>
  </si>
  <si>
    <t>6800</t>
  </si>
  <si>
    <t>926</t>
  </si>
  <si>
    <t>92604</t>
  </si>
  <si>
    <t>0960</t>
  </si>
  <si>
    <t>75022</t>
  </si>
  <si>
    <t>3030</t>
  </si>
  <si>
    <t>4040</t>
  </si>
  <si>
    <t>4480</t>
  </si>
  <si>
    <t>754</t>
  </si>
  <si>
    <t>75412</t>
  </si>
  <si>
    <t>6230</t>
  </si>
  <si>
    <t>75495</t>
  </si>
  <si>
    <t>85215</t>
  </si>
  <si>
    <t>3110</t>
  </si>
  <si>
    <t>852</t>
  </si>
  <si>
    <t>85219</t>
  </si>
  <si>
    <t>921</t>
  </si>
  <si>
    <t>92109</t>
  </si>
  <si>
    <t>2480</t>
  </si>
  <si>
    <t>80114</t>
  </si>
  <si>
    <t>85410</t>
  </si>
  <si>
    <t>80140</t>
  </si>
  <si>
    <t>80145</t>
  </si>
  <si>
    <t>Przebudowa pomieszczeń garażowych budynku strażnicy wraz z modernizacją kanalizacji deszczowej oraz wymianą nawierzchni placu manewrowego JRG Nr 1 i Komendy Miejskiej Państwowej Straży Pożarnej w Koninie</t>
  </si>
  <si>
    <t>a/ kompleksowa modernizacja garaży,                                          b/ kompleksowa modernizacja łazienki w JRG Nr 1,                                                                   c/ modernizacja kanalizacji sanitarnej i deszczowej w garażach i placach manewrowych,                                                    d/ modernizacja nawierzchni placów manewrowych</t>
  </si>
  <si>
    <t>KMPSP</t>
  </si>
  <si>
    <t>Dokształcanie i doskonalenie nauczycieli</t>
  </si>
  <si>
    <t>Wymiana stolarki drzwiowej w głównym wejściu do Miejskiego Ośrodka Doskonalenia Nauczycieli w Koninie</t>
  </si>
  <si>
    <t xml:space="preserve">wymiana stolarki drzwiowej </t>
  </si>
  <si>
    <t>MODN/WO</t>
  </si>
  <si>
    <t>Pomoc społeczna</t>
  </si>
  <si>
    <t>Domy Pomocy Społecznej</t>
  </si>
  <si>
    <t>Zakup samochodu do przewozu osób niepełnosprawnych dla DPS w Koninie</t>
  </si>
  <si>
    <t xml:space="preserve">samochód do przewozu osób niepełnosprawnych </t>
  </si>
  <si>
    <t>DPS</t>
  </si>
  <si>
    <t>Rozbudowa boisk przy ZSGE                   ul. Kard. Wyszyńskiego 3  w Koninie</t>
  </si>
  <si>
    <t>opracowanie dokumentacji projektowej i wykonawstwo</t>
  </si>
  <si>
    <t>2013/2014</t>
  </si>
  <si>
    <t>Budowa instalacji wewnętrznych ciepłej wody i centralnego ogrzewania z węzłem cieplnym w budynku przy ul. Zofii Urbanowskiej 4</t>
  </si>
  <si>
    <t>zakupu i montażu zestawu pn. "System Aktiv Zestaw 11"</t>
  </si>
  <si>
    <t xml:space="preserve">Rewitalizacja Starówki - budowa budynków mieszkalnych wielorodzinnych pomiędzy ulicą  Wodną  i Grunwaldzką w Koninie </t>
  </si>
  <si>
    <t xml:space="preserve">budowa instalacji wewnętrznych ciepłej wody i centralnego ogrzewania z węzłem cieplnym </t>
  </si>
  <si>
    <t xml:space="preserve"> Wiesław  Steinke</t>
  </si>
  <si>
    <t xml:space="preserve">na 2013 rok:  Nr  4/2013 Prezydenta Miasta Konina z dnia 23 stycznia 2013 r.; Nr 513 Rady Miasta Konina </t>
  </si>
  <si>
    <t xml:space="preserve">miasta Konina na 2013 rok zmienionej zarządzeniami  i uchwałami w sprawie zmian w budżecie miasta Konina </t>
  </si>
  <si>
    <t>Budowa oświetlenia ul. Żwirki i Wigury w Koninie</t>
  </si>
  <si>
    <t>Przebudowa ulicy Romana Dmowskiego w Koninie</t>
  </si>
  <si>
    <t>przebudowa ulicy</t>
  </si>
  <si>
    <t>wymiana lamp</t>
  </si>
  <si>
    <t>801</t>
  </si>
  <si>
    <t>zakup i montaż lamp solarnych ul. Beznazwy, Jeziorko os.Zatorze i ul. Spacerowa</t>
  </si>
  <si>
    <t>Budowa oświetlenia na ul. Kanałowej w Koninie</t>
  </si>
  <si>
    <t>6. W Załączniku Nr 2 do uchwały budżetowej dokonuje się następujących zmian:</t>
  </si>
  <si>
    <r>
      <t xml:space="preserve">ze środków budżetowych miasta Konina na 2013 rok " </t>
    </r>
    <r>
      <rPr>
        <sz val="12"/>
        <rFont val="Times New Roman"/>
        <family val="1"/>
      </rPr>
      <t xml:space="preserve"> dokonuje się następujących zmian"</t>
    </r>
  </si>
  <si>
    <t>6060</t>
  </si>
  <si>
    <t>Opracowanie dokumentacji projektowej i budowa przyłącza do budynku przy ul. Andrzeja Benesza do sieci KoMAN</t>
  </si>
  <si>
    <t>Kultura i ochrona dziedzictwa narodowego</t>
  </si>
  <si>
    <t>Turystyka</t>
  </si>
  <si>
    <t>Wykonanie monitoringu na placu zabaw przy Szkole Podstawowej nr 1 w Koninie</t>
  </si>
  <si>
    <t>Zakup zmywarki dla SP nr 8 w Koninie</t>
  </si>
  <si>
    <t>budowa przyłącza</t>
  </si>
  <si>
    <t>Utrzymanie zieleni w miastach i gminach</t>
  </si>
  <si>
    <t xml:space="preserve">Nr  54/2013 Prezydenta Miasta Konina z dnia 16 maja 2013 r.; Nr  58/2013 Prezydenta Miasta Konina </t>
  </si>
  <si>
    <t>Lp.</t>
  </si>
  <si>
    <t xml:space="preserve">SPnr 1/WO </t>
  </si>
  <si>
    <t xml:space="preserve">SPnr 3/WO </t>
  </si>
  <si>
    <t xml:space="preserve">SPnr 12/WO </t>
  </si>
  <si>
    <t xml:space="preserve">Budowa ulic na osiedlu Przydziałki - etap II </t>
  </si>
  <si>
    <t>Opracowanie dokumentacji projektowo - kosztorysowej na budowę parkingu  przy ulicy Powstańców Styczniowych 1 -3 -5</t>
  </si>
  <si>
    <t>Przebudowa parkingu przy ul. Kard. S. Wyszyńskiego 19 i 21 w Koninie</t>
  </si>
  <si>
    <t>Wykonanie ( Wyznaczenie) miejsca do ważenia pojazdów na ulicy Hutniczej w Koninie</t>
  </si>
  <si>
    <t>Adaptację budynku Sądu Rejonowego w Koninie na cele administracyjne</t>
  </si>
  <si>
    <t>Wykonanie zabezpieczeń na  Bulwarze Nadwarciańskim w Koninie</t>
  </si>
  <si>
    <t>Opracowanie  dokumentacji projektowej ul. Laskówiecka w Koninie</t>
  </si>
  <si>
    <t>Cmentarze</t>
  </si>
  <si>
    <t>Opracowanie koncepcji  na rozbudowę cmentarza wraz z układem komunikacyjnym przy ul. Kolskiej w Koninie</t>
  </si>
  <si>
    <t>opracowanie koncepcji</t>
  </si>
  <si>
    <t xml:space="preserve">                                     z dnia  27 listopada   2013 roku</t>
  </si>
  <si>
    <r>
      <rPr>
        <sz val="12"/>
        <rFont val="Times New Roman"/>
        <family val="1"/>
      </rPr>
      <t xml:space="preserve">14 listopada 2013 r.; </t>
    </r>
    <r>
      <rPr>
        <b/>
        <sz val="12"/>
        <rFont val="Times New Roman"/>
        <family val="1"/>
      </rPr>
      <t xml:space="preserve"> - wprowadza się następujące zmiany:</t>
    </r>
  </si>
  <si>
    <t>Nr 645 Rady Miasta Konina z dnia 30 października 2013 r.; Nr    /2013 Prezydenta Miasta Konina z dnia 14</t>
  </si>
  <si>
    <t>3040</t>
  </si>
  <si>
    <t>85446</t>
  </si>
  <si>
    <t>4017</t>
  </si>
  <si>
    <t>4217</t>
  </si>
  <si>
    <t>4417</t>
  </si>
  <si>
    <t>75020</t>
  </si>
  <si>
    <t>0920</t>
  </si>
  <si>
    <t>600</t>
  </si>
  <si>
    <t>60016</t>
  </si>
  <si>
    <t>60015</t>
  </si>
  <si>
    <t>758</t>
  </si>
  <si>
    <t>75818</t>
  </si>
  <si>
    <t>4810</t>
  </si>
  <si>
    <t>80113</t>
  </si>
  <si>
    <t>60095</t>
  </si>
  <si>
    <t>0490</t>
  </si>
  <si>
    <t>0690</t>
  </si>
  <si>
    <t>4420</t>
  </si>
  <si>
    <t>z dnia  27 listopada 2013 roku</t>
  </si>
  <si>
    <t>z dnia 27 listopada 2013 roku</t>
  </si>
  <si>
    <t xml:space="preserve">do Uchwały nr    </t>
  </si>
  <si>
    <t>" Limit wydatków bieżących na programy finansowane z udziałem środków, o których</t>
  </si>
  <si>
    <r>
      <t xml:space="preserve">mowa w art. 5 ust. 1 pkt 2 i 3 ustawy o finansach publicznych na 2013 rok" </t>
    </r>
    <r>
      <rPr>
        <sz val="13"/>
        <rFont val="Times New Roman"/>
        <family val="1"/>
      </rPr>
      <t xml:space="preserve">otrzymuje </t>
    </r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</si>
  <si>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</si>
  <si>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"Słoneczny Świat Przedszkolaka"</t>
  </si>
  <si>
    <t>Zakup i montaż dźwigów  osobowych (platform)   w budynkach przy ul. Kosmonautów 10 i  ul. 11 Listopada 9</t>
  </si>
  <si>
    <t>Wniesienie wkładu pieniężnego na opracowanie dokumentacji na budowę kanalizacji sanitarnej osiedle Morzysław II etap i sieci wodociągowej w ulicy Staromorzysławskiej</t>
  </si>
  <si>
    <t>Wniesienie wkładu pieniężnego na budowę sieci kanalizacji sanitarnej i wodociągu w ulicy Rudzickiej</t>
  </si>
  <si>
    <t>Wniesienie wkładu pieniężnego na budowę wodociągu w ulicy Piaskowej, Borowej i Świerkowej</t>
  </si>
  <si>
    <t>rozdz.80104 § 4040</t>
  </si>
  <si>
    <t>P nr 1</t>
  </si>
  <si>
    <t>P nr 2</t>
  </si>
  <si>
    <t>P nr 5</t>
  </si>
  <si>
    <t>P nr 6</t>
  </si>
  <si>
    <t>P nr 7</t>
  </si>
  <si>
    <t>P nr 8</t>
  </si>
  <si>
    <t>P nr 10</t>
  </si>
  <si>
    <t>P nr 12</t>
  </si>
  <si>
    <t>P nr 13</t>
  </si>
  <si>
    <t>P nr 25</t>
  </si>
  <si>
    <t>P nr 31</t>
  </si>
  <si>
    <t>P nr 32</t>
  </si>
  <si>
    <t>SP nr 1</t>
  </si>
  <si>
    <t>SP nr 5</t>
  </si>
  <si>
    <t>SP nr 3</t>
  </si>
  <si>
    <t>SP nr 4</t>
  </si>
  <si>
    <t>SP nr 8</t>
  </si>
  <si>
    <t>SP nr 9</t>
  </si>
  <si>
    <t>SP nr 10</t>
  </si>
  <si>
    <t>SP nr 12</t>
  </si>
  <si>
    <t>rozdz.80101 § 4040</t>
  </si>
  <si>
    <t>rozdz.80148 § 4040</t>
  </si>
  <si>
    <t>rozdz.85401 § 4040</t>
  </si>
  <si>
    <t>rozdz.80103 § 4040</t>
  </si>
  <si>
    <t>rozdz.80110 § 4040</t>
  </si>
  <si>
    <t>G nr 1</t>
  </si>
  <si>
    <t>G nr 2</t>
  </si>
  <si>
    <t>G nr 4</t>
  </si>
  <si>
    <t>G nr 5</t>
  </si>
  <si>
    <t>G nr 6</t>
  </si>
  <si>
    <t>G nr 7</t>
  </si>
  <si>
    <t>80103</t>
  </si>
  <si>
    <t>80148</t>
  </si>
  <si>
    <t>4240</t>
  </si>
  <si>
    <t>4170</t>
  </si>
  <si>
    <t>Opracowanie dokumentacji projektowej na budowę toalet  przy Bulwarze Nadwarciańskim w Koninie</t>
  </si>
  <si>
    <t xml:space="preserve">Uzupełnienie urządzeń zabawowych na placu zabaw pomiędzy budynkami ul.   Wieniawskiego i Noskowskiego w Koninie
</t>
  </si>
  <si>
    <t>Wykonanie sterowania wyjazdową sygnalizacją świetlną w Komendzie Miejskiej Państwowej Straży Pożarnej w Koninie  w siedzibie Jednostki Ratowniczo – Gaśniczej Nr 2</t>
  </si>
  <si>
    <t>Opracowanie dokumentacji  projektowo - kosztorysowej na budowę parkingu oraz drogi dojazdowej przy cmentarzu na ulicy Kolskiej</t>
  </si>
  <si>
    <t>wykonanie projektu, wykonanie prac, wymiana rejestratora, zakup kamer i urządzeń</t>
  </si>
  <si>
    <t>ZOUM</t>
  </si>
  <si>
    <t>Różne rozliczenia</t>
  </si>
  <si>
    <t>Rezerwy ogólne i celowe</t>
  </si>
  <si>
    <t>Zakup busa do przewozu dzieci niepełnosprawnych w Szkole Podstawowej Oddziałami Integracyjnymi Nr 9</t>
  </si>
  <si>
    <t>SP nr 9/WO</t>
  </si>
  <si>
    <t>Wykonanie ścianki boulderowej  dla Gimnazjum nr 3 w Koninie</t>
  </si>
  <si>
    <t>Szpitale ogólne</t>
  </si>
  <si>
    <t>WS</t>
  </si>
  <si>
    <t>Domy i ośrodki kultury, świetlice i kluby</t>
  </si>
  <si>
    <t>CKU/WO</t>
  </si>
  <si>
    <t>IILO.WO</t>
  </si>
  <si>
    <t>Licea ogólnokształcące</t>
  </si>
  <si>
    <t>Zakup kosiarki spalinowej dla DPS w Koninie</t>
  </si>
  <si>
    <t>zakup kosiarki spalinowej</t>
  </si>
  <si>
    <t>700</t>
  </si>
  <si>
    <t>Budowa ogrodzenia zespołu garaży przy ulicy Gajowej w Koninie</t>
  </si>
  <si>
    <t>Zakup i montaż wiat przystankowych</t>
  </si>
  <si>
    <t>Lokalny transport zbiorowy</t>
  </si>
  <si>
    <t>wiaty przystankowe</t>
  </si>
  <si>
    <t>GN</t>
  </si>
  <si>
    <t>budowa ogrodzenia</t>
  </si>
  <si>
    <t xml:space="preserve">WI </t>
  </si>
  <si>
    <t>Opracowanie dokumentacji projektowo-kosztorysowej na budowę łącznika od ul. Przemysłowej do ul. Kleczewskiej</t>
  </si>
  <si>
    <t>Dotacja celowa na dofinansowanie zakupu oprogramowania wraz z licencją w ramach informatyzacji Wojewódzkiego Szpitala Zespolonego w Koninie</t>
  </si>
  <si>
    <t>Budowa ulic: Jesionowej, Modrzewiowej, Lipowej, Klonowej i Cisowej  w Koninie</t>
  </si>
  <si>
    <t>Budowa - przedłużenie ulicy Solnej - odcinek od ul. Kaliskiej do ul. Świętojańskiej</t>
  </si>
  <si>
    <t>Budowa chodnika na ul. Działkowej w Koninie</t>
  </si>
  <si>
    <t>Komendy powiatowe Policji</t>
  </si>
  <si>
    <t xml:space="preserve">1. Projekt i budowa przyłączy dla MBP na ul. Dworcowej i dla Konińskiego Domu Kultury oraz rurociągu w Moście Briańskim.
2. Wypełnienie światłowodem rurociągu na trasie od ul. Powstańców Wielkopolskich do ul. Kleczewskiej
</t>
  </si>
  <si>
    <t>podłączenie do sieci</t>
  </si>
  <si>
    <t>zakup sztandaru</t>
  </si>
  <si>
    <t>Budowa ulicy Leopolda Staffa w Koninie</t>
  </si>
  <si>
    <t>Rozbudowa monitoringu miejskiego</t>
  </si>
  <si>
    <t>Rozbudowa miejskiej sieci szerokopasmowej KoMAN</t>
  </si>
  <si>
    <t>Budowa windy schodowej dla osób niepełnosprawnych w Przedszkolu nr 32</t>
  </si>
  <si>
    <t>Budowa podjazdu dla osób niepełnosprawnych przy Przedszkolu nr 32</t>
  </si>
  <si>
    <t>Budowa placów zabaw w mieście Koninie</t>
  </si>
  <si>
    <t>Przebudowa chodnika przy ulicy Staromorzysławskiej w Koninie</t>
  </si>
  <si>
    <t>Termomodernizacja budynku II Liceum w Koninie</t>
  </si>
  <si>
    <t>Budowa hangaru przy Zespole Szkól Centrum Kształcenia Ustawicznego w Koninie</t>
  </si>
  <si>
    <t>KT/KDK</t>
  </si>
  <si>
    <t>80101</t>
  </si>
  <si>
    <t>Budowa kanalizacji deszczowej w rejonie ulicy Gajowej w Koninie</t>
  </si>
  <si>
    <t>Przebudowa chodnika ul. Żeglarska w Koninie</t>
  </si>
  <si>
    <t>tablica interaktywna</t>
  </si>
  <si>
    <t xml:space="preserve">likwidacja kolizji sieci elektroenergetycznej </t>
  </si>
  <si>
    <t>docieplenie ścian zewnętrznych i dachu</t>
  </si>
  <si>
    <t>Centra kształcenia ustawicznego i praktycznego oraz ośrodki dokształcania zawodowego</t>
  </si>
  <si>
    <t>Prezydenta Miasta Konina z dnia 7 marca 2013 r.; Nr 25/2013 Prezydenta Miasta Konina z dnia 14 marca 2013 r.;</t>
  </si>
  <si>
    <t>Budowa placu zabaw w ramach programu rządowego "Radosna Szkoła" przy Szkole Podstawowej Nr 3</t>
  </si>
  <si>
    <t>4220</t>
  </si>
  <si>
    <t>4410</t>
  </si>
  <si>
    <t>Zakup kotła elektrycznego dla Przedszkola nr 5 w Koninie</t>
  </si>
  <si>
    <t>P nr 5/WO</t>
  </si>
  <si>
    <t>zakup kotła elektrycznego</t>
  </si>
  <si>
    <t>4440</t>
  </si>
  <si>
    <t>Budowa placu zabaw w ramach programu rządowego "Radosna Szkoła" przy Szkole Podstawowej Nr 9</t>
  </si>
  <si>
    <t>Budowa placu zabaw w ramach programu rządowego "Radosna Szkoła" przy Szkole Podstawowej Nr 12</t>
  </si>
  <si>
    <t>Zakup tablicy interaktywnej dla Przedszkola nr 14</t>
  </si>
  <si>
    <t>Zakup zestawu komputerowego dla Przedszkola nr 14</t>
  </si>
  <si>
    <t>zestaw komputerowy</t>
  </si>
  <si>
    <t>P nr 14/WO</t>
  </si>
  <si>
    <t>w tym;</t>
  </si>
  <si>
    <t>4300</t>
  </si>
  <si>
    <t>Przebudowa - likwidacja kolizji sieci elektroenergetycznej obręb Maliniec</t>
  </si>
  <si>
    <t>0970</t>
  </si>
  <si>
    <t xml:space="preserve">pkt 2)  kwotę rezerwy celowej oświatowej </t>
  </si>
  <si>
    <t>Budowa ul. Paprotkowej, Azaliowej i Kameliowej w Koninie</t>
  </si>
  <si>
    <t>Zainstalowanie klimatyzacji w budynku Urzędu Miejskiego plac Wolności 1</t>
  </si>
  <si>
    <t>Wniesienie wkładu pieniężnego na budowę kanalizacji sanitarnej w ulicy Magnoliowej</t>
  </si>
  <si>
    <t>Dla MOS i R</t>
  </si>
  <si>
    <t>Nazwa programu, cel i zadanie</t>
  </si>
  <si>
    <t>Jednostka organizacyjna</t>
  </si>
  <si>
    <t>Okres realizacji</t>
  </si>
  <si>
    <t>Środki budżetu państwa; środki własne gminy</t>
  </si>
  <si>
    <t>Zadania gminy</t>
  </si>
  <si>
    <t>PROJEKT</t>
  </si>
  <si>
    <t>Europejski Fundusz Społeczny - Program  Operacyjny Kapitał Ludzki</t>
  </si>
  <si>
    <t>Urząd Miejski w Koninie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</si>
  <si>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</si>
  <si>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</si>
  <si>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>cel: Rozwój przedsiębiorczości w Mieście Koninie oraz poprawa sytuacji na rynku pracy poprzez wsparcie 70 osób zamierzających rozpocząć działalność gospodarczą w terminie od 2.01.2012 r. do 30.09.2013 r.</t>
  </si>
  <si>
    <t>2012-2013</t>
  </si>
  <si>
    <t xml:space="preserve">Przedszkole nr 32 w Koninie 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</si>
  <si>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</si>
  <si>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</si>
  <si>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>Przedszkole nr 14</t>
  </si>
  <si>
    <t xml:space="preserve"> projekt Pt. "Wszystko zaczyna się od przedszkola"</t>
  </si>
  <si>
    <t xml:space="preserve">Przedszkole nr 10 z oddziałami integracyjnymi "Leszczynowa Górka"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</si>
</sst>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28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sz val="9"/>
      <name val="Arial"/>
      <family val="0"/>
    </font>
    <font>
      <sz val="14"/>
      <name val="Arial"/>
      <family val="0"/>
    </font>
    <font>
      <sz val="8"/>
      <name val="Times New Roman"/>
      <family val="1"/>
    </font>
    <font>
      <i/>
      <sz val="16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i/>
      <sz val="9"/>
      <name val="Times New Roman"/>
      <family val="1"/>
    </font>
    <font>
      <sz val="9"/>
      <name val="Arial CE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sz val="16"/>
      <name val="Times New Roman"/>
      <family val="1"/>
    </font>
    <font>
      <i/>
      <sz val="10"/>
      <name val="Arial"/>
      <family val="0"/>
    </font>
    <font>
      <b/>
      <sz val="16"/>
      <name val="Times New Roman"/>
      <family val="1"/>
    </font>
    <font>
      <b/>
      <sz val="9"/>
      <name val="Arial CE"/>
      <family val="0"/>
    </font>
    <font>
      <sz val="11"/>
      <name val="Times New Roman CE"/>
      <family val="1"/>
    </font>
    <font>
      <sz val="11"/>
      <name val="Arial"/>
      <family val="0"/>
    </font>
    <font>
      <b/>
      <sz val="10"/>
      <color indexed="10"/>
      <name val="Arial"/>
      <family val="2"/>
    </font>
    <font>
      <b/>
      <i/>
      <sz val="16"/>
      <name val="Times New Roman"/>
      <family val="1"/>
    </font>
    <font>
      <b/>
      <sz val="9"/>
      <name val="Arial"/>
      <family val="0"/>
    </font>
    <font>
      <i/>
      <sz val="9"/>
      <name val="Arial"/>
      <family val="0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9"/>
      <color indexed="63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6"/>
      <color indexed="12"/>
      <name val="Times New Roman"/>
      <family val="1"/>
    </font>
    <font>
      <b/>
      <sz val="9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48"/>
      <name val="Times New Roman"/>
      <family val="1"/>
    </font>
    <font>
      <i/>
      <sz val="13"/>
      <name val="Times New Roman"/>
      <family val="1"/>
    </font>
    <font>
      <sz val="14"/>
      <name val="Arial CE"/>
      <family val="2"/>
    </font>
    <font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12"/>
      <name val="Arial CE"/>
      <family val="0"/>
    </font>
    <font>
      <sz val="16"/>
      <name val="Arial"/>
      <family val="0"/>
    </font>
    <font>
      <sz val="16"/>
      <color indexed="10"/>
      <name val="Arial"/>
      <family val="0"/>
    </font>
    <font>
      <sz val="9"/>
      <color indexed="10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1" applyNumberFormat="0" applyAlignment="0" applyProtection="0"/>
    <xf numFmtId="0" fontId="114" fillId="27" borderId="2" applyNumberFormat="0" applyAlignment="0" applyProtection="0"/>
    <xf numFmtId="0" fontId="11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6" fillId="0" borderId="3" applyNumberFormat="0" applyFill="0" applyAlignment="0" applyProtection="0"/>
    <xf numFmtId="0" fontId="117" fillId="29" borderId="4" applyNumberFormat="0" applyAlignment="0" applyProtection="0"/>
    <xf numFmtId="0" fontId="118" fillId="0" borderId="5" applyNumberFormat="0" applyFill="0" applyAlignment="0" applyProtection="0"/>
    <xf numFmtId="0" fontId="119" fillId="0" borderId="6" applyNumberFormat="0" applyFill="0" applyAlignment="0" applyProtection="0"/>
    <xf numFmtId="0" fontId="120" fillId="0" borderId="7" applyNumberFormat="0" applyFill="0" applyAlignment="0" applyProtection="0"/>
    <xf numFmtId="0" fontId="120" fillId="0" borderId="0" applyNumberFormat="0" applyFill="0" applyBorder="0" applyAlignment="0" applyProtection="0"/>
    <xf numFmtId="0" fontId="121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2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3" fillId="0" borderId="8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32" borderId="0" applyNumberFormat="0" applyBorder="0" applyAlignment="0" applyProtection="0"/>
  </cellStyleXfs>
  <cellXfs count="998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14" fillId="0" borderId="0" xfId="53" applyNumberFormat="1" applyFont="1" applyFill="1" applyAlignment="1">
      <alignment horizontal="right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8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32" fillId="0" borderId="0" xfId="55" applyNumberFormat="1" applyFont="1" applyFill="1">
      <alignment/>
      <protection/>
    </xf>
    <xf numFmtId="49" fontId="32" fillId="0" borderId="0" xfId="55" applyNumberFormat="1" applyFont="1" applyFill="1" applyAlignment="1">
      <alignment horizontal="center"/>
      <protection/>
    </xf>
    <xf numFmtId="0" fontId="32" fillId="0" borderId="0" xfId="0" applyFont="1" applyFill="1" applyAlignment="1">
      <alignment horizontal="left"/>
    </xf>
    <xf numFmtId="0" fontId="32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5" fillId="0" borderId="17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" fillId="0" borderId="17" xfId="52" applyNumberFormat="1" applyFont="1" applyFill="1" applyBorder="1" applyAlignment="1">
      <alignment horizontal="right" vertical="top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17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164" fontId="9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3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2" fillId="0" borderId="0" xfId="53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>
      <alignment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>
      <alignment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top"/>
      <protection/>
    </xf>
    <xf numFmtId="0" fontId="10" fillId="0" borderId="14" xfId="52" applyFont="1" applyFill="1" applyBorder="1" applyAlignment="1">
      <alignment vertical="center" wrapText="1"/>
      <protection/>
    </xf>
    <xf numFmtId="49" fontId="3" fillId="0" borderId="0" xfId="56" applyNumberFormat="1" applyFont="1" applyFill="1">
      <alignment/>
      <protection/>
    </xf>
    <xf numFmtId="49" fontId="28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30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9" fontId="15" fillId="0" borderId="0" xfId="56" applyNumberFormat="1" applyFont="1" applyFill="1">
      <alignment/>
      <protection/>
    </xf>
    <xf numFmtId="49" fontId="6" fillId="0" borderId="0" xfId="52" applyNumberFormat="1" applyFont="1" applyFill="1" applyBorder="1" applyAlignment="1">
      <alignment horizontal="center"/>
      <protection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16" fillId="0" borderId="0" xfId="0" applyFont="1" applyFill="1" applyAlignment="1">
      <alignment/>
    </xf>
    <xf numFmtId="0" fontId="16" fillId="0" borderId="0" xfId="53" applyFont="1" applyFill="1">
      <alignment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4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4" fontId="48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0" xfId="0" applyNumberFormat="1" applyFont="1" applyFill="1" applyAlignment="1">
      <alignment/>
    </xf>
    <xf numFmtId="0" fontId="26" fillId="0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/>
    </xf>
    <xf numFmtId="0" fontId="46" fillId="0" borderId="13" xfId="0" applyFont="1" applyFill="1" applyBorder="1" applyAlignment="1">
      <alignment vertical="center" wrapText="1"/>
    </xf>
    <xf numFmtId="4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29" fillId="0" borderId="14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top" wrapText="1"/>
    </xf>
    <xf numFmtId="0" fontId="49" fillId="0" borderId="23" xfId="0" applyFont="1" applyFill="1" applyBorder="1" applyAlignment="1">
      <alignment vertical="center" wrapText="1"/>
    </xf>
    <xf numFmtId="4" fontId="49" fillId="0" borderId="23" xfId="0" applyNumberFormat="1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vertical="center" wrapText="1"/>
    </xf>
    <xf numFmtId="4" fontId="51" fillId="0" borderId="2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29" fillId="0" borderId="11" xfId="52" applyFont="1" applyFill="1" applyBorder="1" applyAlignment="1">
      <alignment vertical="center" wrapText="1"/>
      <protection/>
    </xf>
    <xf numFmtId="4" fontId="29" fillId="0" borderId="11" xfId="0" applyNumberFormat="1" applyFont="1" applyFill="1" applyBorder="1" applyAlignment="1">
      <alignment vertical="center" wrapText="1"/>
    </xf>
    <xf numFmtId="0" fontId="46" fillId="0" borderId="11" xfId="52" applyFont="1" applyFill="1" applyBorder="1" applyAlignment="1">
      <alignment vertical="center" wrapText="1"/>
      <protection/>
    </xf>
    <xf numFmtId="4" fontId="9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54" fillId="0" borderId="1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 wrapText="1"/>
    </xf>
    <xf numFmtId="4" fontId="29" fillId="0" borderId="23" xfId="0" applyNumberFormat="1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1" fillId="0" borderId="13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/>
    </xf>
    <xf numFmtId="0" fontId="29" fillId="0" borderId="10" xfId="52" applyFont="1" applyFill="1" applyBorder="1" applyAlignment="1">
      <alignment vertical="center" wrapText="1"/>
      <protection/>
    </xf>
    <xf numFmtId="0" fontId="46" fillId="0" borderId="10" xfId="52" applyFont="1" applyFill="1" applyBorder="1" applyAlignment="1">
      <alignment vertical="center" wrapText="1"/>
      <protection/>
    </xf>
    <xf numFmtId="4" fontId="29" fillId="0" borderId="10" xfId="52" applyNumberFormat="1" applyFont="1" applyFill="1" applyBorder="1" applyAlignment="1">
      <alignment vertical="center"/>
      <protection/>
    </xf>
    <xf numFmtId="0" fontId="12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29" fillId="0" borderId="13" xfId="52" applyFont="1" applyFill="1" applyBorder="1" applyAlignment="1">
      <alignment vertical="center" wrapText="1"/>
      <protection/>
    </xf>
    <xf numFmtId="4" fontId="9" fillId="0" borderId="10" xfId="52" applyNumberFormat="1" applyFont="1" applyFill="1" applyBorder="1" applyAlignment="1">
      <alignment vertical="center"/>
      <protection/>
    </xf>
    <xf numFmtId="4" fontId="29" fillId="0" borderId="10" xfId="52" applyNumberFormat="1" applyFont="1" applyFill="1" applyBorder="1" applyAlignment="1">
      <alignment vertical="center" wrapText="1"/>
      <protection/>
    </xf>
    <xf numFmtId="0" fontId="46" fillId="0" borderId="10" xfId="52" applyFont="1" applyFill="1" applyBorder="1" applyAlignment="1">
      <alignment horizontal="left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29" fillId="0" borderId="13" xfId="52" applyNumberFormat="1" applyFont="1" applyFill="1" applyBorder="1" applyAlignment="1">
      <alignment vertical="center" wrapText="1"/>
      <protection/>
    </xf>
    <xf numFmtId="4" fontId="29" fillId="0" borderId="12" xfId="52" applyNumberFormat="1" applyFont="1" applyFill="1" applyBorder="1" applyAlignment="1">
      <alignment vertical="center" wrapText="1"/>
      <protection/>
    </xf>
    <xf numFmtId="0" fontId="46" fillId="0" borderId="13" xfId="56" applyFont="1" applyFill="1" applyBorder="1" applyAlignment="1">
      <alignment horizontal="left" vertical="center" wrapText="1"/>
      <protection/>
    </xf>
    <xf numFmtId="4" fontId="9" fillId="0" borderId="13" xfId="52" applyNumberFormat="1" applyFont="1" applyFill="1" applyBorder="1" applyAlignment="1">
      <alignment vertical="center"/>
      <protection/>
    </xf>
    <xf numFmtId="4" fontId="29" fillId="0" borderId="23" xfId="52" applyNumberFormat="1" applyFont="1" applyFill="1" applyBorder="1" applyAlignment="1">
      <alignment vertical="center" wrapText="1"/>
      <protection/>
    </xf>
    <xf numFmtId="0" fontId="46" fillId="0" borderId="10" xfId="56" applyFont="1" applyFill="1" applyBorder="1" applyAlignment="1">
      <alignment horizontal="left" vertical="center" wrapText="1"/>
      <protection/>
    </xf>
    <xf numFmtId="0" fontId="29" fillId="0" borderId="10" xfId="52" applyFont="1" applyFill="1" applyBorder="1" applyAlignment="1">
      <alignment wrapText="1"/>
      <protection/>
    </xf>
    <xf numFmtId="0" fontId="26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46" fillId="0" borderId="14" xfId="52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53" fillId="0" borderId="10" xfId="0" applyNumberFormat="1" applyFont="1" applyFill="1" applyBorder="1" applyAlignment="1">
      <alignment vertical="center" wrapText="1"/>
    </xf>
    <xf numFmtId="0" fontId="46" fillId="0" borderId="13" xfId="52" applyFont="1" applyFill="1" applyBorder="1" applyAlignment="1">
      <alignment vertical="center" wrapText="1"/>
      <protection/>
    </xf>
    <xf numFmtId="4" fontId="59" fillId="0" borderId="0" xfId="0" applyNumberFormat="1" applyFont="1" applyFill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vertical="center" wrapText="1"/>
    </xf>
    <xf numFmtId="4" fontId="9" fillId="0" borderId="2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4" fontId="29" fillId="0" borderId="20" xfId="0" applyNumberFormat="1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1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vertical="center"/>
    </xf>
    <xf numFmtId="4" fontId="52" fillId="0" borderId="0" xfId="0" applyNumberFormat="1" applyFont="1" applyFill="1" applyAlignment="1">
      <alignment horizontal="right"/>
    </xf>
    <xf numFmtId="4" fontId="62" fillId="0" borderId="0" xfId="0" applyNumberFormat="1" applyFont="1" applyFill="1" applyAlignment="1">
      <alignment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63" fillId="0" borderId="0" xfId="52" applyFont="1" applyFill="1" applyAlignment="1">
      <alignment horizontal="left"/>
      <protection/>
    </xf>
    <xf numFmtId="0" fontId="63" fillId="0" borderId="0" xfId="58" applyFont="1" applyFill="1" applyAlignment="1">
      <alignment horizontal="left"/>
      <protection/>
    </xf>
    <xf numFmtId="0" fontId="64" fillId="0" borderId="0" xfId="0" applyFont="1" applyFill="1" applyAlignment="1">
      <alignment horizontal="left"/>
    </xf>
    <xf numFmtId="4" fontId="3" fillId="0" borderId="11" xfId="52" applyNumberFormat="1" applyFont="1" applyFill="1" applyBorder="1" applyAlignment="1">
      <alignment horizontal="right" vertical="center"/>
      <protection/>
    </xf>
    <xf numFmtId="49" fontId="29" fillId="0" borderId="0" xfId="52" applyNumberFormat="1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49" fontId="28" fillId="0" borderId="0" xfId="53" applyNumberFormat="1" applyFont="1" applyFill="1">
      <alignment/>
      <protection/>
    </xf>
    <xf numFmtId="4" fontId="3" fillId="0" borderId="12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49" fontId="3" fillId="0" borderId="18" xfId="52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52" applyFont="1" applyFill="1">
      <alignment/>
      <protection/>
    </xf>
    <xf numFmtId="4" fontId="14" fillId="0" borderId="0" xfId="52" applyNumberFormat="1" applyFont="1" applyFill="1">
      <alignment/>
      <protection/>
    </xf>
    <xf numFmtId="49" fontId="15" fillId="0" borderId="0" xfId="0" applyNumberFormat="1" applyFont="1" applyFill="1" applyAlignment="1">
      <alignment/>
    </xf>
    <xf numFmtId="0" fontId="12" fillId="0" borderId="16" xfId="0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49" fillId="0" borderId="10" xfId="52" applyFont="1" applyFill="1" applyBorder="1" applyAlignment="1">
      <alignment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51" fillId="0" borderId="10" xfId="52" applyFont="1" applyFill="1" applyBorder="1" applyAlignment="1">
      <alignment vertical="center" wrapText="1"/>
      <protection/>
    </xf>
    <xf numFmtId="0" fontId="26" fillId="0" borderId="13" xfId="0" applyFont="1" applyFill="1" applyBorder="1" applyAlignment="1">
      <alignment vertical="center"/>
    </xf>
    <xf numFmtId="4" fontId="49" fillId="0" borderId="10" xfId="52" applyNumberFormat="1" applyFont="1" applyFill="1" applyBorder="1" applyAlignment="1">
      <alignment vertical="center" wrapText="1"/>
      <protection/>
    </xf>
    <xf numFmtId="4" fontId="51" fillId="0" borderId="10" xfId="52" applyNumberFormat="1" applyFont="1" applyFill="1" applyBorder="1" applyAlignment="1">
      <alignment vertical="center" wrapText="1"/>
      <protection/>
    </xf>
    <xf numFmtId="0" fontId="29" fillId="0" borderId="24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/>
    </xf>
    <xf numFmtId="0" fontId="5" fillId="0" borderId="0" xfId="52" applyFont="1" applyFill="1" applyBorder="1">
      <alignment/>
      <protection/>
    </xf>
    <xf numFmtId="4" fontId="5" fillId="0" borderId="13" xfId="52" applyNumberFormat="1" applyFont="1" applyFill="1" applyBorder="1" applyAlignment="1">
      <alignment horizontal="right" vertical="top"/>
      <protection/>
    </xf>
    <xf numFmtId="0" fontId="29" fillId="0" borderId="10" xfId="52" applyFont="1" applyFill="1" applyBorder="1" applyAlignment="1">
      <alignment vertical="top" wrapText="1"/>
      <protection/>
    </xf>
    <xf numFmtId="0" fontId="10" fillId="0" borderId="10" xfId="56" applyFont="1" applyFill="1" applyBorder="1" applyAlignment="1">
      <alignment horizontal="left" vertical="top" wrapText="1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0" fontId="29" fillId="0" borderId="11" xfId="0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4" fontId="69" fillId="0" borderId="0" xfId="0" applyNumberFormat="1" applyFont="1" applyFill="1" applyAlignment="1">
      <alignment/>
    </xf>
    <xf numFmtId="4" fontId="65" fillId="0" borderId="0" xfId="0" applyNumberFormat="1" applyFont="1" applyFill="1" applyAlignment="1">
      <alignment/>
    </xf>
    <xf numFmtId="49" fontId="15" fillId="0" borderId="0" xfId="52" applyNumberFormat="1" applyFont="1" applyFill="1" applyAlignment="1">
      <alignment horizontal="left"/>
      <protection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0" fontId="53" fillId="0" borderId="15" xfId="0" applyFont="1" applyFill="1" applyBorder="1" applyAlignment="1">
      <alignment horizontal="center" vertical="center"/>
    </xf>
    <xf numFmtId="49" fontId="3" fillId="0" borderId="20" xfId="52" applyNumberFormat="1" applyFont="1" applyFill="1" applyBorder="1" applyAlignment="1">
      <alignment horizontal="center" vertical="center"/>
      <protection/>
    </xf>
    <xf numFmtId="4" fontId="50" fillId="0" borderId="0" xfId="0" applyNumberFormat="1" applyFont="1" applyFill="1" applyAlignment="1">
      <alignment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70" fillId="0" borderId="0" xfId="0" applyNumberFormat="1" applyFont="1" applyFill="1" applyAlignment="1">
      <alignment/>
    </xf>
    <xf numFmtId="0" fontId="57" fillId="0" borderId="12" xfId="0" applyFont="1" applyFill="1" applyBorder="1" applyAlignment="1">
      <alignment horizontal="center" vertical="center" wrapText="1"/>
    </xf>
    <xf numFmtId="49" fontId="5" fillId="0" borderId="12" xfId="52" applyNumberFormat="1" applyFont="1" applyFill="1" applyBorder="1" applyAlignment="1">
      <alignment horizontal="center" vertical="center"/>
      <protection/>
    </xf>
    <xf numFmtId="0" fontId="56" fillId="0" borderId="14" xfId="0" applyFont="1" applyFill="1" applyBorder="1" applyAlignment="1">
      <alignment horizontal="center" vertical="center"/>
    </xf>
    <xf numFmtId="4" fontId="3" fillId="0" borderId="17" xfId="52" applyNumberFormat="1" applyFont="1" applyFill="1" applyBorder="1" applyAlignment="1">
      <alignment horizontal="right" vertical="center"/>
      <protection/>
    </xf>
    <xf numFmtId="2" fontId="29" fillId="0" borderId="10" xfId="0" applyNumberFormat="1" applyFont="1" applyFill="1" applyBorder="1" applyAlignment="1">
      <alignment vertical="center" wrapText="1"/>
    </xf>
    <xf numFmtId="4" fontId="29" fillId="0" borderId="0" xfId="0" applyNumberFormat="1" applyFont="1" applyFill="1" applyBorder="1" applyAlignment="1">
      <alignment vertical="center" wrapText="1"/>
    </xf>
    <xf numFmtId="49" fontId="29" fillId="0" borderId="13" xfId="52" applyNumberFormat="1" applyFont="1" applyFill="1" applyBorder="1" applyAlignment="1">
      <alignment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32" fillId="0" borderId="0" xfId="58" applyFont="1" applyFill="1" applyAlignment="1">
      <alignment horizontal="left"/>
      <protection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10" fillId="0" borderId="13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 vertical="center"/>
    </xf>
    <xf numFmtId="4" fontId="9" fillId="0" borderId="15" xfId="0" applyNumberFormat="1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left" vertical="center"/>
    </xf>
    <xf numFmtId="1" fontId="9" fillId="0" borderId="13" xfId="0" applyNumberFormat="1" applyFont="1" applyFill="1" applyBorder="1" applyAlignment="1">
      <alignment horizontal="left" vertical="center"/>
    </xf>
    <xf numFmtId="4" fontId="12" fillId="0" borderId="13" xfId="0" applyNumberFormat="1" applyFont="1" applyFill="1" applyBorder="1" applyAlignment="1">
      <alignment horizontal="left" vertical="center"/>
    </xf>
    <xf numFmtId="1" fontId="12" fillId="0" borderId="13" xfId="0" applyNumberFormat="1" applyFont="1" applyFill="1" applyBorder="1" applyAlignment="1">
      <alignment horizontal="left" vertical="center"/>
    </xf>
    <xf numFmtId="4" fontId="49" fillId="0" borderId="13" xfId="52" applyNumberFormat="1" applyFont="1" applyFill="1" applyBorder="1" applyAlignment="1">
      <alignment horizontal="left" vertical="center" wrapText="1"/>
      <protection/>
    </xf>
    <xf numFmtId="4" fontId="57" fillId="0" borderId="13" xfId="0" applyNumberFormat="1" applyFont="1" applyFill="1" applyBorder="1" applyAlignment="1">
      <alignment horizontal="left" vertical="center" wrapText="1"/>
    </xf>
    <xf numFmtId="4" fontId="58" fillId="0" borderId="0" xfId="0" applyNumberFormat="1" applyFont="1" applyFill="1" applyAlignment="1">
      <alignment horizontal="left" vertical="center"/>
    </xf>
    <xf numFmtId="4" fontId="26" fillId="0" borderId="15" xfId="0" applyNumberFormat="1" applyFont="1" applyFill="1" applyBorder="1" applyAlignment="1">
      <alignment horizontal="left" vertical="center"/>
    </xf>
    <xf numFmtId="1" fontId="26" fillId="0" borderId="13" xfId="0" applyNumberFormat="1" applyFont="1" applyFill="1" applyBorder="1" applyAlignment="1">
      <alignment horizontal="left" vertical="center"/>
    </xf>
    <xf numFmtId="4" fontId="51" fillId="0" borderId="13" xfId="52" applyNumberFormat="1" applyFont="1" applyFill="1" applyBorder="1" applyAlignment="1">
      <alignment horizontal="left" vertical="center" wrapText="1"/>
      <protection/>
    </xf>
    <xf numFmtId="4" fontId="48" fillId="0" borderId="13" xfId="0" applyNumberFormat="1" applyFont="1" applyFill="1" applyBorder="1" applyAlignment="1">
      <alignment horizontal="left" vertical="center" wrapText="1"/>
    </xf>
    <xf numFmtId="4" fontId="60" fillId="0" borderId="0" xfId="0" applyNumberFormat="1" applyFont="1" applyFill="1" applyAlignment="1">
      <alignment horizontal="left" vertical="center"/>
    </xf>
    <xf numFmtId="4" fontId="49" fillId="0" borderId="13" xfId="0" applyNumberFormat="1" applyFont="1" applyFill="1" applyBorder="1" applyAlignment="1">
      <alignment horizontal="right" vertical="center" wrapText="1"/>
    </xf>
    <xf numFmtId="4" fontId="51" fillId="0" borderId="23" xfId="0" applyNumberFormat="1" applyFont="1" applyFill="1" applyBorder="1" applyAlignment="1">
      <alignment horizontal="right" vertical="center" wrapText="1"/>
    </xf>
    <xf numFmtId="4" fontId="29" fillId="0" borderId="13" xfId="56" applyNumberFormat="1" applyFont="1" applyFill="1" applyBorder="1" applyAlignment="1">
      <alignment horizontal="right" vertical="center"/>
      <protection/>
    </xf>
    <xf numFmtId="4" fontId="29" fillId="0" borderId="13" xfId="52" applyNumberFormat="1" applyFont="1" applyFill="1" applyBorder="1" applyAlignment="1">
      <alignment horizontal="right" vertical="center"/>
      <protection/>
    </xf>
    <xf numFmtId="4" fontId="29" fillId="0" borderId="13" xfId="52" applyNumberFormat="1" applyFont="1" applyFill="1" applyBorder="1" applyAlignment="1">
      <alignment horizontal="left" vertical="center"/>
      <protection/>
    </xf>
    <xf numFmtId="0" fontId="29" fillId="0" borderId="10" xfId="0" applyFont="1" applyFill="1" applyBorder="1" applyAlignment="1">
      <alignment horizontal="center" vertical="center"/>
    </xf>
    <xf numFmtId="4" fontId="46" fillId="0" borderId="13" xfId="52" applyNumberFormat="1" applyFont="1" applyFill="1" applyBorder="1" applyAlignment="1">
      <alignment vertical="center" wrapText="1"/>
      <protection/>
    </xf>
    <xf numFmtId="2" fontId="29" fillId="0" borderId="13" xfId="52" applyNumberFormat="1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1" fillId="0" borderId="13" xfId="52" applyFont="1" applyFill="1" applyBorder="1" applyAlignment="1">
      <alignment vertical="center" wrapText="1"/>
      <protection/>
    </xf>
    <xf numFmtId="4" fontId="51" fillId="0" borderId="13" xfId="52" applyNumberFormat="1" applyFont="1" applyFill="1" applyBorder="1" applyAlignment="1">
      <alignment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4" fontId="60" fillId="0" borderId="0" xfId="0" applyNumberFormat="1" applyFont="1" applyFill="1" applyAlignment="1">
      <alignment vertical="center"/>
    </xf>
    <xf numFmtId="0" fontId="49" fillId="0" borderId="13" xfId="52" applyFont="1" applyFill="1" applyBorder="1" applyAlignment="1">
      <alignment vertical="center" wrapText="1"/>
      <protection/>
    </xf>
    <xf numFmtId="4" fontId="49" fillId="0" borderId="13" xfId="52" applyNumberFormat="1" applyFont="1" applyFill="1" applyBorder="1" applyAlignment="1">
      <alignment vertical="center" wrapText="1"/>
      <protection/>
    </xf>
    <xf numFmtId="0" fontId="58" fillId="0" borderId="0" xfId="0" applyFont="1" applyFill="1" applyAlignment="1">
      <alignment vertical="center"/>
    </xf>
    <xf numFmtId="4" fontId="58" fillId="0" borderId="0" xfId="0" applyNumberFormat="1" applyFont="1" applyFill="1" applyAlignment="1">
      <alignment vertical="center"/>
    </xf>
    <xf numFmtId="4" fontId="9" fillId="0" borderId="10" xfId="0" applyNumberFormat="1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left" vertical="center"/>
    </xf>
    <xf numFmtId="4" fontId="71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4" fontId="7" fillId="0" borderId="13" xfId="56" applyNumberFormat="1" applyFont="1" applyFill="1" applyBorder="1" applyAlignment="1">
      <alignment horizontal="right" wrapText="1"/>
      <protection/>
    </xf>
    <xf numFmtId="0" fontId="29" fillId="0" borderId="13" xfId="52" applyFont="1" applyFill="1" applyBorder="1" applyAlignment="1">
      <alignment vertical="center"/>
      <protection/>
    </xf>
    <xf numFmtId="0" fontId="29" fillId="0" borderId="0" xfId="0" applyFont="1" applyFill="1" applyAlignment="1">
      <alignment/>
    </xf>
    <xf numFmtId="0" fontId="29" fillId="0" borderId="18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3" xfId="52" applyNumberFormat="1" applyFont="1" applyFill="1" applyBorder="1" applyAlignment="1">
      <alignment horizontal="right" vertical="center"/>
      <protection/>
    </xf>
    <xf numFmtId="0" fontId="56" fillId="0" borderId="13" xfId="0" applyFont="1" applyFill="1" applyBorder="1" applyAlignment="1">
      <alignment horizontal="center" vertical="center"/>
    </xf>
    <xf numFmtId="49" fontId="16" fillId="0" borderId="0" xfId="53" applyNumberFormat="1" applyFont="1" applyFill="1">
      <alignment/>
      <protection/>
    </xf>
    <xf numFmtId="4" fontId="26" fillId="0" borderId="10" xfId="52" applyNumberFormat="1" applyFont="1" applyFill="1" applyBorder="1" applyAlignment="1">
      <alignment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" fontId="46" fillId="0" borderId="13" xfId="0" applyNumberFormat="1" applyFont="1" applyFill="1" applyBorder="1" applyAlignment="1">
      <alignment vertical="center" wrapText="1"/>
    </xf>
    <xf numFmtId="4" fontId="46" fillId="0" borderId="11" xfId="0" applyNumberFormat="1" applyFont="1" applyFill="1" applyBorder="1" applyAlignment="1">
      <alignment vertical="center" wrapText="1"/>
    </xf>
    <xf numFmtId="49" fontId="29" fillId="0" borderId="10" xfId="52" applyNumberFormat="1" applyFont="1" applyFill="1" applyBorder="1" applyAlignment="1">
      <alignment vertical="center" wrapText="1"/>
      <protection/>
    </xf>
    <xf numFmtId="4" fontId="46" fillId="0" borderId="20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 vertical="center"/>
    </xf>
    <xf numFmtId="49" fontId="75" fillId="0" borderId="0" xfId="0" applyNumberFormat="1" applyFont="1" applyFill="1" applyAlignment="1">
      <alignment/>
    </xf>
    <xf numFmtId="4" fontId="3" fillId="0" borderId="11" xfId="52" applyNumberFormat="1" applyFont="1" applyFill="1" applyBorder="1" applyAlignment="1">
      <alignment horizontal="right" vertical="top"/>
      <protection/>
    </xf>
    <xf numFmtId="4" fontId="76" fillId="0" borderId="0" xfId="0" applyNumberFormat="1" applyFont="1" applyFill="1" applyAlignment="1">
      <alignment/>
    </xf>
    <xf numFmtId="0" fontId="74" fillId="0" borderId="13" xfId="0" applyFont="1" applyBorder="1" applyAlignment="1">
      <alignment/>
    </xf>
    <xf numFmtId="4" fontId="7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" fontId="45" fillId="0" borderId="13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12" fillId="0" borderId="14" xfId="57" applyFont="1" applyFill="1" applyBorder="1" applyAlignment="1">
      <alignment horizontal="center" vertical="center"/>
      <protection/>
    </xf>
    <xf numFmtId="0" fontId="46" fillId="0" borderId="14" xfId="0" applyFont="1" applyFill="1" applyBorder="1" applyAlignment="1">
      <alignment vertical="center"/>
    </xf>
    <xf numFmtId="4" fontId="9" fillId="0" borderId="14" xfId="57" applyNumberFormat="1" applyFont="1" applyFill="1" applyBorder="1" applyAlignment="1">
      <alignment vertical="center"/>
      <protection/>
    </xf>
    <xf numFmtId="0" fontId="46" fillId="0" borderId="15" xfId="0" applyFont="1" applyFill="1" applyBorder="1" applyAlignment="1">
      <alignment vertical="center"/>
    </xf>
    <xf numFmtId="0" fontId="9" fillId="0" borderId="12" xfId="57" applyFont="1" applyFill="1" applyBorder="1" applyAlignment="1">
      <alignment horizontal="center"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vertical="center" wrapText="1"/>
    </xf>
    <xf numFmtId="4" fontId="9" fillId="0" borderId="20" xfId="57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4" fontId="9" fillId="0" borderId="13" xfId="57" applyNumberFormat="1" applyFont="1" applyFill="1" applyBorder="1" applyAlignment="1">
      <alignment vertical="center" wrapText="1"/>
      <protection/>
    </xf>
    <xf numFmtId="0" fontId="9" fillId="0" borderId="20" xfId="53" applyFont="1" applyFill="1" applyBorder="1" applyAlignment="1">
      <alignment vertical="center" wrapText="1"/>
      <protection/>
    </xf>
    <xf numFmtId="0" fontId="46" fillId="0" borderId="14" xfId="53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vertical="center" wrapText="1"/>
      <protection/>
    </xf>
    <xf numFmtId="0" fontId="46" fillId="0" borderId="15" xfId="53" applyFont="1" applyFill="1" applyBorder="1" applyAlignment="1">
      <alignment horizontal="center" vertical="center"/>
      <protection/>
    </xf>
    <xf numFmtId="0" fontId="46" fillId="0" borderId="23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0" fontId="46" fillId="0" borderId="16" xfId="0" applyFont="1" applyFill="1" applyBorder="1" applyAlignment="1">
      <alignment vertical="center"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4" fontId="9" fillId="0" borderId="23" xfId="57" applyNumberFormat="1" applyFont="1" applyFill="1" applyBorder="1" applyAlignment="1">
      <alignment vertical="center"/>
      <protection/>
    </xf>
    <xf numFmtId="0" fontId="9" fillId="0" borderId="0" xfId="57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57" applyFont="1" applyFill="1" applyBorder="1">
      <alignment/>
      <protection/>
    </xf>
    <xf numFmtId="0" fontId="29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0" fontId="59" fillId="0" borderId="0" xfId="53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29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9" fillId="0" borderId="14" xfId="57" applyFont="1" applyFill="1" applyBorder="1" applyAlignment="1">
      <alignment horizontal="center"/>
      <protection/>
    </xf>
    <xf numFmtId="0" fontId="9" fillId="0" borderId="14" xfId="53" applyFont="1" applyFill="1" applyBorder="1">
      <alignment/>
      <protection/>
    </xf>
    <xf numFmtId="0" fontId="9" fillId="0" borderId="14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46" fillId="0" borderId="12" xfId="53" applyFont="1" applyFill="1" applyBorder="1" applyAlignment="1">
      <alignment horizontal="center" vertical="top" wrapText="1"/>
      <protection/>
    </xf>
    <xf numFmtId="0" fontId="46" fillId="0" borderId="13" xfId="53" applyFont="1" applyFill="1" applyBorder="1" applyAlignment="1">
      <alignment horizontal="center" vertical="top" wrapText="1"/>
      <protection/>
    </xf>
    <xf numFmtId="0" fontId="46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5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29" fillId="0" borderId="0" xfId="53" applyFont="1" applyFill="1" applyAlignment="1">
      <alignment horizontal="center" vertical="center" wrapText="1"/>
      <protection/>
    </xf>
    <xf numFmtId="4" fontId="2" fillId="0" borderId="0" xfId="57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66" fillId="0" borderId="10" xfId="57" applyFont="1" applyFill="1" applyBorder="1" applyAlignment="1">
      <alignment horizontal="left" vertical="top"/>
      <protection/>
    </xf>
    <xf numFmtId="0" fontId="9" fillId="0" borderId="19" xfId="53" applyFont="1" applyFill="1" applyBorder="1" applyAlignment="1">
      <alignment horizontal="center" vertical="top" wrapText="1"/>
      <protection/>
    </xf>
    <xf numFmtId="0" fontId="46" fillId="0" borderId="19" xfId="53" applyFont="1" applyFill="1" applyBorder="1" applyAlignment="1">
      <alignment horizontal="center" vertical="top" wrapText="1"/>
      <protection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4" fontId="5" fillId="0" borderId="13" xfId="53" applyNumberFormat="1" applyFont="1" applyFill="1" applyBorder="1" applyAlignment="1">
      <alignment horizontal="center" vertical="center" wrapText="1"/>
      <protection/>
    </xf>
    <xf numFmtId="4" fontId="29" fillId="0" borderId="0" xfId="53" applyNumberFormat="1" applyFont="1" applyFill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 wrapText="1"/>
      <protection/>
    </xf>
    <xf numFmtId="4" fontId="3" fillId="0" borderId="18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77" fillId="0" borderId="0" xfId="53" applyNumberFormat="1" applyFont="1" applyFill="1" applyBorder="1" applyAlignment="1">
      <alignment horizontal="right" vertical="center" wrapText="1"/>
      <protection/>
    </xf>
    <xf numFmtId="4" fontId="78" fillId="0" borderId="0" xfId="0" applyNumberFormat="1" applyFont="1" applyFill="1" applyAlignment="1">
      <alignment vertical="center"/>
    </xf>
    <xf numFmtId="0" fontId="49" fillId="0" borderId="11" xfId="0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/>
    </xf>
    <xf numFmtId="4" fontId="79" fillId="0" borderId="0" xfId="0" applyNumberFormat="1" applyFont="1" applyFill="1" applyBorder="1" applyAlignment="1">
      <alignment vertical="center"/>
    </xf>
    <xf numFmtId="4" fontId="9" fillId="0" borderId="16" xfId="57" applyNumberFormat="1" applyFont="1" applyFill="1" applyBorder="1" applyAlignment="1">
      <alignment vertical="center"/>
      <protection/>
    </xf>
    <xf numFmtId="0" fontId="9" fillId="0" borderId="20" xfId="0" applyFont="1" applyFill="1" applyBorder="1" applyAlignment="1">
      <alignment vertical="center" wrapText="1"/>
    </xf>
    <xf numFmtId="0" fontId="9" fillId="0" borderId="24" xfId="57" applyFont="1" applyFill="1" applyBorder="1" applyAlignment="1">
      <alignment vertical="center" wrapText="1"/>
      <protection/>
    </xf>
    <xf numFmtId="4" fontId="29" fillId="0" borderId="0" xfId="0" applyNumberFormat="1" applyFont="1" applyFill="1" applyBorder="1" applyAlignment="1">
      <alignment vertical="center"/>
    </xf>
    <xf numFmtId="0" fontId="9" fillId="0" borderId="13" xfId="53" applyFont="1" applyFill="1" applyBorder="1" applyAlignment="1">
      <alignment vertical="center" wrapText="1"/>
      <protection/>
    </xf>
    <xf numFmtId="4" fontId="3" fillId="0" borderId="18" xfId="53" applyNumberFormat="1" applyFont="1" applyFill="1" applyBorder="1" applyAlignment="1">
      <alignment horizontal="right" vertical="center" wrapText="1"/>
      <protection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4" fontId="3" fillId="0" borderId="21" xfId="53" applyNumberFormat="1" applyFont="1" applyFill="1" applyBorder="1" applyAlignment="1">
      <alignment horizontal="right" vertical="center" wrapText="1"/>
      <protection/>
    </xf>
    <xf numFmtId="4" fontId="3" fillId="0" borderId="17" xfId="53" applyNumberFormat="1" applyFont="1" applyFill="1" applyBorder="1" applyAlignment="1">
      <alignment horizontal="right" vertical="center" wrapText="1"/>
      <protection/>
    </xf>
    <xf numFmtId="0" fontId="9" fillId="0" borderId="16" xfId="53" applyFont="1" applyFill="1" applyBorder="1" applyAlignment="1">
      <alignment vertical="center" wrapText="1"/>
      <protection/>
    </xf>
    <xf numFmtId="4" fontId="3" fillId="0" borderId="15" xfId="53" applyNumberFormat="1" applyFont="1" applyFill="1" applyBorder="1" applyAlignment="1">
      <alignment horizontal="right" vertical="center" wrapText="1"/>
      <protection/>
    </xf>
    <xf numFmtId="0" fontId="9" fillId="0" borderId="22" xfId="0" applyFont="1" applyFill="1" applyBorder="1" applyAlignment="1">
      <alignment vertical="center" wrapText="1"/>
    </xf>
    <xf numFmtId="4" fontId="9" fillId="0" borderId="20" xfId="57" applyNumberFormat="1" applyFont="1" applyFill="1" applyBorder="1" applyAlignment="1">
      <alignment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46" fillId="0" borderId="21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12" fillId="0" borderId="13" xfId="53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29" fillId="0" borderId="19" xfId="0" applyFont="1" applyFill="1" applyBorder="1" applyAlignment="1">
      <alignment vertical="center" wrapText="1"/>
    </xf>
    <xf numFmtId="4" fontId="9" fillId="0" borderId="24" xfId="57" applyNumberFormat="1" applyFont="1" applyFill="1" applyBorder="1" applyAlignment="1">
      <alignment vertical="center"/>
      <protection/>
    </xf>
    <xf numFmtId="0" fontId="46" fillId="0" borderId="24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80" fillId="0" borderId="0" xfId="0" applyNumberFormat="1" applyFont="1" applyFill="1" applyAlignment="1">
      <alignment/>
    </xf>
    <xf numFmtId="4" fontId="46" fillId="0" borderId="14" xfId="53" applyNumberFormat="1" applyFont="1" applyFill="1" applyBorder="1" applyAlignment="1">
      <alignment horizontal="center" vertical="center"/>
      <protection/>
    </xf>
    <xf numFmtId="4" fontId="3" fillId="0" borderId="14" xfId="53" applyNumberFormat="1" applyFont="1" applyFill="1" applyBorder="1" applyAlignment="1">
      <alignment vertical="center"/>
      <protection/>
    </xf>
    <xf numFmtId="4" fontId="31" fillId="0" borderId="0" xfId="53" applyNumberFormat="1" applyFont="1" applyFill="1" applyBorder="1" applyAlignment="1">
      <alignment horizontal="right" vertical="center" wrapText="1"/>
      <protection/>
    </xf>
    <xf numFmtId="4" fontId="31" fillId="0" borderId="0" xfId="0" applyNumberFormat="1" applyFont="1" applyFill="1" applyAlignment="1">
      <alignment vertical="center"/>
    </xf>
    <xf numFmtId="0" fontId="9" fillId="0" borderId="11" xfId="57" applyFont="1" applyFill="1" applyBorder="1" applyAlignment="1">
      <alignment vertical="center" wrapText="1"/>
      <protection/>
    </xf>
    <xf numFmtId="4" fontId="46" fillId="0" borderId="21" xfId="57" applyNumberFormat="1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vertical="center"/>
      <protection/>
    </xf>
    <xf numFmtId="4" fontId="3" fillId="0" borderId="15" xfId="57" applyNumberFormat="1" applyFont="1" applyFill="1" applyBorder="1" applyAlignment="1">
      <alignment vertical="center"/>
      <protection/>
    </xf>
    <xf numFmtId="0" fontId="29" fillId="0" borderId="17" xfId="57" applyFont="1" applyFill="1" applyBorder="1" applyAlignment="1">
      <alignment vertical="center" wrapText="1"/>
      <protection/>
    </xf>
    <xf numFmtId="0" fontId="46" fillId="0" borderId="17" xfId="53" applyFont="1" applyFill="1" applyBorder="1" applyAlignment="1">
      <alignment horizontal="center" vertical="center"/>
      <protection/>
    </xf>
    <xf numFmtId="4" fontId="3" fillId="0" borderId="12" xfId="57" applyNumberFormat="1" applyFont="1" applyFill="1" applyBorder="1" applyAlignment="1">
      <alignment vertical="center" wrapText="1"/>
      <protection/>
    </xf>
    <xf numFmtId="4" fontId="3" fillId="0" borderId="12" xfId="57" applyNumberFormat="1" applyFont="1" applyFill="1" applyBorder="1" applyAlignment="1">
      <alignment vertical="center"/>
      <protection/>
    </xf>
    <xf numFmtId="2" fontId="9" fillId="0" borderId="13" xfId="0" applyNumberFormat="1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vertical="center"/>
    </xf>
    <xf numFmtId="0" fontId="37" fillId="0" borderId="15" xfId="0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13" xfId="57" applyFont="1" applyFill="1" applyBorder="1" applyAlignment="1">
      <alignment vertical="center" wrapText="1"/>
      <protection/>
    </xf>
    <xf numFmtId="0" fontId="37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9" fillId="0" borderId="14" xfId="53" applyFont="1" applyFill="1" applyBorder="1" applyAlignment="1">
      <alignment vertical="center" wrapText="1"/>
      <protection/>
    </xf>
    <xf numFmtId="4" fontId="3" fillId="0" borderId="15" xfId="57" applyNumberFormat="1" applyFont="1" applyFill="1" applyBorder="1" applyAlignment="1">
      <alignment vertical="center" wrapText="1"/>
      <protection/>
    </xf>
    <xf numFmtId="4" fontId="3" fillId="0" borderId="17" xfId="0" applyNumberFormat="1" applyFont="1" applyFill="1" applyBorder="1" applyAlignment="1">
      <alignment vertical="center"/>
    </xf>
    <xf numFmtId="4" fontId="29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37" fillId="0" borderId="0" xfId="0" applyFont="1" applyFill="1" applyAlignment="1">
      <alignment wrapText="1"/>
    </xf>
    <xf numFmtId="0" fontId="81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3" fillId="0" borderId="12" xfId="52" applyNumberFormat="1" applyFont="1" applyFill="1" applyBorder="1" applyAlignment="1">
      <alignment horizontal="right" vertical="center"/>
      <protection/>
    </xf>
    <xf numFmtId="0" fontId="4" fillId="0" borderId="23" xfId="57" applyFont="1" applyFill="1" applyBorder="1" applyAlignment="1">
      <alignment horizontal="left" vertical="center"/>
      <protection/>
    </xf>
    <xf numFmtId="4" fontId="45" fillId="0" borderId="0" xfId="0" applyNumberFormat="1" applyFont="1" applyAlignment="1">
      <alignment/>
    </xf>
    <xf numFmtId="4" fontId="72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4" fillId="0" borderId="13" xfId="0" applyFont="1" applyBorder="1" applyAlignment="1">
      <alignment/>
    </xf>
    <xf numFmtId="4" fontId="44" fillId="0" borderId="13" xfId="0" applyNumberFormat="1" applyFont="1" applyBorder="1" applyAlignment="1">
      <alignment/>
    </xf>
    <xf numFmtId="4" fontId="73" fillId="0" borderId="13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4" fontId="73" fillId="0" borderId="0" xfId="0" applyNumberFormat="1" applyFont="1" applyAlignment="1">
      <alignment/>
    </xf>
    <xf numFmtId="4" fontId="3" fillId="0" borderId="13" xfId="52" applyNumberFormat="1" applyFont="1" applyFill="1" applyBorder="1" applyAlignment="1">
      <alignment horizontal="right" vertical="top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4" fontId="45" fillId="33" borderId="0" xfId="0" applyNumberFormat="1" applyFont="1" applyFill="1" applyAlignment="1">
      <alignment/>
    </xf>
    <xf numFmtId="4" fontId="45" fillId="33" borderId="0" xfId="0" applyNumberFormat="1" applyFont="1" applyFill="1" applyBorder="1" applyAlignment="1">
      <alignment/>
    </xf>
    <xf numFmtId="49" fontId="5" fillId="0" borderId="10" xfId="52" applyNumberFormat="1" applyFont="1" applyFill="1" applyBorder="1" applyAlignment="1">
      <alignment vertical="center"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0" fontId="26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" fontId="11" fillId="0" borderId="0" xfId="53" applyNumberFormat="1" applyFont="1" applyFill="1" applyAlignment="1">
      <alignment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1" fontId="20" fillId="0" borderId="0" xfId="52" applyNumberFormat="1" applyFont="1" applyFill="1" applyBorder="1" applyAlignment="1">
      <alignment horizontal="center" vertical="center"/>
      <protection/>
    </xf>
    <xf numFmtId="4" fontId="25" fillId="0" borderId="0" xfId="52" applyNumberFormat="1" applyFont="1" applyFill="1" applyBorder="1" applyAlignment="1">
      <alignment vertical="center"/>
      <protection/>
    </xf>
    <xf numFmtId="49" fontId="5" fillId="0" borderId="23" xfId="52" applyNumberFormat="1" applyFont="1" applyFill="1" applyBorder="1" applyAlignment="1">
      <alignment horizontal="left" vertical="center"/>
      <protection/>
    </xf>
    <xf numFmtId="4" fontId="23" fillId="0" borderId="0" xfId="0" applyNumberFormat="1" applyFont="1" applyFill="1" applyBorder="1" applyAlignment="1">
      <alignment vertical="center"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4" fontId="26" fillId="0" borderId="13" xfId="0" applyNumberFormat="1" applyFont="1" applyFill="1" applyBorder="1" applyAlignment="1">
      <alignment horizontal="left" vertical="center"/>
    </xf>
    <xf numFmtId="4" fontId="29" fillId="0" borderId="13" xfId="52" applyNumberFormat="1" applyFont="1" applyFill="1" applyBorder="1" applyAlignment="1">
      <alignment vertical="center"/>
      <protection/>
    </xf>
    <xf numFmtId="4" fontId="46" fillId="0" borderId="1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9" fontId="5" fillId="0" borderId="24" xfId="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12" xfId="53" applyNumberFormat="1" applyFont="1" applyFill="1" applyBorder="1" applyAlignment="1">
      <alignment horizontal="right" vertical="center" wrapText="1"/>
      <protection/>
    </xf>
    <xf numFmtId="4" fontId="9" fillId="34" borderId="11" xfId="0" applyNumberFormat="1" applyFont="1" applyFill="1" applyBorder="1" applyAlignment="1">
      <alignment vertical="center" wrapText="1"/>
    </xf>
    <xf numFmtId="49" fontId="83" fillId="0" borderId="0" xfId="56" applyNumberFormat="1" applyFont="1" applyFill="1">
      <alignment/>
      <protection/>
    </xf>
    <xf numFmtId="49" fontId="16" fillId="0" borderId="0" xfId="56" applyNumberFormat="1" applyFont="1" applyFill="1" applyAlignment="1">
      <alignment horizontal="center"/>
      <protection/>
    </xf>
    <xf numFmtId="4" fontId="16" fillId="0" borderId="0" xfId="56" applyNumberFormat="1" applyFont="1" applyFill="1" applyAlignment="1">
      <alignment horizontal="right"/>
      <protection/>
    </xf>
    <xf numFmtId="4" fontId="28" fillId="0" borderId="0" xfId="52" applyNumberFormat="1" applyFont="1" applyFill="1" applyBorder="1" applyAlignment="1">
      <alignment vertical="center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49" fontId="3" fillId="0" borderId="24" xfId="52" applyNumberFormat="1" applyFont="1" applyFill="1" applyBorder="1" applyAlignment="1">
      <alignment horizontal="center" vertical="center"/>
      <protection/>
    </xf>
    <xf numFmtId="49" fontId="5" fillId="0" borderId="23" xfId="52" applyNumberFormat="1" applyFont="1" applyFill="1" applyBorder="1" applyAlignment="1">
      <alignment vertical="center"/>
      <protection/>
    </xf>
    <xf numFmtId="4" fontId="3" fillId="0" borderId="15" xfId="52" applyNumberFormat="1" applyFont="1" applyFill="1" applyBorder="1" applyAlignment="1">
      <alignment horizontal="right" vertical="top"/>
      <protection/>
    </xf>
    <xf numFmtId="49" fontId="5" fillId="0" borderId="0" xfId="56" applyNumberFormat="1" applyFont="1" applyFill="1">
      <alignment/>
      <protection/>
    </xf>
    <xf numFmtId="4" fontId="3" fillId="0" borderId="0" xfId="56" applyNumberFormat="1" applyFont="1" applyFill="1" applyAlignment="1">
      <alignment horizontal="right"/>
      <protection/>
    </xf>
    <xf numFmtId="0" fontId="29" fillId="33" borderId="20" xfId="0" applyFont="1" applyFill="1" applyBorder="1" applyAlignment="1">
      <alignment vertical="center" wrapText="1"/>
    </xf>
    <xf numFmtId="0" fontId="29" fillId="33" borderId="19" xfId="0" applyFont="1" applyFill="1" applyBorder="1" applyAlignment="1">
      <alignment horizontal="center" vertical="center"/>
    </xf>
    <xf numFmtId="4" fontId="29" fillId="33" borderId="10" xfId="0" applyNumberFormat="1" applyFont="1" applyFill="1" applyBorder="1" applyAlignment="1">
      <alignment vertical="center"/>
    </xf>
    <xf numFmtId="0" fontId="46" fillId="33" borderId="10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/>
    </xf>
    <xf numFmtId="4" fontId="29" fillId="33" borderId="10" xfId="0" applyNumberFormat="1" applyFont="1" applyFill="1" applyBorder="1" applyAlignment="1">
      <alignment vertical="center" wrapText="1"/>
    </xf>
    <xf numFmtId="4" fontId="29" fillId="33" borderId="13" xfId="52" applyNumberFormat="1" applyFont="1" applyFill="1" applyBorder="1" applyAlignment="1">
      <alignment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4" fontId="29" fillId="33" borderId="13" xfId="0" applyNumberFormat="1" applyFont="1" applyFill="1" applyBorder="1" applyAlignment="1">
      <alignment vertical="center"/>
    </xf>
    <xf numFmtId="4" fontId="29" fillId="33" borderId="16" xfId="0" applyNumberFormat="1" applyFont="1" applyFill="1" applyBorder="1" applyAlignment="1">
      <alignment vertical="center" wrapText="1"/>
    </xf>
    <xf numFmtId="4" fontId="9" fillId="33" borderId="23" xfId="0" applyNumberFormat="1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vertical="center" wrapText="1"/>
    </xf>
    <xf numFmtId="4" fontId="29" fillId="33" borderId="23" xfId="0" applyNumberFormat="1" applyFont="1" applyFill="1" applyBorder="1" applyAlignment="1">
      <alignment vertical="center" wrapText="1"/>
    </xf>
    <xf numFmtId="4" fontId="9" fillId="33" borderId="13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center" wrapText="1"/>
    </xf>
    <xf numFmtId="4" fontId="29" fillId="33" borderId="11" xfId="0" applyNumberFormat="1" applyFont="1" applyFill="1" applyBorder="1" applyAlignment="1">
      <alignment vertical="center" wrapText="1"/>
    </xf>
    <xf numFmtId="4" fontId="46" fillId="33" borderId="11" xfId="0" applyNumberFormat="1" applyFont="1" applyFill="1" applyBorder="1" applyAlignment="1">
      <alignment vertical="center" wrapText="1"/>
    </xf>
    <xf numFmtId="0" fontId="29" fillId="33" borderId="13" xfId="0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vertical="center" wrapText="1"/>
    </xf>
    <xf numFmtId="4" fontId="29" fillId="33" borderId="10" xfId="52" applyNumberFormat="1" applyFont="1" applyFill="1" applyBorder="1" applyAlignment="1">
      <alignment vertical="center"/>
      <protection/>
    </xf>
    <xf numFmtId="49" fontId="32" fillId="0" borderId="0" xfId="56" applyNumberFormat="1" applyFont="1" applyFill="1">
      <alignment/>
      <protection/>
    </xf>
    <xf numFmtId="49" fontId="13" fillId="0" borderId="0" xfId="52" applyNumberFormat="1" applyFont="1" applyFill="1" applyBorder="1" applyAlignment="1">
      <alignment horizontal="center" vertical="center"/>
      <protection/>
    </xf>
    <xf numFmtId="4" fontId="13" fillId="0" borderId="0" xfId="52" applyNumberFormat="1" applyFont="1" applyFill="1" applyBorder="1" applyAlignment="1">
      <alignment vertical="center"/>
      <protection/>
    </xf>
    <xf numFmtId="0" fontId="28" fillId="0" borderId="0" xfId="0" applyFont="1" applyFill="1" applyAlignment="1">
      <alignment/>
    </xf>
    <xf numFmtId="4" fontId="9" fillId="35" borderId="10" xfId="0" applyNumberFormat="1" applyFont="1" applyFill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8" fillId="0" borderId="0" xfId="57" applyFill="1" applyAlignment="1">
      <alignment horizontal="center"/>
      <protection/>
    </xf>
    <xf numFmtId="0" fontId="84" fillId="0" borderId="0" xfId="53" applyFont="1" applyFill="1">
      <alignment/>
      <protection/>
    </xf>
    <xf numFmtId="0" fontId="84" fillId="0" borderId="0" xfId="53" applyFont="1" applyFill="1" applyAlignment="1">
      <alignment horizontal="center"/>
      <protection/>
    </xf>
    <xf numFmtId="0" fontId="8" fillId="0" borderId="0" xfId="53" applyFill="1">
      <alignment/>
      <protection/>
    </xf>
    <xf numFmtId="0" fontId="52" fillId="0" borderId="0" xfId="53" applyFont="1" applyFill="1">
      <alignment/>
      <protection/>
    </xf>
    <xf numFmtId="0" fontId="8" fillId="0" borderId="0" xfId="57" applyFill="1">
      <alignment/>
      <protection/>
    </xf>
    <xf numFmtId="0" fontId="59" fillId="0" borderId="0" xfId="52" applyFont="1" applyFill="1" applyAlignment="1">
      <alignment/>
      <protection/>
    </xf>
    <xf numFmtId="0" fontId="9" fillId="0" borderId="0" xfId="52" applyFont="1" applyFill="1" applyAlignment="1">
      <alignment horizontal="center"/>
      <protection/>
    </xf>
    <xf numFmtId="0" fontId="59" fillId="0" borderId="0" xfId="52" applyFont="1" applyFill="1">
      <alignment/>
      <protection/>
    </xf>
    <xf numFmtId="0" fontId="8" fillId="0" borderId="0" xfId="53" applyFill="1" applyAlignment="1">
      <alignment horizontal="center"/>
      <protection/>
    </xf>
    <xf numFmtId="0" fontId="85" fillId="0" borderId="0" xfId="53" applyFont="1" applyFill="1" applyAlignment="1">
      <alignment horizontal="right"/>
      <protection/>
    </xf>
    <xf numFmtId="0" fontId="8" fillId="0" borderId="14" xfId="57" applyFill="1" applyBorder="1" applyAlignment="1">
      <alignment horizontal="center"/>
      <protection/>
    </xf>
    <xf numFmtId="0" fontId="8" fillId="0" borderId="14" xfId="53" applyFill="1" applyBorder="1">
      <alignment/>
      <protection/>
    </xf>
    <xf numFmtId="0" fontId="8" fillId="0" borderId="14" xfId="53" applyFill="1" applyBorder="1" applyAlignment="1">
      <alignment horizontal="center"/>
      <protection/>
    </xf>
    <xf numFmtId="0" fontId="8" fillId="0" borderId="10" xfId="53" applyFont="1" applyFill="1" applyBorder="1" applyAlignment="1">
      <alignment vertical="center"/>
      <protection/>
    </xf>
    <xf numFmtId="0" fontId="8" fillId="0" borderId="11" xfId="53" applyFill="1" applyBorder="1" applyAlignment="1">
      <alignment vertical="center"/>
      <protection/>
    </xf>
    <xf numFmtId="0" fontId="8" fillId="0" borderId="0" xfId="53" applyFill="1" applyBorder="1">
      <alignment/>
      <protection/>
    </xf>
    <xf numFmtId="0" fontId="8" fillId="0" borderId="12" xfId="57" applyFill="1" applyBorder="1" applyAlignment="1">
      <alignment horizontal="center" vertical="top"/>
      <protection/>
    </xf>
    <xf numFmtId="0" fontId="8" fillId="0" borderId="12" xfId="53" applyFill="1" applyBorder="1" applyAlignment="1">
      <alignment horizontal="center" vertical="top" wrapText="1"/>
      <protection/>
    </xf>
    <xf numFmtId="0" fontId="86" fillId="0" borderId="12" xfId="53" applyFont="1" applyFill="1" applyBorder="1" applyAlignment="1">
      <alignment horizontal="center" vertical="top" wrapText="1"/>
      <protection/>
    </xf>
    <xf numFmtId="0" fontId="86" fillId="0" borderId="13" xfId="53" applyFont="1" applyFill="1" applyBorder="1" applyAlignment="1">
      <alignment horizontal="center" vertical="top" wrapText="1"/>
      <protection/>
    </xf>
    <xf numFmtId="0" fontId="86" fillId="0" borderId="13" xfId="53" applyFont="1" applyFill="1" applyBorder="1" applyAlignment="1">
      <alignment horizontal="center" vertical="center" wrapText="1"/>
      <protection/>
    </xf>
    <xf numFmtId="0" fontId="8" fillId="0" borderId="0" xfId="53" applyFill="1" applyBorder="1" applyAlignment="1">
      <alignment horizontal="center" vertical="top" wrapText="1"/>
      <protection/>
    </xf>
    <xf numFmtId="0" fontId="8" fillId="0" borderId="0" xfId="53" applyFont="1" applyFill="1" applyAlignment="1">
      <alignment horizontal="center" vertical="top" wrapText="1"/>
      <protection/>
    </xf>
    <xf numFmtId="0" fontId="52" fillId="0" borderId="0" xfId="53" applyFont="1" applyFill="1" applyAlignment="1">
      <alignment horizontal="center" vertical="top" wrapText="1"/>
      <protection/>
    </xf>
    <xf numFmtId="0" fontId="8" fillId="0" borderId="0" xfId="57" applyFill="1" applyAlignment="1">
      <alignment vertical="top"/>
      <protection/>
    </xf>
    <xf numFmtId="0" fontId="0" fillId="0" borderId="0" xfId="0" applyFill="1" applyAlignment="1">
      <alignment vertical="top"/>
    </xf>
    <xf numFmtId="0" fontId="66" fillId="0" borderId="10" xfId="57" applyFont="1" applyFill="1" applyBorder="1" applyAlignment="1">
      <alignment horizontal="left" vertical="center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86" fillId="0" borderId="19" xfId="53" applyFont="1" applyFill="1" applyBorder="1" applyAlignment="1">
      <alignment horizontal="center" vertical="center" wrapText="1"/>
      <protection/>
    </xf>
    <xf numFmtId="4" fontId="87" fillId="0" borderId="13" xfId="53" applyNumberFormat="1" applyFont="1" applyFill="1" applyBorder="1" applyAlignment="1">
      <alignment horizontal="center" vertical="center" wrapText="1"/>
      <protection/>
    </xf>
    <xf numFmtId="0" fontId="8" fillId="0" borderId="0" xfId="53" applyFill="1" applyBorder="1" applyAlignment="1">
      <alignment horizontal="center" vertical="center" wrapText="1"/>
      <protection/>
    </xf>
    <xf numFmtId="4" fontId="88" fillId="0" borderId="0" xfId="53" applyNumberFormat="1" applyFont="1" applyFill="1" applyAlignment="1">
      <alignment horizontal="center" vertical="center" wrapText="1"/>
      <protection/>
    </xf>
    <xf numFmtId="0" fontId="52" fillId="0" borderId="0" xfId="53" applyFont="1" applyFill="1" applyAlignment="1">
      <alignment horizontal="center" vertical="center" wrapText="1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13" xfId="57" applyFont="1" applyFill="1" applyBorder="1" applyAlignment="1">
      <alignment vertical="center" wrapText="1"/>
      <protection/>
    </xf>
    <xf numFmtId="0" fontId="52" fillId="0" borderId="15" xfId="53" applyFont="1" applyFill="1" applyBorder="1" applyAlignment="1">
      <alignment vertical="center" wrapText="1"/>
      <protection/>
    </xf>
    <xf numFmtId="4" fontId="89" fillId="0" borderId="18" xfId="53" applyNumberFormat="1" applyFont="1" applyFill="1" applyBorder="1" applyAlignment="1">
      <alignment horizontal="center" vertical="center" wrapText="1"/>
      <protection/>
    </xf>
    <xf numFmtId="4" fontId="89" fillId="0" borderId="14" xfId="53" applyNumberFormat="1" applyFont="1" applyFill="1" applyBorder="1" applyAlignment="1">
      <alignment horizontal="center" vertical="center" wrapText="1"/>
      <protection/>
    </xf>
    <xf numFmtId="4" fontId="89" fillId="0" borderId="0" xfId="53" applyNumberFormat="1" applyFont="1" applyFill="1" applyBorder="1" applyAlignment="1">
      <alignment horizontal="center" vertical="center" wrapText="1"/>
      <protection/>
    </xf>
    <xf numFmtId="4" fontId="8" fillId="0" borderId="0" xfId="53" applyNumberFormat="1" applyFill="1" applyAlignment="1">
      <alignment horizontal="center" vertical="center" wrapText="1"/>
      <protection/>
    </xf>
    <xf numFmtId="4" fontId="52" fillId="0" borderId="0" xfId="53" applyNumberFormat="1" applyFont="1" applyFill="1" applyAlignment="1">
      <alignment horizontal="center" vertical="center" wrapText="1"/>
      <protection/>
    </xf>
    <xf numFmtId="4" fontId="8" fillId="0" borderId="0" xfId="53" applyNumberFormat="1" applyFont="1" applyFill="1" applyAlignment="1">
      <alignment horizontal="center" vertical="center" wrapText="1"/>
      <protection/>
    </xf>
    <xf numFmtId="0" fontId="8" fillId="0" borderId="0" xfId="57" applyFill="1" applyAlignment="1">
      <alignment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4" fontId="89" fillId="0" borderId="15" xfId="53" applyNumberFormat="1" applyFont="1" applyFill="1" applyBorder="1" applyAlignment="1">
      <alignment horizontal="center" vertical="center" wrapText="1"/>
      <protection/>
    </xf>
    <xf numFmtId="4" fontId="89" fillId="0" borderId="15" xfId="53" applyNumberFormat="1" applyFont="1" applyFill="1" applyBorder="1" applyAlignment="1">
      <alignment horizontal="right" vertical="center" wrapText="1"/>
      <protection/>
    </xf>
    <xf numFmtId="4" fontId="89" fillId="0" borderId="21" xfId="53" applyNumberFormat="1" applyFont="1" applyFill="1" applyBorder="1" applyAlignment="1">
      <alignment horizontal="right" vertical="center" wrapText="1"/>
      <protection/>
    </xf>
    <xf numFmtId="4" fontId="3" fillId="0" borderId="22" xfId="53" applyNumberFormat="1" applyFont="1" applyFill="1" applyBorder="1" applyAlignment="1">
      <alignment horizontal="center" vertical="center" wrapText="1"/>
      <protection/>
    </xf>
    <xf numFmtId="4" fontId="9" fillId="0" borderId="10" xfId="57" applyNumberFormat="1" applyFont="1" applyFill="1" applyBorder="1" applyAlignment="1">
      <alignment vertical="center"/>
      <protection/>
    </xf>
    <xf numFmtId="4" fontId="3" fillId="0" borderId="24" xfId="53" applyNumberFormat="1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/>
      <protection/>
    </xf>
    <xf numFmtId="4" fontId="89" fillId="0" borderId="12" xfId="53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 vertical="center" wrapText="1"/>
    </xf>
    <xf numFmtId="4" fontId="9" fillId="0" borderId="15" xfId="57" applyNumberFormat="1" applyFont="1" applyFill="1" applyBorder="1" applyAlignment="1">
      <alignment vertical="center"/>
      <protection/>
    </xf>
    <xf numFmtId="4" fontId="9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4" fontId="44" fillId="0" borderId="0" xfId="0" applyNumberFormat="1" applyFont="1" applyFill="1" applyAlignment="1">
      <alignment/>
    </xf>
    <xf numFmtId="4" fontId="89" fillId="36" borderId="12" xfId="53" applyNumberFormat="1" applyFont="1" applyFill="1" applyBorder="1" applyAlignment="1">
      <alignment horizontal="right" vertical="center" wrapText="1"/>
      <protection/>
    </xf>
    <xf numFmtId="0" fontId="2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4" fontId="34" fillId="0" borderId="0" xfId="0" applyNumberFormat="1" applyFont="1" applyFill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4" fontId="37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left" vertical="center"/>
    </xf>
    <xf numFmtId="0" fontId="51" fillId="0" borderId="1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left" vertical="center"/>
    </xf>
    <xf numFmtId="0" fontId="29" fillId="0" borderId="18" xfId="54" applyFont="1" applyFill="1" applyBorder="1" applyAlignment="1">
      <alignment horizontal="left" vertical="center" wrapText="1"/>
      <protection/>
    </xf>
    <xf numFmtId="0" fontId="49" fillId="0" borderId="13" xfId="0" applyFont="1" applyFill="1" applyBorder="1" applyAlignment="1">
      <alignment horizontal="left" vertical="center" wrapText="1"/>
    </xf>
    <xf numFmtId="0" fontId="29" fillId="0" borderId="13" xfId="54" applyFont="1" applyFill="1" applyBorder="1" applyAlignment="1">
      <alignment horizontal="left" vertical="center" wrapText="1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0" fontId="49" fillId="0" borderId="1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49" fontId="29" fillId="0" borderId="13" xfId="52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93" fillId="0" borderId="0" xfId="0" applyNumberFormat="1" applyFont="1" applyFill="1" applyAlignment="1">
      <alignment vertical="center"/>
    </xf>
    <xf numFmtId="0" fontId="93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4" fontId="65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 wrapText="1"/>
    </xf>
    <xf numFmtId="4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4" fontId="13" fillId="0" borderId="13" xfId="0" applyNumberFormat="1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" fillId="0" borderId="22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/>
    </xf>
    <xf numFmtId="0" fontId="49" fillId="0" borderId="20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/>
    </xf>
    <xf numFmtId="0" fontId="29" fillId="0" borderId="11" xfId="0" applyFont="1" applyFill="1" applyBorder="1" applyAlignment="1">
      <alignment horizontal="left" vertical="center"/>
    </xf>
    <xf numFmtId="0" fontId="49" fillId="0" borderId="23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/>
    </xf>
    <xf numFmtId="0" fontId="49" fillId="0" borderId="19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 vertical="center"/>
    </xf>
    <xf numFmtId="49" fontId="29" fillId="0" borderId="19" xfId="52" applyNumberFormat="1" applyFont="1" applyFill="1" applyBorder="1" applyAlignment="1">
      <alignment horizontal="left" vertical="center" wrapText="1"/>
      <protection/>
    </xf>
    <xf numFmtId="49" fontId="29" fillId="0" borderId="13" xfId="52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0" fontId="4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49" fillId="0" borderId="1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29" fillId="36" borderId="11" xfId="0" applyFont="1" applyFill="1" applyBorder="1" applyAlignment="1">
      <alignment horizontal="left" vertical="center" wrapText="1"/>
    </xf>
    <xf numFmtId="4" fontId="3" fillId="36" borderId="12" xfId="0" applyNumberFormat="1" applyFont="1" applyFill="1" applyBorder="1" applyAlignment="1">
      <alignment horizontal="right" vertical="center" wrapText="1"/>
    </xf>
    <xf numFmtId="4" fontId="3" fillId="36" borderId="12" xfId="0" applyNumberFormat="1" applyFont="1" applyFill="1" applyBorder="1" applyAlignment="1">
      <alignment vertical="center"/>
    </xf>
    <xf numFmtId="4" fontId="3" fillId="36" borderId="13" xfId="0" applyNumberFormat="1" applyFont="1" applyFill="1" applyBorder="1" applyAlignment="1">
      <alignment vertical="center"/>
    </xf>
    <xf numFmtId="4" fontId="3" fillId="36" borderId="18" xfId="0" applyNumberFormat="1" applyFont="1" applyFill="1" applyBorder="1" applyAlignment="1">
      <alignment horizontal="right" vertical="center"/>
    </xf>
    <xf numFmtId="4" fontId="3" fillId="36" borderId="16" xfId="53" applyNumberFormat="1" applyFont="1" applyFill="1" applyBorder="1" applyAlignment="1">
      <alignment horizontal="center" vertical="center" wrapText="1"/>
      <protection/>
    </xf>
    <xf numFmtId="4" fontId="3" fillId="36" borderId="15" xfId="53" applyNumberFormat="1" applyFont="1" applyFill="1" applyBorder="1" applyAlignment="1">
      <alignment horizontal="center" vertical="center" wrapText="1"/>
      <protection/>
    </xf>
    <xf numFmtId="4" fontId="3" fillId="36" borderId="23" xfId="53" applyNumberFormat="1" applyFont="1" applyFill="1" applyBorder="1" applyAlignment="1">
      <alignment horizontal="center" vertical="center" wrapText="1"/>
      <protection/>
    </xf>
    <xf numFmtId="4" fontId="3" fillId="36" borderId="12" xfId="53" applyNumberFormat="1" applyFont="1" applyFill="1" applyBorder="1" applyAlignment="1">
      <alignment horizontal="center" vertical="center" wrapText="1"/>
      <protection/>
    </xf>
    <xf numFmtId="4" fontId="3" fillId="36" borderId="21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/>
    </xf>
    <xf numFmtId="49" fontId="83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" fontId="21" fillId="0" borderId="0" xfId="52" applyNumberFormat="1" applyFont="1" applyFill="1" applyBorder="1">
      <alignment/>
      <protection/>
    </xf>
    <xf numFmtId="0" fontId="9" fillId="0" borderId="0" xfId="52" applyFont="1" applyFill="1" applyBorder="1">
      <alignment/>
      <protection/>
    </xf>
    <xf numFmtId="4" fontId="2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76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4" fontId="9" fillId="0" borderId="0" xfId="53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vertical="center"/>
      <protection/>
    </xf>
    <xf numFmtId="4" fontId="9" fillId="0" borderId="0" xfId="53" applyNumberFormat="1" applyFont="1" applyFill="1" applyBorder="1">
      <alignment/>
      <protection/>
    </xf>
    <xf numFmtId="4" fontId="3" fillId="0" borderId="0" xfId="53" applyNumberFormat="1" applyFont="1" applyFill="1" applyBorder="1">
      <alignment/>
      <protection/>
    </xf>
    <xf numFmtId="4" fontId="22" fillId="0" borderId="0" xfId="53" applyNumberFormat="1" applyFont="1" applyFill="1" applyBorder="1">
      <alignment/>
      <protection/>
    </xf>
    <xf numFmtId="4" fontId="20" fillId="0" borderId="0" xfId="53" applyNumberFormat="1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0" applyFont="1" applyFill="1" applyBorder="1" applyAlignment="1">
      <alignment/>
    </xf>
    <xf numFmtId="4" fontId="23" fillId="0" borderId="0" xfId="53" applyNumberFormat="1" applyFont="1" applyFill="1" applyBorder="1">
      <alignment/>
      <protection/>
    </xf>
    <xf numFmtId="4" fontId="21" fillId="0" borderId="0" xfId="53" applyNumberFormat="1" applyFont="1" applyFill="1" applyBorder="1">
      <alignment/>
      <protection/>
    </xf>
    <xf numFmtId="4" fontId="24" fillId="0" borderId="0" xfId="52" applyNumberFormat="1" applyFont="1" applyFill="1" applyBorder="1">
      <alignment/>
      <protection/>
    </xf>
    <xf numFmtId="4" fontId="23" fillId="0" borderId="0" xfId="52" applyNumberFormat="1" applyFont="1" applyFill="1" applyBorder="1">
      <alignment/>
      <protection/>
    </xf>
    <xf numFmtId="4" fontId="36" fillId="0" borderId="0" xfId="52" applyNumberFormat="1" applyFont="1" applyFill="1" applyBorder="1">
      <alignment/>
      <protection/>
    </xf>
    <xf numFmtId="4" fontId="24" fillId="0" borderId="0" xfId="52" applyNumberFormat="1" applyFont="1" applyFill="1" applyBorder="1">
      <alignment/>
      <protection/>
    </xf>
    <xf numFmtId="4" fontId="23" fillId="0" borderId="0" xfId="52" applyNumberFormat="1" applyFont="1" applyFill="1" applyBorder="1">
      <alignment/>
      <protection/>
    </xf>
    <xf numFmtId="4" fontId="82" fillId="0" borderId="0" xfId="52" applyNumberFormat="1" applyFont="1" applyFill="1" applyBorder="1">
      <alignment/>
      <protection/>
    </xf>
    <xf numFmtId="4" fontId="22" fillId="0" borderId="0" xfId="52" applyNumberFormat="1" applyFont="1" applyFill="1" applyBorder="1">
      <alignment/>
      <protection/>
    </xf>
    <xf numFmtId="4" fontId="20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35" fillId="0" borderId="0" xfId="52" applyNumberFormat="1" applyFont="1" applyFill="1" applyBorder="1">
      <alignment/>
      <protection/>
    </xf>
    <xf numFmtId="4" fontId="34" fillId="0" borderId="0" xfId="52" applyNumberFormat="1" applyFont="1" applyFill="1" applyBorder="1">
      <alignment/>
      <protection/>
    </xf>
    <xf numFmtId="164" fontId="9" fillId="0" borderId="0" xfId="52" applyNumberFormat="1" applyFont="1" applyFill="1" applyBorder="1">
      <alignment/>
      <protection/>
    </xf>
    <xf numFmtId="4" fontId="40" fillId="0" borderId="0" xfId="52" applyNumberFormat="1" applyFont="1" applyFill="1" applyBorder="1">
      <alignment/>
      <protection/>
    </xf>
    <xf numFmtId="4" fontId="25" fillId="0" borderId="0" xfId="52" applyNumberFormat="1" applyFont="1" applyFill="1" applyBorder="1">
      <alignment/>
      <protection/>
    </xf>
    <xf numFmtId="4" fontId="33" fillId="0" borderId="0" xfId="52" applyNumberFormat="1" applyFont="1" applyFill="1" applyBorder="1">
      <alignment/>
      <protection/>
    </xf>
    <xf numFmtId="4" fontId="38" fillId="0" borderId="0" xfId="52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4" fontId="2" fillId="0" borderId="0" xfId="52" applyNumberFormat="1" applyFont="1" applyFill="1" applyBorder="1">
      <alignment/>
      <protection/>
    </xf>
    <xf numFmtId="4" fontId="20" fillId="0" borderId="0" xfId="52" applyNumberFormat="1" applyFont="1" applyFill="1" applyBorder="1">
      <alignment/>
      <protection/>
    </xf>
    <xf numFmtId="4" fontId="9" fillId="0" borderId="0" xfId="52" applyNumberFormat="1" applyFont="1" applyFill="1" applyBorder="1">
      <alignment/>
      <protection/>
    </xf>
    <xf numFmtId="4" fontId="41" fillId="0" borderId="0" xfId="52" applyNumberFormat="1" applyFont="1" applyFill="1" applyBorder="1">
      <alignment/>
      <protection/>
    </xf>
    <xf numFmtId="4" fontId="42" fillId="0" borderId="0" xfId="52" applyNumberFormat="1" applyFont="1" applyFill="1" applyBorder="1">
      <alignment/>
      <protection/>
    </xf>
    <xf numFmtId="4" fontId="43" fillId="0" borderId="0" xfId="52" applyNumberFormat="1" applyFont="1" applyFill="1" applyBorder="1">
      <alignment/>
      <protection/>
    </xf>
    <xf numFmtId="0" fontId="3" fillId="0" borderId="0" xfId="52" applyFont="1" applyFill="1" applyBorder="1">
      <alignment/>
      <protection/>
    </xf>
    <xf numFmtId="4" fontId="33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4" fontId="22" fillId="0" borderId="0" xfId="52" applyNumberFormat="1" applyFont="1" applyFill="1" applyBorder="1" applyAlignment="1">
      <alignment vertical="center"/>
      <protection/>
    </xf>
    <xf numFmtId="4" fontId="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3" fillId="0" borderId="0" xfId="52" applyFont="1" applyFill="1" applyBorder="1">
      <alignment/>
      <protection/>
    </xf>
    <xf numFmtId="0" fontId="9" fillId="33" borderId="2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ał. nr 3A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zoomScalePageLayoutView="0" workbookViewId="0" topLeftCell="A13">
      <selection activeCell="G43" sqref="G43"/>
    </sheetView>
  </sheetViews>
  <sheetFormatPr defaultColWidth="9.140625" defaultRowHeight="12.75"/>
  <cols>
    <col min="1" max="1" width="22.7109375" style="0" customWidth="1"/>
    <col min="2" max="2" width="18.8515625" style="626" customWidth="1"/>
    <col min="3" max="3" width="17.8515625" style="626" customWidth="1"/>
    <col min="4" max="4" width="18.7109375" style="626" customWidth="1"/>
    <col min="5" max="5" width="19.57421875" style="626" customWidth="1"/>
    <col min="6" max="6" width="21.7109375" style="626" customWidth="1"/>
    <col min="7" max="7" width="21.8515625" style="626" customWidth="1"/>
    <col min="8" max="8" width="29.421875" style="626" customWidth="1"/>
    <col min="9" max="14" width="9.140625" style="626" customWidth="1"/>
  </cols>
  <sheetData>
    <row r="2" spans="1:14" s="489" customFormat="1" ht="12">
      <c r="A2" s="629"/>
      <c r="B2" s="630" t="s">
        <v>779</v>
      </c>
      <c r="C2" s="630" t="s">
        <v>782</v>
      </c>
      <c r="D2" s="630" t="s">
        <v>780</v>
      </c>
      <c r="E2" s="630" t="s">
        <v>781</v>
      </c>
      <c r="F2" s="630"/>
      <c r="G2" s="490"/>
      <c r="H2" s="490"/>
      <c r="I2" s="490"/>
      <c r="J2" s="490"/>
      <c r="K2" s="490"/>
      <c r="L2" s="490"/>
      <c r="M2" s="490"/>
      <c r="N2" s="490"/>
    </row>
    <row r="3" spans="1:6" ht="18">
      <c r="A3" s="632" t="s">
        <v>81</v>
      </c>
      <c r="B3" s="631">
        <f>SUM(B4:B11)</f>
        <v>69735</v>
      </c>
      <c r="C3" s="631">
        <f>SUM(C4:C11)</f>
        <v>523</v>
      </c>
      <c r="D3" s="631">
        <f>SUM(D4:D11)</f>
        <v>3867</v>
      </c>
      <c r="E3" s="631">
        <f>SUM(E4:E11)</f>
        <v>8591</v>
      </c>
      <c r="F3" s="631">
        <f>SUM(F4:F11)</f>
        <v>82716</v>
      </c>
    </row>
    <row r="4" spans="1:6" ht="18">
      <c r="A4" s="487" t="s">
        <v>771</v>
      </c>
      <c r="B4" s="488">
        <v>12689</v>
      </c>
      <c r="C4" s="488"/>
      <c r="D4" s="488">
        <v>832</v>
      </c>
      <c r="E4" s="488">
        <v>579</v>
      </c>
      <c r="F4" s="488">
        <f>B4+C4+D4+E4</f>
        <v>14100</v>
      </c>
    </row>
    <row r="5" spans="1:6" ht="18">
      <c r="A5" s="487" t="s">
        <v>773</v>
      </c>
      <c r="B5" s="488">
        <v>4685</v>
      </c>
      <c r="C5" s="488"/>
      <c r="D5" s="488">
        <v>175</v>
      </c>
      <c r="E5" s="488">
        <v>256</v>
      </c>
      <c r="F5" s="488">
        <f aca="true" t="shared" si="0" ref="F5:F11">B5+C5+D5+E5</f>
        <v>5116</v>
      </c>
    </row>
    <row r="6" spans="1:6" ht="18">
      <c r="A6" s="487" t="s">
        <v>774</v>
      </c>
      <c r="B6" s="488">
        <v>16847</v>
      </c>
      <c r="C6" s="488"/>
      <c r="D6" s="488">
        <v>1470</v>
      </c>
      <c r="E6" s="488">
        <v>2438</v>
      </c>
      <c r="F6" s="488">
        <f t="shared" si="0"/>
        <v>20755</v>
      </c>
    </row>
    <row r="7" spans="1:6" ht="18">
      <c r="A7" s="487" t="s">
        <v>772</v>
      </c>
      <c r="B7" s="488"/>
      <c r="C7" s="488"/>
      <c r="D7" s="488"/>
      <c r="E7" s="488">
        <v>370</v>
      </c>
      <c r="F7" s="488">
        <f t="shared" si="0"/>
        <v>370</v>
      </c>
    </row>
    <row r="8" spans="1:6" ht="18">
      <c r="A8" s="487" t="s">
        <v>775</v>
      </c>
      <c r="B8" s="488">
        <v>16332</v>
      </c>
      <c r="C8" s="488"/>
      <c r="D8" s="488">
        <v>741</v>
      </c>
      <c r="E8" s="488">
        <v>3221</v>
      </c>
      <c r="F8" s="488">
        <f t="shared" si="0"/>
        <v>20294</v>
      </c>
    </row>
    <row r="9" spans="1:6" ht="18">
      <c r="A9" s="487" t="s">
        <v>776</v>
      </c>
      <c r="B9" s="488">
        <v>5663</v>
      </c>
      <c r="C9" s="488">
        <v>523</v>
      </c>
      <c r="D9" s="488">
        <v>397</v>
      </c>
      <c r="E9" s="488">
        <v>535</v>
      </c>
      <c r="F9" s="488">
        <f t="shared" si="0"/>
        <v>7118</v>
      </c>
    </row>
    <row r="10" spans="1:6" ht="18">
      <c r="A10" s="487" t="s">
        <v>777</v>
      </c>
      <c r="B10" s="488">
        <v>578</v>
      </c>
      <c r="C10" s="488"/>
      <c r="D10" s="488"/>
      <c r="E10" s="488"/>
      <c r="F10" s="488">
        <f t="shared" si="0"/>
        <v>578</v>
      </c>
    </row>
    <row r="11" spans="1:6" ht="18">
      <c r="A11" s="487" t="s">
        <v>778</v>
      </c>
      <c r="B11" s="488">
        <v>12941</v>
      </c>
      <c r="C11" s="488"/>
      <c r="D11" s="488">
        <v>252</v>
      </c>
      <c r="E11" s="488">
        <v>1192</v>
      </c>
      <c r="F11" s="488">
        <f t="shared" si="0"/>
        <v>14385</v>
      </c>
    </row>
    <row r="12" spans="5:6" ht="18">
      <c r="E12" s="636">
        <f>B3+C3+D3+E3</f>
        <v>82716</v>
      </c>
      <c r="F12" s="636">
        <f>B3+C3+D3+E3+F3</f>
        <v>165432</v>
      </c>
    </row>
    <row r="14" spans="1:4" ht="20.25">
      <c r="A14" s="485" t="s">
        <v>758</v>
      </c>
      <c r="B14" s="486">
        <f>SUM(B15:B26)</f>
        <v>70678</v>
      </c>
      <c r="C14" s="627">
        <v>12800</v>
      </c>
      <c r="D14" s="626">
        <f>B14+C14</f>
        <v>83478</v>
      </c>
    </row>
    <row r="15" spans="1:3" ht="18">
      <c r="A15" s="487" t="s">
        <v>759</v>
      </c>
      <c r="B15" s="488">
        <v>16000</v>
      </c>
      <c r="C15" s="628"/>
    </row>
    <row r="16" spans="1:3" ht="18">
      <c r="A16" s="487" t="s">
        <v>760</v>
      </c>
      <c r="B16" s="488">
        <v>3070</v>
      </c>
      <c r="C16" s="628"/>
    </row>
    <row r="17" spans="1:3" ht="18">
      <c r="A17" s="487" t="s">
        <v>761</v>
      </c>
      <c r="B17" s="488">
        <v>4300</v>
      </c>
      <c r="C17" s="628"/>
    </row>
    <row r="18" spans="1:3" ht="18">
      <c r="A18" s="487" t="s">
        <v>762</v>
      </c>
      <c r="B18" s="488">
        <v>3000</v>
      </c>
      <c r="C18" s="628"/>
    </row>
    <row r="19" spans="1:3" ht="18">
      <c r="A19" s="487" t="s">
        <v>763</v>
      </c>
      <c r="B19" s="488">
        <v>6000</v>
      </c>
      <c r="C19" s="628"/>
    </row>
    <row r="20" spans="1:3" ht="18">
      <c r="A20" s="487" t="s">
        <v>764</v>
      </c>
      <c r="B20" s="488">
        <v>5209</v>
      </c>
      <c r="C20" s="628"/>
    </row>
    <row r="21" spans="1:3" ht="18">
      <c r="A21" s="487" t="s">
        <v>765</v>
      </c>
      <c r="B21" s="488">
        <v>4542</v>
      </c>
      <c r="C21" s="628"/>
    </row>
    <row r="22" spans="1:3" ht="18">
      <c r="A22" s="487" t="s">
        <v>766</v>
      </c>
      <c r="B22" s="488">
        <v>5000</v>
      </c>
      <c r="C22" s="628"/>
    </row>
    <row r="23" spans="1:3" ht="18">
      <c r="A23" s="487" t="s">
        <v>767</v>
      </c>
      <c r="B23" s="488">
        <v>1143</v>
      </c>
      <c r="C23" s="628"/>
    </row>
    <row r="24" spans="1:3" ht="18">
      <c r="A24" s="487" t="s">
        <v>768</v>
      </c>
      <c r="B24" s="488">
        <v>842</v>
      </c>
      <c r="C24" s="628"/>
    </row>
    <row r="25" spans="1:3" ht="18">
      <c r="A25" s="487" t="s">
        <v>769</v>
      </c>
      <c r="B25" s="488">
        <v>12772</v>
      </c>
      <c r="C25" s="628"/>
    </row>
    <row r="26" spans="1:3" ht="18">
      <c r="A26" s="487" t="s">
        <v>770</v>
      </c>
      <c r="B26" s="488">
        <v>8800</v>
      </c>
      <c r="C26" s="628"/>
    </row>
    <row r="27" spans="1:3" ht="18">
      <c r="A27" s="633"/>
      <c r="B27" s="628"/>
      <c r="C27" s="628"/>
    </row>
    <row r="28" spans="1:3" ht="18">
      <c r="A28" s="633"/>
      <c r="B28" s="628"/>
      <c r="C28" s="628"/>
    </row>
    <row r="30" spans="1:4" ht="18">
      <c r="A30" s="487"/>
      <c r="B30" s="630" t="s">
        <v>783</v>
      </c>
      <c r="C30" s="630" t="s">
        <v>780</v>
      </c>
      <c r="D30" s="630" t="s">
        <v>781</v>
      </c>
    </row>
    <row r="31" spans="1:14" s="634" customFormat="1" ht="18">
      <c r="A31" s="632" t="s">
        <v>81</v>
      </c>
      <c r="B31" s="631">
        <f>SUM(B32:B37)</f>
        <v>29292</v>
      </c>
      <c r="C31" s="631">
        <f>SUM(C32:C37)</f>
        <v>1107</v>
      </c>
      <c r="D31" s="631">
        <f>SUM(D32:D37)</f>
        <v>4437</v>
      </c>
      <c r="E31" s="636"/>
      <c r="F31" s="636"/>
      <c r="G31" s="636"/>
      <c r="H31" s="636"/>
      <c r="I31" s="636"/>
      <c r="J31" s="636"/>
      <c r="K31" s="636"/>
      <c r="L31" s="636"/>
      <c r="M31" s="636"/>
      <c r="N31" s="636"/>
    </row>
    <row r="32" spans="1:4" ht="18">
      <c r="A32" s="487" t="s">
        <v>784</v>
      </c>
      <c r="B32" s="488">
        <v>23</v>
      </c>
      <c r="C32" s="488">
        <v>599</v>
      </c>
      <c r="D32" s="488">
        <v>467</v>
      </c>
    </row>
    <row r="33" spans="1:4" ht="18">
      <c r="A33" s="487" t="s">
        <v>785</v>
      </c>
      <c r="B33" s="488">
        <v>6484</v>
      </c>
      <c r="C33" s="488"/>
      <c r="D33" s="488"/>
    </row>
    <row r="34" spans="1:4" ht="18">
      <c r="A34" s="487" t="s">
        <v>786</v>
      </c>
      <c r="B34" s="488">
        <v>137</v>
      </c>
      <c r="C34" s="488"/>
      <c r="D34" s="488"/>
    </row>
    <row r="35" spans="1:4" ht="18">
      <c r="A35" s="487" t="s">
        <v>787</v>
      </c>
      <c r="B35" s="488">
        <v>11733</v>
      </c>
      <c r="C35" s="488"/>
      <c r="D35" s="488">
        <v>225</v>
      </c>
    </row>
    <row r="36" spans="1:4" ht="18">
      <c r="A36" s="487" t="s">
        <v>788</v>
      </c>
      <c r="B36" s="488">
        <v>12480</v>
      </c>
      <c r="C36" s="488">
        <v>50</v>
      </c>
      <c r="D36" s="488">
        <v>2476</v>
      </c>
    </row>
    <row r="37" spans="1:4" ht="18">
      <c r="A37" s="487" t="s">
        <v>789</v>
      </c>
      <c r="B37" s="488">
        <v>-1565</v>
      </c>
      <c r="C37" s="488">
        <v>458</v>
      </c>
      <c r="D37" s="488">
        <f>162+1107</f>
        <v>1269</v>
      </c>
    </row>
    <row r="38" spans="4:8" ht="18">
      <c r="D38" s="636">
        <f>B31+C31+D31</f>
        <v>34836</v>
      </c>
      <c r="F38" s="636">
        <f>E12+B14+D38</f>
        <v>188230</v>
      </c>
      <c r="H38" s="626">
        <v>126543</v>
      </c>
    </row>
    <row r="39" spans="6:8" ht="18">
      <c r="F39" s="626">
        <v>12800</v>
      </c>
      <c r="H39" s="626">
        <f>F38+H38</f>
        <v>314773</v>
      </c>
    </row>
    <row r="40" ht="18">
      <c r="F40" s="626">
        <f>SUM(F38:F39)</f>
        <v>201030</v>
      </c>
    </row>
    <row r="45" ht="18">
      <c r="B45" s="639">
        <v>53073</v>
      </c>
    </row>
    <row r="46" spans="2:14" s="633" customFormat="1" ht="18">
      <c r="B46" s="640">
        <v>45631</v>
      </c>
      <c r="C46" s="635"/>
      <c r="D46" s="635"/>
      <c r="E46" s="635"/>
      <c r="F46" s="635"/>
      <c r="G46" s="635"/>
      <c r="H46" s="635"/>
      <c r="I46" s="628"/>
      <c r="J46" s="628"/>
      <c r="K46" s="628"/>
      <c r="L46" s="628"/>
      <c r="M46" s="628"/>
      <c r="N46" s="628"/>
    </row>
    <row r="47" ht="18">
      <c r="B47" s="626">
        <v>16366</v>
      </c>
    </row>
    <row r="48" ht="18">
      <c r="B48" s="626">
        <v>7741</v>
      </c>
    </row>
    <row r="49" ht="18">
      <c r="B49" s="626">
        <v>9194</v>
      </c>
    </row>
    <row r="50" ht="18">
      <c r="B50" s="626">
        <v>4950</v>
      </c>
    </row>
    <row r="51" ht="18">
      <c r="B51" s="626">
        <v>13293</v>
      </c>
    </row>
    <row r="52" ht="18">
      <c r="B52" s="626">
        <v>66690</v>
      </c>
    </row>
    <row r="53" ht="18">
      <c r="B53" s="626">
        <v>16546</v>
      </c>
    </row>
    <row r="54" spans="2:3" ht="18">
      <c r="B54" s="636">
        <f>SUM(B45:B53)</f>
        <v>233484</v>
      </c>
      <c r="C54" s="626" t="s">
        <v>869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1"/>
  <sheetViews>
    <sheetView tabSelected="1" zoomScale="120" zoomScaleNormal="120" zoomScalePageLayoutView="0" workbookViewId="0" topLeftCell="A1">
      <selection activeCell="E137" sqref="E137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140625" style="2" customWidth="1"/>
    <col min="6" max="6" width="15.57421875" style="2" customWidth="1"/>
    <col min="7" max="7" width="16.140625" style="2" customWidth="1"/>
    <col min="8" max="8" width="19.8515625" style="24" customWidth="1"/>
    <col min="9" max="9" width="28.00390625" style="934" customWidth="1"/>
    <col min="10" max="10" width="22.28125" style="926" customWidth="1"/>
    <col min="11" max="11" width="20.8515625" style="934" customWidth="1"/>
    <col min="12" max="12" width="19.28125" style="934" customWidth="1"/>
    <col min="13" max="13" width="19.00390625" style="934" customWidth="1"/>
    <col min="14" max="14" width="25.57421875" style="520" customWidth="1"/>
    <col min="15" max="15" width="22.421875" style="520" customWidth="1"/>
    <col min="16" max="18" width="9.140625" style="520" customWidth="1"/>
    <col min="19" max="16384" width="9.140625" style="2" customWidth="1"/>
  </cols>
  <sheetData>
    <row r="1" spans="1:18" s="33" customFormat="1" ht="23.25" customHeight="1">
      <c r="A1" s="43" t="s">
        <v>102</v>
      </c>
      <c r="B1" s="44"/>
      <c r="C1" s="45"/>
      <c r="D1" s="5"/>
      <c r="E1" s="5"/>
      <c r="F1" s="5"/>
      <c r="G1" s="38"/>
      <c r="H1" s="645" t="s">
        <v>283</v>
      </c>
      <c r="I1" s="936"/>
      <c r="J1" s="937"/>
      <c r="K1" s="938"/>
      <c r="L1" s="936"/>
      <c r="M1" s="936"/>
      <c r="N1" s="938"/>
      <c r="O1" s="325"/>
      <c r="P1" s="325"/>
      <c r="Q1" s="325"/>
      <c r="R1" s="325"/>
    </row>
    <row r="2" spans="1:18" s="33" customFormat="1" ht="24" customHeight="1">
      <c r="A2" s="43" t="s">
        <v>84</v>
      </c>
      <c r="B2" s="44"/>
      <c r="C2" s="45"/>
      <c r="D2" s="5"/>
      <c r="E2" s="5"/>
      <c r="F2" s="5"/>
      <c r="G2" s="38"/>
      <c r="H2" s="40" t="s">
        <v>875</v>
      </c>
      <c r="I2" s="936"/>
      <c r="J2" s="937"/>
      <c r="K2" s="938"/>
      <c r="L2" s="936"/>
      <c r="M2" s="936"/>
      <c r="N2" s="938"/>
      <c r="O2" s="325"/>
      <c r="P2" s="325"/>
      <c r="Q2" s="325"/>
      <c r="R2" s="325"/>
    </row>
    <row r="3" spans="1:18" s="33" customFormat="1" ht="24" customHeight="1">
      <c r="A3" s="43" t="s">
        <v>726</v>
      </c>
      <c r="B3" s="44"/>
      <c r="C3" s="45"/>
      <c r="D3" s="5"/>
      <c r="E3" s="5"/>
      <c r="F3" s="5"/>
      <c r="G3" s="38"/>
      <c r="H3" s="645"/>
      <c r="I3" s="936"/>
      <c r="J3" s="937"/>
      <c r="K3" s="938"/>
      <c r="L3" s="936"/>
      <c r="M3" s="936"/>
      <c r="N3" s="938"/>
      <c r="O3" s="325"/>
      <c r="P3" s="325"/>
      <c r="Q3" s="325"/>
      <c r="R3" s="325"/>
    </row>
    <row r="4" spans="1:18" s="33" customFormat="1" ht="17.25" customHeight="1">
      <c r="A4" s="37"/>
      <c r="B4" s="38"/>
      <c r="C4" s="39"/>
      <c r="D4" s="38"/>
      <c r="E4" s="38"/>
      <c r="F4" s="38"/>
      <c r="G4" s="38"/>
      <c r="H4" s="41"/>
      <c r="I4" s="936"/>
      <c r="J4" s="937"/>
      <c r="K4" s="938"/>
      <c r="L4" s="936"/>
      <c r="M4" s="936"/>
      <c r="N4" s="938"/>
      <c r="O4" s="325"/>
      <c r="P4" s="325"/>
      <c r="Q4" s="325"/>
      <c r="R4" s="325"/>
    </row>
    <row r="5" spans="1:14" ht="18.75">
      <c r="A5" s="23"/>
      <c r="B5" s="5"/>
      <c r="C5" s="6"/>
      <c r="D5" s="5"/>
      <c r="E5" s="5"/>
      <c r="F5" s="5"/>
      <c r="G5" s="5"/>
      <c r="H5" s="7"/>
      <c r="I5" s="939"/>
      <c r="J5" s="940"/>
      <c r="K5" s="526"/>
      <c r="L5" s="939"/>
      <c r="M5" s="939"/>
      <c r="N5" s="526"/>
    </row>
    <row r="6" spans="1:14" ht="19.5">
      <c r="A6" s="23" t="s">
        <v>155</v>
      </c>
      <c r="B6" s="5"/>
      <c r="C6" s="6"/>
      <c r="D6" s="5"/>
      <c r="E6" s="5"/>
      <c r="F6" s="5"/>
      <c r="G6" s="5"/>
      <c r="H6" s="7"/>
      <c r="I6" s="939"/>
      <c r="J6" s="940"/>
      <c r="K6" s="526"/>
      <c r="L6" s="939"/>
      <c r="M6" s="939"/>
      <c r="N6" s="526"/>
    </row>
    <row r="7" spans="1:14" ht="18.75">
      <c r="A7" s="23"/>
      <c r="B7" s="5"/>
      <c r="C7" s="6"/>
      <c r="D7" s="5"/>
      <c r="E7" s="5"/>
      <c r="F7" s="5"/>
      <c r="G7" s="5"/>
      <c r="H7" s="7"/>
      <c r="I7" s="939"/>
      <c r="J7" s="940"/>
      <c r="K7" s="526"/>
      <c r="L7" s="939"/>
      <c r="M7" s="939"/>
      <c r="N7" s="526"/>
    </row>
    <row r="8" spans="1:14" ht="18.75">
      <c r="A8" s="5"/>
      <c r="B8" s="5"/>
      <c r="C8" s="6"/>
      <c r="D8" s="5"/>
      <c r="E8" s="5"/>
      <c r="F8" s="5"/>
      <c r="G8" s="5"/>
      <c r="H8" s="7"/>
      <c r="I8" s="939"/>
      <c r="J8" s="940"/>
      <c r="K8" s="526"/>
      <c r="L8" s="939"/>
      <c r="M8" s="939"/>
      <c r="N8" s="526"/>
    </row>
    <row r="9" spans="1:14" ht="18.75">
      <c r="A9" s="46" t="s">
        <v>85</v>
      </c>
      <c r="B9" s="44"/>
      <c r="C9" s="45"/>
      <c r="D9" s="5"/>
      <c r="E9" s="5"/>
      <c r="F9" s="5"/>
      <c r="G9" s="5"/>
      <c r="H9" s="7"/>
      <c r="I9" s="939"/>
      <c r="J9" s="940"/>
      <c r="K9" s="526"/>
      <c r="L9" s="939"/>
      <c r="M9" s="939"/>
      <c r="N9" s="526"/>
    </row>
    <row r="10" spans="1:14" ht="18.75">
      <c r="A10" s="46" t="s">
        <v>109</v>
      </c>
      <c r="B10" s="44"/>
      <c r="C10" s="45"/>
      <c r="D10" s="5"/>
      <c r="E10" s="5"/>
      <c r="F10" s="5"/>
      <c r="G10" s="5"/>
      <c r="H10" s="7"/>
      <c r="I10" s="939"/>
      <c r="J10" s="940"/>
      <c r="K10" s="526"/>
      <c r="L10" s="939"/>
      <c r="M10" s="939"/>
      <c r="N10" s="526"/>
    </row>
    <row r="11" spans="1:14" ht="18.75">
      <c r="A11" s="46" t="s">
        <v>110</v>
      </c>
      <c r="B11" s="44"/>
      <c r="C11" s="45"/>
      <c r="D11" s="5"/>
      <c r="E11" s="5"/>
      <c r="F11" s="5"/>
      <c r="G11" s="5"/>
      <c r="H11" s="7"/>
      <c r="I11" s="939"/>
      <c r="J11" s="940"/>
      <c r="K11" s="526"/>
      <c r="L11" s="939"/>
      <c r="M11" s="939"/>
      <c r="N11" s="526"/>
    </row>
    <row r="12" spans="1:14" ht="18.75">
      <c r="A12" s="46"/>
      <c r="B12" s="44"/>
      <c r="C12" s="45"/>
      <c r="D12" s="5"/>
      <c r="E12" s="5"/>
      <c r="F12" s="5"/>
      <c r="G12" s="5"/>
      <c r="H12" s="7"/>
      <c r="I12" s="939"/>
      <c r="J12" s="940"/>
      <c r="K12" s="526"/>
      <c r="L12" s="939"/>
      <c r="M12" s="939"/>
      <c r="N12" s="526"/>
    </row>
    <row r="13" spans="1:18" s="28" customFormat="1" ht="15.75">
      <c r="A13" s="8"/>
      <c r="B13" s="8"/>
      <c r="C13" s="30"/>
      <c r="D13" s="8"/>
      <c r="E13" s="30" t="s">
        <v>73</v>
      </c>
      <c r="F13" s="8"/>
      <c r="G13" s="8"/>
      <c r="H13" s="9"/>
      <c r="I13" s="941"/>
      <c r="J13" s="941"/>
      <c r="K13" s="942"/>
      <c r="L13" s="941"/>
      <c r="M13" s="941"/>
      <c r="N13" s="943"/>
      <c r="O13" s="944"/>
      <c r="P13" s="944"/>
      <c r="Q13" s="944"/>
      <c r="R13" s="944"/>
    </row>
    <row r="14" spans="1:18" s="28" customFormat="1" ht="15.75">
      <c r="A14" s="8"/>
      <c r="B14" s="8"/>
      <c r="C14" s="30"/>
      <c r="D14" s="8"/>
      <c r="E14" s="30"/>
      <c r="F14" s="8"/>
      <c r="G14" s="8"/>
      <c r="H14" s="9"/>
      <c r="I14" s="941"/>
      <c r="J14" s="941"/>
      <c r="K14" s="942"/>
      <c r="L14" s="941"/>
      <c r="M14" s="941"/>
      <c r="N14" s="943"/>
      <c r="O14" s="944"/>
      <c r="P14" s="944"/>
      <c r="Q14" s="944"/>
      <c r="R14" s="944"/>
    </row>
    <row r="15" spans="1:14" ht="18.75">
      <c r="A15" s="362" t="s">
        <v>158</v>
      </c>
      <c r="B15" s="42"/>
      <c r="C15" s="42"/>
      <c r="D15" s="42"/>
      <c r="E15" s="30"/>
      <c r="F15" s="8"/>
      <c r="G15" s="5"/>
      <c r="H15" s="7"/>
      <c r="I15" s="945"/>
      <c r="J15" s="941"/>
      <c r="K15" s="946"/>
      <c r="L15" s="946"/>
      <c r="M15" s="946"/>
      <c r="N15" s="526"/>
    </row>
    <row r="16" spans="1:14" ht="18.75">
      <c r="A16" s="363" t="s">
        <v>693</v>
      </c>
      <c r="B16" s="42"/>
      <c r="C16" s="42"/>
      <c r="D16" s="42"/>
      <c r="E16" s="30"/>
      <c r="F16" s="8"/>
      <c r="G16" s="5"/>
      <c r="H16" s="7"/>
      <c r="I16" s="946"/>
      <c r="J16" s="941"/>
      <c r="K16" s="946"/>
      <c r="L16" s="946"/>
      <c r="M16" s="946"/>
      <c r="N16" s="526"/>
    </row>
    <row r="17" spans="1:8" ht="15.75">
      <c r="A17" s="48" t="s">
        <v>692</v>
      </c>
      <c r="B17" s="8"/>
      <c r="C17" s="49"/>
      <c r="D17" s="8"/>
      <c r="E17" s="30"/>
      <c r="F17" s="8"/>
      <c r="H17" s="1"/>
    </row>
    <row r="18" spans="1:9" ht="15.75">
      <c r="A18" s="363" t="s">
        <v>581</v>
      </c>
      <c r="B18" s="156"/>
      <c r="C18" s="364"/>
      <c r="D18" s="364"/>
      <c r="E18" s="30"/>
      <c r="F18" s="8"/>
      <c r="H18" s="1"/>
      <c r="I18" s="617"/>
    </row>
    <row r="19" spans="1:8" ht="15.75">
      <c r="A19" s="48" t="s">
        <v>582</v>
      </c>
      <c r="B19" s="8"/>
      <c r="C19" s="49"/>
      <c r="D19" s="8"/>
      <c r="E19" s="30"/>
      <c r="F19" s="8"/>
      <c r="H19" s="1"/>
    </row>
    <row r="20" spans="1:8" ht="14.25" customHeight="1">
      <c r="A20" s="48" t="s">
        <v>847</v>
      </c>
      <c r="B20" s="156"/>
      <c r="C20" s="364"/>
      <c r="D20" s="364"/>
      <c r="E20" s="26"/>
      <c r="F20" s="8"/>
      <c r="H20" s="1"/>
    </row>
    <row r="21" spans="1:9" ht="14.25" customHeight="1">
      <c r="A21" s="62" t="s">
        <v>583</v>
      </c>
      <c r="B21" s="156"/>
      <c r="C21" s="364"/>
      <c r="D21" s="364"/>
      <c r="E21" s="26"/>
      <c r="F21" s="8"/>
      <c r="H21" s="1"/>
      <c r="I21" s="930"/>
    </row>
    <row r="22" spans="1:23" ht="14.25" customHeight="1">
      <c r="A22" s="48" t="s">
        <v>341</v>
      </c>
      <c r="B22" s="399"/>
      <c r="C22" s="367"/>
      <c r="D22" s="18"/>
      <c r="E22" s="18"/>
      <c r="F22" s="8"/>
      <c r="H22" s="1"/>
      <c r="I22" s="947"/>
      <c r="J22" s="948"/>
      <c r="K22" s="947"/>
      <c r="L22" s="947"/>
      <c r="M22" s="924"/>
      <c r="N22" s="12"/>
      <c r="O22" s="12"/>
      <c r="P22" s="12"/>
      <c r="Q22" s="12"/>
      <c r="R22" s="12"/>
      <c r="S22" s="16"/>
      <c r="T22" s="16"/>
      <c r="U22" s="16"/>
      <c r="V22" s="16"/>
      <c r="W22" s="16"/>
    </row>
    <row r="23" spans="1:23" ht="14.25" customHeight="1">
      <c r="A23" s="48" t="s">
        <v>584</v>
      </c>
      <c r="B23" s="399"/>
      <c r="C23" s="367"/>
      <c r="D23" s="18"/>
      <c r="E23" s="18"/>
      <c r="F23" s="18"/>
      <c r="H23" s="1"/>
      <c r="I23" s="949"/>
      <c r="J23" s="948"/>
      <c r="K23" s="947"/>
      <c r="L23" s="947"/>
      <c r="M23" s="924"/>
      <c r="N23" s="12"/>
      <c r="O23" s="12"/>
      <c r="P23" s="12"/>
      <c r="Q23" s="12"/>
      <c r="R23" s="12"/>
      <c r="S23" s="16"/>
      <c r="T23" s="16"/>
      <c r="U23" s="16"/>
      <c r="V23" s="16"/>
      <c r="W23" s="16"/>
    </row>
    <row r="24" spans="1:23" ht="14.25" customHeight="1">
      <c r="A24" s="48" t="s">
        <v>711</v>
      </c>
      <c r="B24" s="8"/>
      <c r="C24" s="49"/>
      <c r="D24" s="8"/>
      <c r="E24" s="30"/>
      <c r="F24" s="8"/>
      <c r="H24" s="1"/>
      <c r="I24" s="947"/>
      <c r="J24" s="948"/>
      <c r="K24" s="947"/>
      <c r="L24" s="947"/>
      <c r="M24" s="924"/>
      <c r="N24" s="12"/>
      <c r="O24" s="12"/>
      <c r="P24" s="12"/>
      <c r="Q24" s="12"/>
      <c r="R24" s="12"/>
      <c r="S24" s="16"/>
      <c r="T24" s="16"/>
      <c r="U24" s="16"/>
      <c r="V24" s="16"/>
      <c r="W24" s="16"/>
    </row>
    <row r="25" spans="1:23" ht="14.25" customHeight="1">
      <c r="A25" s="48" t="s">
        <v>342</v>
      </c>
      <c r="B25" s="8"/>
      <c r="C25" s="49"/>
      <c r="D25" s="8"/>
      <c r="E25" s="30"/>
      <c r="F25" s="8"/>
      <c r="H25" s="1"/>
      <c r="I25" s="947"/>
      <c r="J25" s="948"/>
      <c r="K25" s="947"/>
      <c r="L25" s="947"/>
      <c r="M25" s="924"/>
      <c r="N25" s="12"/>
      <c r="O25" s="12"/>
      <c r="P25" s="12"/>
      <c r="Q25" s="12"/>
      <c r="R25" s="12"/>
      <c r="S25" s="16"/>
      <c r="T25" s="16"/>
      <c r="U25" s="16"/>
      <c r="V25" s="16"/>
      <c r="W25" s="16"/>
    </row>
    <row r="26" spans="1:23" ht="14.25" customHeight="1">
      <c r="A26" s="48" t="s">
        <v>343</v>
      </c>
      <c r="B26" s="8"/>
      <c r="C26" s="49"/>
      <c r="D26" s="8"/>
      <c r="E26" s="30"/>
      <c r="F26" s="8"/>
      <c r="H26" s="1"/>
      <c r="I26" s="947"/>
      <c r="J26" s="948"/>
      <c r="K26" s="947"/>
      <c r="L26" s="947"/>
      <c r="M26" s="924"/>
      <c r="N26" s="12"/>
      <c r="O26" s="12"/>
      <c r="P26" s="12"/>
      <c r="Q26" s="12"/>
      <c r="R26" s="12"/>
      <c r="S26" s="16"/>
      <c r="T26" s="16"/>
      <c r="U26" s="16"/>
      <c r="V26" s="16"/>
      <c r="W26" s="16"/>
    </row>
    <row r="27" spans="1:23" ht="14.25" customHeight="1">
      <c r="A27" s="48" t="s">
        <v>103</v>
      </c>
      <c r="B27" s="8"/>
      <c r="C27" s="49"/>
      <c r="D27" s="8"/>
      <c r="E27" s="30"/>
      <c r="F27" s="18"/>
      <c r="G27" s="18"/>
      <c r="H27" s="21"/>
      <c r="I27" s="950"/>
      <c r="J27" s="951"/>
      <c r="K27" s="947"/>
      <c r="L27" s="947"/>
      <c r="M27" s="924"/>
      <c r="N27" s="12"/>
      <c r="O27" s="12"/>
      <c r="P27" s="12"/>
      <c r="Q27" s="12"/>
      <c r="R27" s="12"/>
      <c r="S27" s="16"/>
      <c r="T27" s="16"/>
      <c r="U27" s="16"/>
      <c r="V27" s="16"/>
      <c r="W27" s="16"/>
    </row>
    <row r="28" spans="1:23" ht="14.25" customHeight="1">
      <c r="A28" s="48" t="s">
        <v>125</v>
      </c>
      <c r="B28" s="8"/>
      <c r="C28" s="49"/>
      <c r="D28" s="8"/>
      <c r="E28" s="30"/>
      <c r="F28" s="18"/>
      <c r="G28" s="18"/>
      <c r="H28" s="21"/>
      <c r="I28" s="950"/>
      <c r="J28" s="951"/>
      <c r="K28" s="947"/>
      <c r="L28" s="947"/>
      <c r="M28" s="924"/>
      <c r="N28" s="12"/>
      <c r="O28" s="12"/>
      <c r="P28" s="12"/>
      <c r="Q28" s="12"/>
      <c r="R28" s="12"/>
      <c r="S28" s="16"/>
      <c r="T28" s="16"/>
      <c r="U28" s="16"/>
      <c r="V28" s="16"/>
      <c r="W28" s="16"/>
    </row>
    <row r="29" spans="1:23" ht="14.25" customHeight="1">
      <c r="A29" s="48" t="s">
        <v>126</v>
      </c>
      <c r="B29" s="8"/>
      <c r="C29" s="49"/>
      <c r="D29" s="8"/>
      <c r="E29" s="30"/>
      <c r="F29" s="18"/>
      <c r="G29" s="18"/>
      <c r="H29" s="21"/>
      <c r="I29" s="950"/>
      <c r="J29" s="951"/>
      <c r="K29" s="947"/>
      <c r="L29" s="947"/>
      <c r="M29" s="924"/>
      <c r="N29" s="12"/>
      <c r="O29" s="12"/>
      <c r="P29" s="12"/>
      <c r="Q29" s="12"/>
      <c r="R29" s="12"/>
      <c r="S29" s="16"/>
      <c r="T29" s="16"/>
      <c r="U29" s="16"/>
      <c r="V29" s="16"/>
      <c r="W29" s="16"/>
    </row>
    <row r="30" spans="1:23" ht="14.25" customHeight="1">
      <c r="A30" s="48" t="s">
        <v>104</v>
      </c>
      <c r="B30" s="8"/>
      <c r="C30" s="49"/>
      <c r="D30" s="8"/>
      <c r="E30" s="30"/>
      <c r="F30" s="18"/>
      <c r="G30" s="18"/>
      <c r="H30" s="21"/>
      <c r="I30" s="952"/>
      <c r="J30" s="953"/>
      <c r="K30" s="952"/>
      <c r="L30" s="952"/>
      <c r="M30" s="924"/>
      <c r="N30" s="925"/>
      <c r="O30" s="925"/>
      <c r="P30" s="12"/>
      <c r="Q30" s="12"/>
      <c r="R30" s="12"/>
      <c r="S30" s="16"/>
      <c r="T30" s="16"/>
      <c r="U30" s="16"/>
      <c r="V30" s="16"/>
      <c r="W30" s="16"/>
    </row>
    <row r="31" spans="1:15" ht="14.25" customHeight="1">
      <c r="A31" s="48" t="s">
        <v>112</v>
      </c>
      <c r="B31" s="399"/>
      <c r="C31" s="367"/>
      <c r="D31" s="18"/>
      <c r="E31" s="18"/>
      <c r="F31" s="18"/>
      <c r="G31" s="18"/>
      <c r="H31" s="21"/>
      <c r="J31" s="954"/>
      <c r="M31" s="926"/>
      <c r="N31" s="927"/>
      <c r="O31" s="928"/>
    </row>
    <row r="32" spans="1:15" ht="14.25" customHeight="1">
      <c r="A32" s="48" t="s">
        <v>113</v>
      </c>
      <c r="B32" s="399"/>
      <c r="C32" s="367"/>
      <c r="D32" s="18"/>
      <c r="E32" s="18"/>
      <c r="F32" s="18"/>
      <c r="G32" s="18"/>
      <c r="H32" s="21"/>
      <c r="J32" s="954"/>
      <c r="M32" s="926"/>
      <c r="N32" s="927"/>
      <c r="O32" s="929"/>
    </row>
    <row r="33" spans="1:15" ht="14.25" customHeight="1">
      <c r="A33" s="34" t="s">
        <v>105</v>
      </c>
      <c r="B33" s="646"/>
      <c r="C33" s="647"/>
      <c r="D33" s="648"/>
      <c r="E33" s="648"/>
      <c r="F33" s="648"/>
      <c r="G33" s="648"/>
      <c r="H33" s="20"/>
      <c r="J33" s="954"/>
      <c r="M33" s="930"/>
      <c r="N33" s="931"/>
      <c r="O33" s="928"/>
    </row>
    <row r="34" spans="1:15" ht="14.25" customHeight="1">
      <c r="A34" s="34" t="s">
        <v>59</v>
      </c>
      <c r="B34" s="8"/>
      <c r="C34" s="49"/>
      <c r="D34" s="8"/>
      <c r="E34" s="30"/>
      <c r="F34" s="8"/>
      <c r="H34" s="1"/>
      <c r="J34" s="954"/>
      <c r="M34" s="926"/>
      <c r="N34" s="932"/>
      <c r="O34" s="928"/>
    </row>
    <row r="35" spans="1:15" ht="19.5" customHeight="1">
      <c r="A35" s="34" t="s">
        <v>728</v>
      </c>
      <c r="B35" s="8"/>
      <c r="C35" s="49"/>
      <c r="D35" s="8"/>
      <c r="E35" s="30"/>
      <c r="F35" s="8"/>
      <c r="H35" s="1"/>
      <c r="J35" s="954"/>
      <c r="M35" s="926"/>
      <c r="N35" s="932"/>
      <c r="O35" s="928"/>
    </row>
    <row r="36" spans="1:15" ht="22.5" customHeight="1">
      <c r="A36" s="27" t="s">
        <v>727</v>
      </c>
      <c r="B36" s="8"/>
      <c r="C36" s="49"/>
      <c r="D36" s="8"/>
      <c r="E36" s="30"/>
      <c r="F36" s="8"/>
      <c r="H36" s="1"/>
      <c r="J36" s="954"/>
      <c r="M36" s="926"/>
      <c r="N36" s="927"/>
      <c r="O36" s="928"/>
    </row>
    <row r="37" spans="1:15" ht="18.75">
      <c r="A37" s="27"/>
      <c r="B37" s="8"/>
      <c r="C37" s="49"/>
      <c r="D37" s="8"/>
      <c r="E37" s="30"/>
      <c r="F37" s="8"/>
      <c r="H37" s="1"/>
      <c r="J37" s="954"/>
      <c r="M37" s="926"/>
      <c r="N37" s="927"/>
      <c r="O37" s="928"/>
    </row>
    <row r="38" spans="1:15" ht="18.75">
      <c r="A38" s="425"/>
      <c r="B38" s="8"/>
      <c r="C38" s="49"/>
      <c r="D38" s="8"/>
      <c r="E38" s="30"/>
      <c r="F38" s="8"/>
      <c r="H38" s="1"/>
      <c r="J38" s="954"/>
      <c r="M38" s="926"/>
      <c r="N38" s="927"/>
      <c r="O38" s="928"/>
    </row>
    <row r="39" spans="1:15" ht="18.75">
      <c r="A39" s="50" t="s">
        <v>86</v>
      </c>
      <c r="B39" s="47"/>
      <c r="C39" s="47"/>
      <c r="I39" s="955"/>
      <c r="J39" s="954"/>
      <c r="K39" s="935"/>
      <c r="L39" s="956"/>
      <c r="M39" s="933"/>
      <c r="N39" s="931"/>
      <c r="O39" s="928"/>
    </row>
    <row r="40" spans="1:15" ht="15.75">
      <c r="A40" s="52"/>
      <c r="B40" s="53"/>
      <c r="C40" s="53"/>
      <c r="D40" s="26"/>
      <c r="E40" s="26"/>
      <c r="F40" s="54"/>
      <c r="H40" s="54"/>
      <c r="I40" s="957"/>
      <c r="K40" s="935"/>
      <c r="N40" s="935"/>
      <c r="O40" s="928"/>
    </row>
    <row r="41" spans="1:15" ht="15.75">
      <c r="A41" s="52" t="s">
        <v>87</v>
      </c>
      <c r="B41" s="53"/>
      <c r="C41" s="53"/>
      <c r="D41" s="26"/>
      <c r="E41" s="26"/>
      <c r="F41" s="54"/>
      <c r="H41" s="54">
        <f>H45+H63</f>
        <v>413426667.43</v>
      </c>
      <c r="I41" s="957"/>
      <c r="K41" s="935"/>
      <c r="N41" s="928"/>
      <c r="O41" s="928"/>
    </row>
    <row r="42" spans="1:11" ht="15.75">
      <c r="A42" s="52" t="s">
        <v>88</v>
      </c>
      <c r="B42" s="53"/>
      <c r="C42" s="53"/>
      <c r="D42" s="26"/>
      <c r="E42" s="26"/>
      <c r="F42" s="54"/>
      <c r="H42" s="54">
        <f>H46+H64</f>
        <v>413375030.67</v>
      </c>
      <c r="I42" s="955"/>
      <c r="K42" s="935"/>
    </row>
    <row r="43" spans="1:11" ht="18.75">
      <c r="A43" s="55" t="s">
        <v>89</v>
      </c>
      <c r="B43" s="56"/>
      <c r="C43" s="56"/>
      <c r="D43" s="26"/>
      <c r="E43" s="26"/>
      <c r="F43" s="54"/>
      <c r="H43" s="54"/>
      <c r="I43" s="955"/>
      <c r="J43" s="954"/>
      <c r="K43" s="956"/>
    </row>
    <row r="44" spans="1:11" ht="15.75">
      <c r="A44" s="55"/>
      <c r="B44" s="56"/>
      <c r="C44" s="56"/>
      <c r="D44" s="26"/>
      <c r="E44" s="26"/>
      <c r="F44" s="54"/>
      <c r="H44" s="54"/>
      <c r="I44" s="955"/>
      <c r="K44" s="935"/>
    </row>
    <row r="45" spans="1:11" ht="15.75">
      <c r="A45" s="52" t="s">
        <v>157</v>
      </c>
      <c r="B45" s="53"/>
      <c r="C45" s="53"/>
      <c r="D45" s="57"/>
      <c r="E45" s="26"/>
      <c r="F45" s="1"/>
      <c r="H45" s="54">
        <v>285610418.35</v>
      </c>
      <c r="I45" s="955"/>
      <c r="K45" s="935"/>
    </row>
    <row r="46" spans="1:12" ht="15.75">
      <c r="A46" s="52" t="s">
        <v>88</v>
      </c>
      <c r="B46" s="53"/>
      <c r="C46" s="53"/>
      <c r="D46" s="57"/>
      <c r="E46" s="26"/>
      <c r="F46" s="1"/>
      <c r="H46" s="54">
        <f>H45-D101+F101</f>
        <v>285511097.59000003</v>
      </c>
      <c r="I46" s="955"/>
      <c r="K46" s="617"/>
      <c r="L46" s="929"/>
    </row>
    <row r="47" spans="1:11" ht="15.75">
      <c r="A47" s="55"/>
      <c r="B47" s="47" t="s">
        <v>90</v>
      </c>
      <c r="C47" s="56"/>
      <c r="D47" s="26"/>
      <c r="E47" s="26"/>
      <c r="F47" s="1"/>
      <c r="H47" s="54"/>
      <c r="I47" s="955"/>
      <c r="J47" s="954"/>
      <c r="K47" s="935"/>
    </row>
    <row r="48" spans="1:11" ht="15.75">
      <c r="A48" s="58" t="s">
        <v>94</v>
      </c>
      <c r="B48" s="53"/>
      <c r="C48" s="53"/>
      <c r="D48" s="26"/>
      <c r="E48" s="26"/>
      <c r="F48" s="1"/>
      <c r="H48" s="54">
        <v>267600423.33</v>
      </c>
      <c r="I48" s="955"/>
      <c r="K48" s="935"/>
    </row>
    <row r="49" spans="1:11" ht="15.75">
      <c r="A49" s="58" t="s">
        <v>88</v>
      </c>
      <c r="B49" s="53"/>
      <c r="C49" s="53"/>
      <c r="D49" s="26"/>
      <c r="E49" s="26"/>
      <c r="F49" s="1"/>
      <c r="H49" s="54">
        <f>H48-D101+F101+D99</f>
        <v>267504477.70000002</v>
      </c>
      <c r="I49" s="955"/>
      <c r="J49" s="930"/>
      <c r="K49" s="935"/>
    </row>
    <row r="50" spans="1:12" ht="18" customHeight="1">
      <c r="A50" s="58"/>
      <c r="B50" s="59" t="s">
        <v>861</v>
      </c>
      <c r="C50" s="53"/>
      <c r="D50" s="26"/>
      <c r="E50" s="26"/>
      <c r="F50" s="1"/>
      <c r="H50" s="54"/>
      <c r="I50" s="955"/>
      <c r="K50" s="926"/>
      <c r="L50" s="929"/>
    </row>
    <row r="51" spans="1:11" ht="15.75">
      <c r="A51" s="58"/>
      <c r="B51" s="155" t="s">
        <v>205</v>
      </c>
      <c r="C51" s="53"/>
      <c r="D51" s="26"/>
      <c r="E51" s="26"/>
      <c r="F51" s="1"/>
      <c r="H51" s="1"/>
      <c r="I51" s="955"/>
      <c r="K51" s="926"/>
    </row>
    <row r="52" spans="1:11" ht="18.75">
      <c r="A52" s="58"/>
      <c r="B52" s="155" t="s">
        <v>206</v>
      </c>
      <c r="C52" s="56"/>
      <c r="D52" s="26"/>
      <c r="E52" s="26"/>
      <c r="F52" s="1"/>
      <c r="H52" s="1">
        <v>6348725.13</v>
      </c>
      <c r="I52" s="955"/>
      <c r="J52" s="930"/>
      <c r="K52" s="958"/>
    </row>
    <row r="53" spans="1:11" ht="15.75">
      <c r="A53" s="58"/>
      <c r="B53" s="155" t="s">
        <v>95</v>
      </c>
      <c r="C53" s="59"/>
      <c r="D53" s="155"/>
      <c r="E53" s="26"/>
      <c r="F53" s="1"/>
      <c r="H53" s="1">
        <f>H52-D97-D98</f>
        <v>6219142.25</v>
      </c>
      <c r="I53" s="955"/>
      <c r="K53" s="617"/>
    </row>
    <row r="54" spans="1:12" ht="15.75">
      <c r="A54" s="58"/>
      <c r="B54" s="155"/>
      <c r="C54" s="59"/>
      <c r="D54" s="155"/>
      <c r="E54" s="26"/>
      <c r="F54" s="1"/>
      <c r="H54" s="1"/>
      <c r="I54" s="955"/>
      <c r="K54" s="617"/>
      <c r="L54" s="929"/>
    </row>
    <row r="55" spans="1:11" ht="15.75">
      <c r="A55" s="58"/>
      <c r="B55" s="155"/>
      <c r="C55" s="59"/>
      <c r="D55" s="155"/>
      <c r="E55" s="26"/>
      <c r="F55" s="1"/>
      <c r="H55" s="1"/>
      <c r="I55" s="955"/>
      <c r="K55" s="933"/>
    </row>
    <row r="56" spans="1:11" ht="15.75">
      <c r="A56" s="58" t="s">
        <v>207</v>
      </c>
      <c r="B56" s="53"/>
      <c r="C56" s="53"/>
      <c r="D56" s="26"/>
      <c r="E56" s="26"/>
      <c r="F56" s="1"/>
      <c r="H56" s="54">
        <v>18009995.02</v>
      </c>
      <c r="I56" s="955"/>
      <c r="K56" s="933"/>
    </row>
    <row r="57" spans="1:11" ht="15.75">
      <c r="A57" s="58" t="s">
        <v>88</v>
      </c>
      <c r="B57" s="53"/>
      <c r="C57" s="53"/>
      <c r="D57" s="26"/>
      <c r="E57" s="26"/>
      <c r="F57" s="1"/>
      <c r="H57" s="54">
        <f>H56-D99</f>
        <v>18006619.89</v>
      </c>
      <c r="I57" s="955"/>
      <c r="K57" s="933"/>
    </row>
    <row r="58" spans="1:11" ht="15.75">
      <c r="A58" s="58"/>
      <c r="B58" s="59" t="s">
        <v>861</v>
      </c>
      <c r="C58" s="53"/>
      <c r="D58" s="26"/>
      <c r="E58" s="26"/>
      <c r="F58" s="1"/>
      <c r="H58" s="1"/>
      <c r="I58" s="955"/>
      <c r="K58" s="933"/>
    </row>
    <row r="59" spans="1:12" ht="15.75">
      <c r="A59" s="58"/>
      <c r="B59" s="155" t="s">
        <v>435</v>
      </c>
      <c r="C59" s="53"/>
      <c r="D59" s="26"/>
      <c r="E59" s="26"/>
      <c r="F59" s="1"/>
      <c r="H59" s="1"/>
      <c r="I59" s="955"/>
      <c r="K59" s="933"/>
      <c r="L59" s="929"/>
    </row>
    <row r="60" spans="1:11" ht="15.75">
      <c r="A60" s="58"/>
      <c r="B60" s="155" t="s">
        <v>206</v>
      </c>
      <c r="C60" s="56"/>
      <c r="D60" s="26"/>
      <c r="E60" s="26"/>
      <c r="F60" s="1"/>
      <c r="H60" s="1">
        <v>2292204.36</v>
      </c>
      <c r="I60" s="955"/>
      <c r="K60" s="933"/>
    </row>
    <row r="61" spans="1:11" ht="15.75">
      <c r="A61" s="58"/>
      <c r="B61" s="155" t="s">
        <v>95</v>
      </c>
      <c r="C61" s="59"/>
      <c r="D61" s="155"/>
      <c r="E61" s="26"/>
      <c r="F61" s="1"/>
      <c r="H61" s="1">
        <f>H60-D99</f>
        <v>2288829.23</v>
      </c>
      <c r="I61" s="955"/>
      <c r="K61" s="933"/>
    </row>
    <row r="62" spans="1:11" ht="15.75">
      <c r="A62" s="58"/>
      <c r="B62" s="155"/>
      <c r="C62" s="53"/>
      <c r="D62" s="26"/>
      <c r="E62" s="26"/>
      <c r="F62" s="1"/>
      <c r="H62" s="1"/>
      <c r="I62" s="955"/>
      <c r="K62" s="935"/>
    </row>
    <row r="63" spans="1:11" ht="15.75">
      <c r="A63" s="52" t="s">
        <v>208</v>
      </c>
      <c r="B63" s="53"/>
      <c r="C63" s="53"/>
      <c r="D63" s="57"/>
      <c r="E63" s="66"/>
      <c r="F63" s="1"/>
      <c r="H63" s="54">
        <v>127816249.08</v>
      </c>
      <c r="I63" s="957"/>
      <c r="K63" s="935"/>
    </row>
    <row r="64" spans="1:11" ht="15.75">
      <c r="A64" s="52" t="s">
        <v>88</v>
      </c>
      <c r="B64" s="53"/>
      <c r="C64" s="53"/>
      <c r="D64" s="57"/>
      <c r="E64" s="66"/>
      <c r="F64" s="1"/>
      <c r="H64" s="54">
        <f>H63-D127+F127</f>
        <v>127863933.08</v>
      </c>
      <c r="I64" s="955"/>
      <c r="K64" s="935"/>
    </row>
    <row r="65" spans="1:11" ht="15.75">
      <c r="A65" s="55"/>
      <c r="B65" s="47" t="s">
        <v>90</v>
      </c>
      <c r="C65" s="56"/>
      <c r="D65" s="26"/>
      <c r="E65" s="66"/>
      <c r="F65" s="1"/>
      <c r="H65" s="1"/>
      <c r="I65" s="955"/>
      <c r="K65" s="935"/>
    </row>
    <row r="66" spans="1:11" ht="15.75">
      <c r="A66" s="58" t="s">
        <v>94</v>
      </c>
      <c r="B66" s="53"/>
      <c r="C66" s="53"/>
      <c r="D66" s="26"/>
      <c r="E66" s="66"/>
      <c r="F66" s="1"/>
      <c r="H66" s="54">
        <v>119668889.08</v>
      </c>
      <c r="I66" s="955"/>
      <c r="K66" s="935"/>
    </row>
    <row r="67" spans="1:11" ht="15.75">
      <c r="A67" s="58" t="s">
        <v>88</v>
      </c>
      <c r="B67" s="53"/>
      <c r="C67" s="53"/>
      <c r="D67" s="26"/>
      <c r="E67" s="66"/>
      <c r="F67" s="1"/>
      <c r="H67" s="54">
        <f>H66-D127+F127</f>
        <v>119716573.08</v>
      </c>
      <c r="I67" s="955"/>
      <c r="K67" s="935"/>
    </row>
    <row r="68" spans="1:11" ht="15.75">
      <c r="A68" s="58"/>
      <c r="B68" s="53"/>
      <c r="C68" s="53"/>
      <c r="D68" s="26"/>
      <c r="E68" s="66"/>
      <c r="F68" s="1"/>
      <c r="H68" s="54"/>
      <c r="I68" s="955"/>
      <c r="K68" s="935"/>
    </row>
    <row r="69" spans="1:11" ht="15.75">
      <c r="A69" s="58"/>
      <c r="B69" s="155"/>
      <c r="C69" s="59"/>
      <c r="D69" s="26"/>
      <c r="E69" s="66"/>
      <c r="F69" s="1"/>
      <c r="H69" s="1"/>
      <c r="I69" s="955"/>
      <c r="K69" s="935"/>
    </row>
    <row r="70" spans="1:11" ht="15.75">
      <c r="A70" s="58"/>
      <c r="B70" s="155"/>
      <c r="C70" s="59"/>
      <c r="D70" s="26"/>
      <c r="E70" s="66"/>
      <c r="F70" s="1"/>
      <c r="H70" s="1"/>
      <c r="I70" s="955"/>
      <c r="K70" s="935"/>
    </row>
    <row r="71" spans="1:11" ht="15.75">
      <c r="A71" s="58"/>
      <c r="B71" s="155"/>
      <c r="C71" s="59"/>
      <c r="D71" s="26"/>
      <c r="E71" s="66"/>
      <c r="F71" s="1"/>
      <c r="H71" s="1"/>
      <c r="I71" s="955"/>
      <c r="K71" s="935"/>
    </row>
    <row r="72" spans="1:11" ht="15.75">
      <c r="A72" s="58"/>
      <c r="B72" s="155"/>
      <c r="C72" s="53"/>
      <c r="D72" s="26"/>
      <c r="E72" s="26"/>
      <c r="F72" s="1"/>
      <c r="H72" s="1"/>
      <c r="I72" s="957"/>
      <c r="K72" s="935"/>
    </row>
    <row r="73" spans="1:11" ht="19.5">
      <c r="A73" s="63" t="s">
        <v>156</v>
      </c>
      <c r="B73" s="64"/>
      <c r="C73" s="65"/>
      <c r="D73" s="66"/>
      <c r="E73" s="66"/>
      <c r="F73" s="67"/>
      <c r="G73" s="67"/>
      <c r="H73" s="68"/>
      <c r="I73" s="955"/>
      <c r="K73" s="935"/>
    </row>
    <row r="74" spans="1:11" ht="19.5">
      <c r="A74" s="63"/>
      <c r="B74" s="64"/>
      <c r="C74" s="65"/>
      <c r="D74" s="66"/>
      <c r="E74" s="66"/>
      <c r="F74" s="67"/>
      <c r="G74" s="67"/>
      <c r="H74" s="68"/>
      <c r="I74" s="955"/>
      <c r="K74" s="935"/>
    </row>
    <row r="75" spans="1:11" ht="18.75">
      <c r="A75" s="72" t="s">
        <v>154</v>
      </c>
      <c r="B75" s="73"/>
      <c r="C75" s="74"/>
      <c r="D75" s="62"/>
      <c r="E75" s="62"/>
      <c r="F75" s="71"/>
      <c r="G75" s="71"/>
      <c r="I75" s="955"/>
      <c r="K75" s="935"/>
    </row>
    <row r="76" spans="1:11" ht="18.75">
      <c r="A76" s="69"/>
      <c r="B76" s="69"/>
      <c r="C76" s="69"/>
      <c r="D76" s="62"/>
      <c r="E76" s="62"/>
      <c r="F76" s="71"/>
      <c r="G76" s="71"/>
      <c r="I76" s="955"/>
      <c r="K76" s="935"/>
    </row>
    <row r="77" spans="1:11" ht="18.75">
      <c r="A77" s="75"/>
      <c r="B77" s="75"/>
      <c r="C77" s="76"/>
      <c r="D77" s="10" t="s">
        <v>96</v>
      </c>
      <c r="E77" s="11"/>
      <c r="F77" s="10" t="s">
        <v>99</v>
      </c>
      <c r="G77" s="11"/>
      <c r="I77" s="955"/>
      <c r="K77" s="935"/>
    </row>
    <row r="78" spans="1:11" ht="15" customHeight="1">
      <c r="A78" s="77"/>
      <c r="B78" s="77"/>
      <c r="C78" s="78"/>
      <c r="D78" s="12" t="s">
        <v>72</v>
      </c>
      <c r="E78" s="11" t="s">
        <v>71</v>
      </c>
      <c r="F78" s="12" t="s">
        <v>72</v>
      </c>
      <c r="G78" s="11" t="s">
        <v>71</v>
      </c>
      <c r="I78" s="955"/>
      <c r="K78" s="935"/>
    </row>
    <row r="79" spans="1:11" ht="21">
      <c r="A79" s="79" t="s">
        <v>74</v>
      </c>
      <c r="B79" s="79" t="s">
        <v>80</v>
      </c>
      <c r="C79" s="79" t="s">
        <v>75</v>
      </c>
      <c r="D79" s="13" t="s">
        <v>76</v>
      </c>
      <c r="E79" s="14" t="s">
        <v>77</v>
      </c>
      <c r="F79" s="13" t="s">
        <v>76</v>
      </c>
      <c r="G79" s="14" t="s">
        <v>77</v>
      </c>
      <c r="I79" s="955"/>
      <c r="K79" s="935"/>
    </row>
    <row r="80" spans="1:18" s="88" customFormat="1" ht="18.75">
      <c r="A80" s="80" t="s">
        <v>698</v>
      </c>
      <c r="B80" s="82"/>
      <c r="C80" s="80"/>
      <c r="D80" s="81">
        <f>D81+D84+D89+D90+D91</f>
        <v>0</v>
      </c>
      <c r="E80" s="81">
        <f>E81+E84+E89+E90+E91</f>
        <v>0</v>
      </c>
      <c r="F80" s="81">
        <f>F81+F84+F89+F90+F91</f>
        <v>87811.25</v>
      </c>
      <c r="G80" s="81">
        <f>G81+G84+G89+G90+G91</f>
        <v>0</v>
      </c>
      <c r="H80" s="93"/>
      <c r="I80" s="955"/>
      <c r="J80" s="930"/>
      <c r="K80" s="935"/>
      <c r="L80" s="929"/>
      <c r="M80" s="929"/>
      <c r="N80" s="959"/>
      <c r="O80" s="959"/>
      <c r="P80" s="959"/>
      <c r="Q80" s="959"/>
      <c r="R80" s="959"/>
    </row>
    <row r="81" spans="1:11" ht="18.75">
      <c r="A81" s="86"/>
      <c r="B81" s="358" t="s">
        <v>840</v>
      </c>
      <c r="C81" s="84"/>
      <c r="D81" s="85">
        <f>SUM(D82:D83)</f>
        <v>0</v>
      </c>
      <c r="E81" s="85"/>
      <c r="F81" s="85">
        <f>SUM(F82:F83)</f>
        <v>5207</v>
      </c>
      <c r="G81" s="85"/>
      <c r="I81" s="960"/>
      <c r="K81" s="961"/>
    </row>
    <row r="82" spans="1:11" ht="18.75">
      <c r="A82" s="86"/>
      <c r="B82" s="358"/>
      <c r="C82" s="84" t="s">
        <v>194</v>
      </c>
      <c r="D82" s="85"/>
      <c r="E82" s="85"/>
      <c r="F82" s="85">
        <v>2760</v>
      </c>
      <c r="G82" s="85"/>
      <c r="I82" s="960"/>
      <c r="K82" s="961"/>
    </row>
    <row r="83" spans="1:11" ht="18.75">
      <c r="A83" s="86"/>
      <c r="B83" s="95"/>
      <c r="C83" s="84" t="s">
        <v>864</v>
      </c>
      <c r="D83" s="85"/>
      <c r="E83" s="85"/>
      <c r="F83" s="85">
        <f>1873+574</f>
        <v>2447</v>
      </c>
      <c r="G83" s="85"/>
      <c r="I83" s="960"/>
      <c r="K83" s="961"/>
    </row>
    <row r="84" spans="1:18" s="88" customFormat="1" ht="18.75">
      <c r="A84" s="651"/>
      <c r="B84" s="87" t="s">
        <v>290</v>
      </c>
      <c r="C84" s="84"/>
      <c r="D84" s="85">
        <f>SUM(D85:D88)</f>
        <v>0</v>
      </c>
      <c r="E84" s="85">
        <f>SUM(E85:E88)</f>
        <v>0</v>
      </c>
      <c r="F84" s="85">
        <f>SUM(F85:F88)</f>
        <v>54210</v>
      </c>
      <c r="G84" s="85">
        <f>SUM(G85:G88)</f>
        <v>0</v>
      </c>
      <c r="H84" s="93"/>
      <c r="I84" s="955"/>
      <c r="J84" s="930"/>
      <c r="K84" s="935"/>
      <c r="L84" s="929"/>
      <c r="M84" s="929"/>
      <c r="N84" s="959"/>
      <c r="O84" s="959"/>
      <c r="P84" s="959"/>
      <c r="Q84" s="959"/>
      <c r="R84" s="959"/>
    </row>
    <row r="85" spans="1:18" s="88" customFormat="1" ht="18.75">
      <c r="A85" s="651"/>
      <c r="B85" s="358"/>
      <c r="C85" s="84" t="s">
        <v>194</v>
      </c>
      <c r="D85" s="81"/>
      <c r="E85" s="81"/>
      <c r="F85" s="85">
        <f>4700+350+1100</f>
        <v>6150</v>
      </c>
      <c r="G85" s="96"/>
      <c r="H85" s="93"/>
      <c r="I85" s="955"/>
      <c r="J85" s="930"/>
      <c r="K85" s="935"/>
      <c r="L85" s="929"/>
      <c r="M85" s="929"/>
      <c r="N85" s="959"/>
      <c r="O85" s="959"/>
      <c r="P85" s="959"/>
      <c r="Q85" s="959"/>
      <c r="R85" s="959"/>
    </row>
    <row r="86" spans="1:11" ht="18.75">
      <c r="A86" s="86"/>
      <c r="B86" s="87"/>
      <c r="C86" s="84" t="s">
        <v>195</v>
      </c>
      <c r="D86" s="81"/>
      <c r="E86" s="81"/>
      <c r="F86" s="85">
        <f>11300+5000+6360+10000+15000</f>
        <v>47660</v>
      </c>
      <c r="G86" s="94"/>
      <c r="I86" s="960"/>
      <c r="K86" s="961"/>
    </row>
    <row r="87" spans="1:11" ht="18.75">
      <c r="A87" s="86"/>
      <c r="B87" s="87"/>
      <c r="C87" s="84" t="s">
        <v>735</v>
      </c>
      <c r="D87" s="81"/>
      <c r="E87" s="81"/>
      <c r="F87" s="85">
        <v>100</v>
      </c>
      <c r="G87" s="94"/>
      <c r="I87" s="960"/>
      <c r="K87" s="961"/>
    </row>
    <row r="88" spans="1:11" ht="18.75">
      <c r="A88" s="86"/>
      <c r="B88" s="95"/>
      <c r="C88" s="84" t="s">
        <v>864</v>
      </c>
      <c r="D88" s="81"/>
      <c r="E88" s="81"/>
      <c r="F88" s="85">
        <v>300</v>
      </c>
      <c r="G88" s="94"/>
      <c r="I88" s="960"/>
      <c r="K88" s="961"/>
    </row>
    <row r="89" spans="1:11" ht="18.75">
      <c r="A89" s="86"/>
      <c r="B89" s="95" t="s">
        <v>177</v>
      </c>
      <c r="C89" s="158" t="s">
        <v>864</v>
      </c>
      <c r="D89" s="471"/>
      <c r="E89" s="637"/>
      <c r="F89" s="471">
        <v>2119</v>
      </c>
      <c r="G89" s="483"/>
      <c r="I89" s="960"/>
      <c r="K89" s="961"/>
    </row>
    <row r="90" spans="1:11" ht="18.75">
      <c r="A90" s="86"/>
      <c r="B90" s="95" t="s">
        <v>791</v>
      </c>
      <c r="C90" s="158" t="s">
        <v>195</v>
      </c>
      <c r="D90" s="471"/>
      <c r="E90" s="637"/>
      <c r="F90" s="471">
        <f>5500+5000+9200</f>
        <v>19700</v>
      </c>
      <c r="G90" s="483"/>
      <c r="I90" s="960"/>
      <c r="K90" s="961"/>
    </row>
    <row r="91" spans="1:11" ht="18.75">
      <c r="A91" s="86"/>
      <c r="B91" s="158" t="s">
        <v>64</v>
      </c>
      <c r="C91" s="158" t="s">
        <v>864</v>
      </c>
      <c r="D91" s="471"/>
      <c r="E91" s="637"/>
      <c r="F91" s="471">
        <v>6575.25</v>
      </c>
      <c r="G91" s="483"/>
      <c r="I91" s="960"/>
      <c r="K91" s="961"/>
    </row>
    <row r="92" spans="1:18" s="88" customFormat="1" ht="18.75">
      <c r="A92" s="82" t="s">
        <v>289</v>
      </c>
      <c r="B92" s="82"/>
      <c r="C92" s="80"/>
      <c r="D92" s="400">
        <f>D93+D96</f>
        <v>190406.00999999998</v>
      </c>
      <c r="E92" s="400">
        <f>SUM(E97:E98)</f>
        <v>0</v>
      </c>
      <c r="F92" s="400">
        <f>F93+F96</f>
        <v>1274</v>
      </c>
      <c r="G92" s="400"/>
      <c r="H92" s="93"/>
      <c r="I92" s="955"/>
      <c r="J92" s="930"/>
      <c r="K92" s="935"/>
      <c r="L92" s="929"/>
      <c r="M92" s="929"/>
      <c r="N92" s="959"/>
      <c r="O92" s="959"/>
      <c r="P92" s="959"/>
      <c r="Q92" s="959"/>
      <c r="R92" s="959"/>
    </row>
    <row r="93" spans="1:11" ht="18.75">
      <c r="A93" s="358"/>
      <c r="B93" s="158" t="s">
        <v>641</v>
      </c>
      <c r="C93" s="475"/>
      <c r="D93" s="85">
        <f>SUM(D94:D95)</f>
        <v>57448</v>
      </c>
      <c r="E93" s="85"/>
      <c r="F93" s="85">
        <f>SUM(F94:F95)</f>
        <v>1274</v>
      </c>
      <c r="G93" s="94"/>
      <c r="I93" s="960"/>
      <c r="K93" s="961"/>
    </row>
    <row r="94" spans="1:11" ht="18.75">
      <c r="A94" s="87"/>
      <c r="B94" s="359"/>
      <c r="C94" s="475" t="s">
        <v>195</v>
      </c>
      <c r="D94" s="85">
        <v>57448</v>
      </c>
      <c r="E94" s="85"/>
      <c r="F94" s="85"/>
      <c r="G94" s="94"/>
      <c r="I94" s="960"/>
      <c r="K94" s="961"/>
    </row>
    <row r="95" spans="1:11" ht="18.75">
      <c r="A95" s="87"/>
      <c r="B95" s="359"/>
      <c r="C95" s="475" t="s">
        <v>864</v>
      </c>
      <c r="D95" s="85"/>
      <c r="E95" s="85"/>
      <c r="F95" s="85">
        <v>1274</v>
      </c>
      <c r="G95" s="94"/>
      <c r="I95" s="960"/>
      <c r="K95" s="961"/>
    </row>
    <row r="96" spans="1:11" ht="18.75">
      <c r="A96" s="87"/>
      <c r="B96" s="158" t="s">
        <v>128</v>
      </c>
      <c r="C96" s="475"/>
      <c r="D96" s="85">
        <f>SUM(D97:D99)</f>
        <v>132958.00999999998</v>
      </c>
      <c r="E96" s="85"/>
      <c r="F96" s="85">
        <f>SUM(F97:F99)</f>
        <v>0</v>
      </c>
      <c r="G96" s="94"/>
      <c r="I96" s="960"/>
      <c r="K96" s="961"/>
    </row>
    <row r="97" spans="1:11" ht="18.75">
      <c r="A97" s="86"/>
      <c r="B97" s="358"/>
      <c r="C97" s="475" t="s">
        <v>203</v>
      </c>
      <c r="D97" s="85">
        <f>32031+39191.8+39499.38</f>
        <v>110722.18</v>
      </c>
      <c r="E97" s="85"/>
      <c r="F97" s="624"/>
      <c r="G97" s="94"/>
      <c r="I97" s="960"/>
      <c r="K97" s="961"/>
    </row>
    <row r="98" spans="1:11" ht="18.75">
      <c r="A98" s="86"/>
      <c r="B98" s="87"/>
      <c r="C98" s="475" t="s">
        <v>204</v>
      </c>
      <c r="D98" s="94">
        <f>4974+6916.22+6970.48</f>
        <v>18860.7</v>
      </c>
      <c r="E98" s="94"/>
      <c r="F98" s="420"/>
      <c r="G98" s="94"/>
      <c r="I98" s="960"/>
      <c r="K98" s="961"/>
    </row>
    <row r="99" spans="1:11" ht="18.75">
      <c r="A99" s="86"/>
      <c r="B99" s="87"/>
      <c r="C99" s="475" t="s">
        <v>432</v>
      </c>
      <c r="D99" s="94">
        <v>3375.13</v>
      </c>
      <c r="E99" s="94"/>
      <c r="F99" s="420"/>
      <c r="G99" s="94"/>
      <c r="I99" s="960"/>
      <c r="K99" s="961"/>
    </row>
    <row r="100" spans="1:18" s="88" customFormat="1" ht="18.75">
      <c r="A100" s="418" t="s">
        <v>650</v>
      </c>
      <c r="B100" s="80" t="s">
        <v>651</v>
      </c>
      <c r="C100" s="80" t="s">
        <v>652</v>
      </c>
      <c r="D100" s="92"/>
      <c r="E100" s="92"/>
      <c r="F100" s="96">
        <v>2000</v>
      </c>
      <c r="G100" s="92"/>
      <c r="H100" s="93"/>
      <c r="I100" s="955"/>
      <c r="J100" s="930"/>
      <c r="K100" s="935"/>
      <c r="L100" s="929"/>
      <c r="M100" s="929"/>
      <c r="N100" s="959"/>
      <c r="O100" s="959"/>
      <c r="P100" s="959"/>
      <c r="Q100" s="959"/>
      <c r="R100" s="959"/>
    </row>
    <row r="101" spans="1:18" s="32" customFormat="1" ht="19.5" customHeight="1">
      <c r="A101" s="649" t="s">
        <v>81</v>
      </c>
      <c r="B101" s="657"/>
      <c r="C101" s="83"/>
      <c r="D101" s="96">
        <f>D80+D92+D100</f>
        <v>190406.00999999998</v>
      </c>
      <c r="E101" s="96">
        <f>E80+E92+E100</f>
        <v>0</v>
      </c>
      <c r="F101" s="96">
        <f>F80+F92+F100</f>
        <v>91085.25</v>
      </c>
      <c r="G101" s="96">
        <f>G80+G92+G100</f>
        <v>0</v>
      </c>
      <c r="H101" s="91"/>
      <c r="I101" s="962"/>
      <c r="J101" s="963"/>
      <c r="K101" s="963"/>
      <c r="L101" s="650"/>
      <c r="M101" s="650"/>
      <c r="N101" s="964"/>
      <c r="O101" s="964"/>
      <c r="P101" s="964"/>
      <c r="Q101" s="964"/>
      <c r="R101" s="964"/>
    </row>
    <row r="102" spans="1:18" s="32" customFormat="1" ht="19.5" customHeight="1">
      <c r="A102" s="89"/>
      <c r="B102" s="90"/>
      <c r="C102" s="90"/>
      <c r="D102" s="91"/>
      <c r="E102" s="91"/>
      <c r="F102" s="91"/>
      <c r="G102" s="91"/>
      <c r="H102" s="91"/>
      <c r="I102" s="962"/>
      <c r="J102" s="963"/>
      <c r="K102" s="963"/>
      <c r="L102" s="650"/>
      <c r="M102" s="650"/>
      <c r="N102" s="964"/>
      <c r="O102" s="964"/>
      <c r="P102" s="964"/>
      <c r="Q102" s="964"/>
      <c r="R102" s="964"/>
    </row>
    <row r="103" spans="1:18" s="32" customFormat="1" ht="19.5" customHeight="1">
      <c r="A103" s="89"/>
      <c r="B103" s="90"/>
      <c r="C103" s="90"/>
      <c r="D103" s="91"/>
      <c r="E103" s="91"/>
      <c r="F103" s="91"/>
      <c r="G103" s="91"/>
      <c r="I103" s="962"/>
      <c r="J103" s="650"/>
      <c r="K103" s="963"/>
      <c r="L103" s="650"/>
      <c r="M103" s="650"/>
      <c r="N103" s="964"/>
      <c r="O103" s="964"/>
      <c r="P103" s="964"/>
      <c r="Q103" s="964"/>
      <c r="R103" s="964"/>
    </row>
    <row r="104" spans="1:11" ht="19.5">
      <c r="A104" s="63" t="s">
        <v>127</v>
      </c>
      <c r="B104" s="64"/>
      <c r="C104" s="65"/>
      <c r="D104" s="66"/>
      <c r="E104" s="66"/>
      <c r="F104" s="67"/>
      <c r="G104" s="67"/>
      <c r="H104" s="68"/>
      <c r="I104" s="955"/>
      <c r="K104" s="935"/>
    </row>
    <row r="105" spans="1:11" ht="19.5">
      <c r="A105" s="63"/>
      <c r="B105" s="64"/>
      <c r="C105" s="65"/>
      <c r="D105" s="66"/>
      <c r="E105" s="66"/>
      <c r="F105" s="67"/>
      <c r="G105" s="67"/>
      <c r="H105" s="68"/>
      <c r="I105" s="955"/>
      <c r="K105" s="935"/>
    </row>
    <row r="106" spans="1:11" ht="18.75">
      <c r="A106" s="72" t="s">
        <v>213</v>
      </c>
      <c r="B106" s="73"/>
      <c r="C106" s="74"/>
      <c r="D106" s="62"/>
      <c r="E106" s="62"/>
      <c r="F106" s="71"/>
      <c r="G106" s="71"/>
      <c r="I106" s="955"/>
      <c r="K106" s="935"/>
    </row>
    <row r="107" spans="1:11" ht="18.75">
      <c r="A107" s="69"/>
      <c r="B107" s="69"/>
      <c r="C107" s="69"/>
      <c r="D107" s="62"/>
      <c r="E107" s="62"/>
      <c r="F107" s="71"/>
      <c r="G107" s="71"/>
      <c r="I107" s="955"/>
      <c r="K107" s="935"/>
    </row>
    <row r="108" spans="1:11" ht="18.75">
      <c r="A108" s="75"/>
      <c r="B108" s="75"/>
      <c r="C108" s="76"/>
      <c r="D108" s="10" t="s">
        <v>96</v>
      </c>
      <c r="E108" s="11"/>
      <c r="F108" s="10" t="s">
        <v>99</v>
      </c>
      <c r="G108" s="11"/>
      <c r="I108" s="955"/>
      <c r="K108" s="935"/>
    </row>
    <row r="109" spans="1:11" ht="15" customHeight="1">
      <c r="A109" s="77"/>
      <c r="B109" s="77"/>
      <c r="C109" s="78"/>
      <c r="D109" s="12" t="s">
        <v>72</v>
      </c>
      <c r="E109" s="11" t="s">
        <v>71</v>
      </c>
      <c r="F109" s="12" t="s">
        <v>72</v>
      </c>
      <c r="G109" s="11" t="s">
        <v>71</v>
      </c>
      <c r="I109" s="955"/>
      <c r="K109" s="935"/>
    </row>
    <row r="110" spans="1:11" ht="21">
      <c r="A110" s="79" t="s">
        <v>74</v>
      </c>
      <c r="B110" s="79" t="s">
        <v>80</v>
      </c>
      <c r="C110" s="79" t="s">
        <v>75</v>
      </c>
      <c r="D110" s="13" t="s">
        <v>76</v>
      </c>
      <c r="E110" s="14" t="s">
        <v>77</v>
      </c>
      <c r="F110" s="13" t="s">
        <v>76</v>
      </c>
      <c r="G110" s="14" t="s">
        <v>77</v>
      </c>
      <c r="I110" s="955"/>
      <c r="K110" s="935"/>
    </row>
    <row r="111" spans="1:18" s="88" customFormat="1" ht="18.75">
      <c r="A111" s="82" t="s">
        <v>736</v>
      </c>
      <c r="B111" s="80" t="s">
        <v>743</v>
      </c>
      <c r="C111" s="80"/>
      <c r="D111" s="81">
        <f>SUM(D112:D113)</f>
        <v>870000</v>
      </c>
      <c r="E111" s="81">
        <f>SUM(E112:E113)</f>
        <v>0</v>
      </c>
      <c r="F111" s="81">
        <f>SUM(F112:F113)</f>
        <v>870000</v>
      </c>
      <c r="G111" s="81">
        <f>SUM(G112:G113)</f>
        <v>0</v>
      </c>
      <c r="H111" s="93"/>
      <c r="I111" s="955"/>
      <c r="J111" s="930"/>
      <c r="K111" s="935"/>
      <c r="L111" s="929"/>
      <c r="M111" s="929"/>
      <c r="N111" s="959"/>
      <c r="O111" s="959"/>
      <c r="P111" s="959"/>
      <c r="Q111" s="959"/>
      <c r="R111" s="959"/>
    </row>
    <row r="112" spans="1:18" s="88" customFormat="1" ht="18.75">
      <c r="A112" s="82"/>
      <c r="B112" s="82"/>
      <c r="C112" s="84" t="s">
        <v>744</v>
      </c>
      <c r="D112" s="85"/>
      <c r="E112" s="85"/>
      <c r="F112" s="85">
        <v>870000</v>
      </c>
      <c r="G112" s="420"/>
      <c r="H112" s="93"/>
      <c r="I112" s="955"/>
      <c r="J112" s="930"/>
      <c r="K112" s="935"/>
      <c r="L112" s="929"/>
      <c r="M112" s="929"/>
      <c r="N112" s="959"/>
      <c r="O112" s="959"/>
      <c r="P112" s="959"/>
      <c r="Q112" s="959"/>
      <c r="R112" s="959"/>
    </row>
    <row r="113" spans="1:11" ht="18.75">
      <c r="A113" s="95"/>
      <c r="B113" s="95"/>
      <c r="C113" s="84" t="s">
        <v>745</v>
      </c>
      <c r="D113" s="85">
        <v>870000</v>
      </c>
      <c r="E113" s="85"/>
      <c r="F113" s="85"/>
      <c r="G113" s="420"/>
      <c r="I113" s="960"/>
      <c r="K113" s="961"/>
    </row>
    <row r="114" spans="1:18" s="88" customFormat="1" ht="18.75">
      <c r="A114" s="82" t="s">
        <v>698</v>
      </c>
      <c r="B114" s="418"/>
      <c r="C114" s="83"/>
      <c r="D114" s="92">
        <f>D115+D120+D123</f>
        <v>7340</v>
      </c>
      <c r="E114" s="92"/>
      <c r="F114" s="92">
        <f>F115+F120+F123</f>
        <v>20024</v>
      </c>
      <c r="G114" s="96"/>
      <c r="H114" s="93"/>
      <c r="I114" s="955"/>
      <c r="J114" s="930"/>
      <c r="K114" s="935"/>
      <c r="L114" s="929"/>
      <c r="M114" s="929"/>
      <c r="N114" s="959"/>
      <c r="O114" s="959"/>
      <c r="P114" s="959"/>
      <c r="Q114" s="959"/>
      <c r="R114" s="959"/>
    </row>
    <row r="115" spans="1:11" ht="18.75">
      <c r="A115" s="358"/>
      <c r="B115" s="377" t="s">
        <v>193</v>
      </c>
      <c r="C115" s="158"/>
      <c r="D115" s="94">
        <f>SUM(D116:D119)</f>
        <v>3000</v>
      </c>
      <c r="E115" s="94">
        <f>SUM(E116:E119)</f>
        <v>0</v>
      </c>
      <c r="F115" s="94">
        <f>SUM(F116:F119)</f>
        <v>17884</v>
      </c>
      <c r="G115" s="94">
        <f>SUM(G116:G119)</f>
        <v>0</v>
      </c>
      <c r="I115" s="960"/>
      <c r="K115" s="961"/>
    </row>
    <row r="116" spans="1:11" ht="18.75">
      <c r="A116" s="87"/>
      <c r="B116" s="377"/>
      <c r="C116" s="84" t="s">
        <v>745</v>
      </c>
      <c r="D116" s="94"/>
      <c r="E116" s="94"/>
      <c r="F116" s="94">
        <v>200</v>
      </c>
      <c r="G116" s="420"/>
      <c r="I116" s="960"/>
      <c r="K116" s="961"/>
    </row>
    <row r="117" spans="1:11" ht="18.75">
      <c r="A117" s="87"/>
      <c r="B117" s="359"/>
      <c r="C117" s="84" t="s">
        <v>194</v>
      </c>
      <c r="D117" s="94"/>
      <c r="E117" s="94"/>
      <c r="F117" s="94">
        <f>6000+4344+6940</f>
        <v>17284</v>
      </c>
      <c r="G117" s="420"/>
      <c r="I117" s="960"/>
      <c r="K117" s="961"/>
    </row>
    <row r="118" spans="1:11" ht="18.75">
      <c r="A118" s="87"/>
      <c r="B118" s="359"/>
      <c r="C118" s="84" t="s">
        <v>735</v>
      </c>
      <c r="D118" s="94"/>
      <c r="E118" s="94"/>
      <c r="F118" s="94">
        <v>400</v>
      </c>
      <c r="G118" s="420"/>
      <c r="I118" s="960"/>
      <c r="K118" s="961"/>
    </row>
    <row r="119" spans="1:11" ht="18.75">
      <c r="A119" s="87"/>
      <c r="B119" s="359"/>
      <c r="C119" s="84" t="s">
        <v>864</v>
      </c>
      <c r="D119" s="94">
        <v>3000</v>
      </c>
      <c r="E119" s="94"/>
      <c r="F119" s="94"/>
      <c r="G119" s="420"/>
      <c r="I119" s="960"/>
      <c r="K119" s="961"/>
    </row>
    <row r="120" spans="1:11" ht="18.75">
      <c r="A120" s="87"/>
      <c r="B120" s="84" t="s">
        <v>670</v>
      </c>
      <c r="C120" s="84"/>
      <c r="D120" s="94"/>
      <c r="E120" s="94"/>
      <c r="F120" s="94">
        <f>SUM(F121:F122)</f>
        <v>2140</v>
      </c>
      <c r="G120" s="420"/>
      <c r="I120" s="960"/>
      <c r="K120" s="961"/>
    </row>
    <row r="121" spans="1:11" ht="18.75">
      <c r="A121" s="87"/>
      <c r="B121" s="359"/>
      <c r="C121" s="84" t="s">
        <v>194</v>
      </c>
      <c r="D121" s="94"/>
      <c r="E121" s="94"/>
      <c r="F121" s="94">
        <v>1930</v>
      </c>
      <c r="G121" s="420"/>
      <c r="I121" s="960"/>
      <c r="K121" s="961"/>
    </row>
    <row r="122" spans="1:11" ht="18.75">
      <c r="A122" s="87"/>
      <c r="B122" s="475"/>
      <c r="C122" s="84" t="s">
        <v>864</v>
      </c>
      <c r="D122" s="94"/>
      <c r="E122" s="94"/>
      <c r="F122" s="94">
        <v>210</v>
      </c>
      <c r="G122" s="420"/>
      <c r="I122" s="960"/>
      <c r="K122" s="961"/>
    </row>
    <row r="123" spans="1:11" ht="18.75">
      <c r="A123" s="87"/>
      <c r="B123" s="358" t="s">
        <v>671</v>
      </c>
      <c r="C123" s="84"/>
      <c r="D123" s="94">
        <f>SUM(D124:D125)</f>
        <v>4340</v>
      </c>
      <c r="E123" s="94"/>
      <c r="F123" s="94"/>
      <c r="G123" s="420"/>
      <c r="I123" s="960"/>
      <c r="K123" s="961"/>
    </row>
    <row r="124" spans="1:11" ht="18.75">
      <c r="A124" s="86"/>
      <c r="B124" s="358"/>
      <c r="C124" s="84" t="s">
        <v>745</v>
      </c>
      <c r="D124" s="94">
        <v>3500</v>
      </c>
      <c r="E124" s="94"/>
      <c r="F124" s="94"/>
      <c r="G124" s="420"/>
      <c r="I124" s="960"/>
      <c r="K124" s="961"/>
    </row>
    <row r="125" spans="1:11" ht="18.75">
      <c r="A125" s="652"/>
      <c r="B125" s="95"/>
      <c r="C125" s="84" t="s">
        <v>864</v>
      </c>
      <c r="D125" s="94">
        <v>840</v>
      </c>
      <c r="E125" s="94"/>
      <c r="F125" s="94"/>
      <c r="G125" s="420"/>
      <c r="I125" s="960"/>
      <c r="K125" s="961"/>
    </row>
    <row r="126" spans="1:18" s="88" customFormat="1" ht="18.75">
      <c r="A126" s="80" t="s">
        <v>199</v>
      </c>
      <c r="B126" s="80" t="s">
        <v>669</v>
      </c>
      <c r="C126" s="80" t="s">
        <v>195</v>
      </c>
      <c r="D126" s="92"/>
      <c r="E126" s="92"/>
      <c r="F126" s="92">
        <v>35000</v>
      </c>
      <c r="G126" s="96"/>
      <c r="H126" s="93"/>
      <c r="I126" s="955"/>
      <c r="J126" s="930"/>
      <c r="K126" s="935"/>
      <c r="L126" s="929"/>
      <c r="M126" s="929"/>
      <c r="N126" s="959"/>
      <c r="O126" s="959"/>
      <c r="P126" s="959"/>
      <c r="Q126" s="959"/>
      <c r="R126" s="959"/>
    </row>
    <row r="127" spans="1:18" s="32" customFormat="1" ht="19.5" customHeight="1">
      <c r="A127" s="649" t="s">
        <v>81</v>
      </c>
      <c r="B127" s="157"/>
      <c r="C127" s="83"/>
      <c r="D127" s="96">
        <f>D111+D114+D126</f>
        <v>877340</v>
      </c>
      <c r="E127" s="96">
        <f>E111+E114+E126</f>
        <v>0</v>
      </c>
      <c r="F127" s="96">
        <f>F111+F114+F126</f>
        <v>925024</v>
      </c>
      <c r="G127" s="96">
        <f>G111+G114+G126</f>
        <v>0</v>
      </c>
      <c r="H127" s="91"/>
      <c r="I127" s="962"/>
      <c r="J127" s="963"/>
      <c r="K127" s="963"/>
      <c r="L127" s="650"/>
      <c r="M127" s="650"/>
      <c r="N127" s="964"/>
      <c r="O127" s="964"/>
      <c r="P127" s="964"/>
      <c r="Q127" s="964"/>
      <c r="R127" s="964"/>
    </row>
    <row r="128" spans="1:18" s="32" customFormat="1" ht="19.5" customHeight="1">
      <c r="A128" s="89"/>
      <c r="B128" s="90"/>
      <c r="C128" s="90"/>
      <c r="D128" s="91"/>
      <c r="E128" s="91"/>
      <c r="F128" s="91"/>
      <c r="G128" s="91"/>
      <c r="H128" s="91"/>
      <c r="I128" s="962"/>
      <c r="J128" s="963"/>
      <c r="K128" s="963"/>
      <c r="L128" s="650"/>
      <c r="M128" s="650"/>
      <c r="N128" s="964"/>
      <c r="O128" s="964"/>
      <c r="P128" s="964"/>
      <c r="Q128" s="964"/>
      <c r="R128" s="964"/>
    </row>
    <row r="129" spans="1:18" s="32" customFormat="1" ht="19.5" customHeight="1">
      <c r="A129" s="89"/>
      <c r="B129" s="90"/>
      <c r="C129" s="90"/>
      <c r="D129" s="91"/>
      <c r="E129" s="91"/>
      <c r="F129" s="91"/>
      <c r="G129" s="91"/>
      <c r="H129" s="91"/>
      <c r="I129" s="962"/>
      <c r="J129" s="963"/>
      <c r="K129" s="963"/>
      <c r="L129" s="650"/>
      <c r="M129" s="650"/>
      <c r="N129" s="964"/>
      <c r="O129" s="964"/>
      <c r="P129" s="964"/>
      <c r="Q129" s="964"/>
      <c r="R129" s="964"/>
    </row>
    <row r="130" spans="1:18" s="32" customFormat="1" ht="19.5" customHeight="1">
      <c r="A130" s="28" t="s">
        <v>417</v>
      </c>
      <c r="B130" s="28"/>
      <c r="C130" s="47"/>
      <c r="D130" s="2"/>
      <c r="E130" s="2"/>
      <c r="F130" s="2"/>
      <c r="G130" s="91"/>
      <c r="H130" s="91"/>
      <c r="I130" s="962"/>
      <c r="J130" s="963"/>
      <c r="K130" s="963"/>
      <c r="L130" s="650"/>
      <c r="M130" s="650"/>
      <c r="N130" s="964"/>
      <c r="O130" s="964"/>
      <c r="P130" s="964"/>
      <c r="Q130" s="964"/>
      <c r="R130" s="964"/>
    </row>
    <row r="131" spans="1:18" s="32" customFormat="1" ht="19.5" customHeight="1">
      <c r="A131" s="703" t="s">
        <v>409</v>
      </c>
      <c r="B131" s="28"/>
      <c r="C131" s="47"/>
      <c r="D131" s="2"/>
      <c r="E131" s="2"/>
      <c r="F131" s="2"/>
      <c r="G131" s="91"/>
      <c r="H131" s="91"/>
      <c r="I131" s="962"/>
      <c r="J131" s="963"/>
      <c r="K131" s="963"/>
      <c r="L131" s="650"/>
      <c r="M131" s="650"/>
      <c r="N131" s="964"/>
      <c r="O131" s="964"/>
      <c r="P131" s="964"/>
      <c r="Q131" s="964"/>
      <c r="R131" s="964"/>
    </row>
    <row r="132" spans="1:18" s="32" customFormat="1" ht="19.5" customHeight="1">
      <c r="A132" s="703" t="s">
        <v>418</v>
      </c>
      <c r="B132" s="28"/>
      <c r="C132" s="47"/>
      <c r="D132" s="2"/>
      <c r="E132" s="2"/>
      <c r="F132" s="2"/>
      <c r="G132" s="91"/>
      <c r="H132" s="91"/>
      <c r="I132" s="962"/>
      <c r="J132" s="963"/>
      <c r="K132" s="963"/>
      <c r="L132" s="650"/>
      <c r="M132" s="650"/>
      <c r="N132" s="964"/>
      <c r="O132" s="964"/>
      <c r="P132" s="964"/>
      <c r="Q132" s="964"/>
      <c r="R132" s="964"/>
    </row>
    <row r="133" spans="1:18" s="32" customFormat="1" ht="19.5" customHeight="1">
      <c r="A133" s="703"/>
      <c r="B133" s="28"/>
      <c r="C133" s="47"/>
      <c r="D133" s="2"/>
      <c r="E133" s="2"/>
      <c r="F133" s="2"/>
      <c r="G133" s="91"/>
      <c r="H133" s="91"/>
      <c r="I133" s="962"/>
      <c r="J133" s="963"/>
      <c r="K133" s="963"/>
      <c r="L133" s="650"/>
      <c r="M133" s="650"/>
      <c r="N133" s="964"/>
      <c r="O133" s="964"/>
      <c r="P133" s="964"/>
      <c r="Q133" s="964"/>
      <c r="R133" s="964"/>
    </row>
    <row r="134" spans="1:18" s="32" customFormat="1" ht="19.5" customHeight="1">
      <c r="A134" s="63" t="s">
        <v>140</v>
      </c>
      <c r="B134" s="28"/>
      <c r="C134" s="47"/>
      <c r="D134" s="2"/>
      <c r="E134" s="2"/>
      <c r="F134" s="2"/>
      <c r="G134" s="2"/>
      <c r="H134" s="24"/>
      <c r="I134" s="962"/>
      <c r="J134" s="963"/>
      <c r="K134" s="963"/>
      <c r="L134" s="650"/>
      <c r="M134" s="650"/>
      <c r="N134" s="964"/>
      <c r="O134" s="964"/>
      <c r="P134" s="964"/>
      <c r="Q134" s="964"/>
      <c r="R134" s="964"/>
    </row>
    <row r="135" spans="1:18" s="32" customFormat="1" ht="19.5" customHeight="1">
      <c r="A135" s="63"/>
      <c r="B135" s="28"/>
      <c r="C135" s="47"/>
      <c r="D135" s="2"/>
      <c r="E135" s="2"/>
      <c r="F135" s="2"/>
      <c r="G135" s="2"/>
      <c r="H135" s="24"/>
      <c r="I135" s="962"/>
      <c r="J135" s="963"/>
      <c r="K135" s="963"/>
      <c r="L135" s="650"/>
      <c r="M135" s="650"/>
      <c r="N135" s="964"/>
      <c r="O135" s="964"/>
      <c r="P135" s="964"/>
      <c r="Q135" s="964"/>
      <c r="R135" s="964"/>
    </row>
    <row r="136" spans="1:18" s="32" customFormat="1" ht="19.5" customHeight="1">
      <c r="A136" s="28" t="s">
        <v>410</v>
      </c>
      <c r="B136" s="28"/>
      <c r="C136" s="47"/>
      <c r="D136" s="2"/>
      <c r="E136" s="2"/>
      <c r="F136" s="2"/>
      <c r="G136" s="2"/>
      <c r="H136" s="54">
        <f>H138</f>
        <v>195300</v>
      </c>
      <c r="I136" s="962"/>
      <c r="J136" s="963"/>
      <c r="K136" s="963"/>
      <c r="L136" s="650"/>
      <c r="M136" s="650"/>
      <c r="N136" s="964"/>
      <c r="O136" s="964"/>
      <c r="P136" s="964"/>
      <c r="Q136" s="964"/>
      <c r="R136" s="964"/>
    </row>
    <row r="137" spans="1:18" s="32" customFormat="1" ht="19.5" customHeight="1">
      <c r="A137" s="28" t="s">
        <v>71</v>
      </c>
      <c r="B137" s="28"/>
      <c r="C137" s="47"/>
      <c r="D137" s="2"/>
      <c r="E137" s="2"/>
      <c r="F137" s="2"/>
      <c r="G137" s="2"/>
      <c r="H137" s="1"/>
      <c r="I137" s="962"/>
      <c r="J137" s="963"/>
      <c r="K137" s="963"/>
      <c r="L137" s="650"/>
      <c r="M137" s="650"/>
      <c r="N137" s="964"/>
      <c r="O137" s="964"/>
      <c r="P137" s="964"/>
      <c r="Q137" s="964"/>
      <c r="R137" s="964"/>
    </row>
    <row r="138" spans="1:18" s="32" customFormat="1" ht="19.5" customHeight="1">
      <c r="A138" s="28" t="s">
        <v>411</v>
      </c>
      <c r="B138" s="28"/>
      <c r="C138" s="47"/>
      <c r="D138" s="2"/>
      <c r="E138" s="2"/>
      <c r="F138" s="2"/>
      <c r="G138" s="2"/>
      <c r="H138" s="1">
        <v>195300</v>
      </c>
      <c r="I138" s="962"/>
      <c r="J138" s="963"/>
      <c r="K138" s="963"/>
      <c r="L138" s="650"/>
      <c r="M138" s="650"/>
      <c r="N138" s="964"/>
      <c r="O138" s="964"/>
      <c r="P138" s="964"/>
      <c r="Q138" s="964"/>
      <c r="R138" s="964"/>
    </row>
    <row r="139" spans="1:18" s="32" customFormat="1" ht="19.5" customHeight="1">
      <c r="A139" s="28"/>
      <c r="B139" s="28"/>
      <c r="C139" s="47"/>
      <c r="D139" s="2"/>
      <c r="E139" s="2"/>
      <c r="F139" s="2"/>
      <c r="G139" s="2"/>
      <c r="H139" s="1"/>
      <c r="I139" s="962"/>
      <c r="J139" s="963"/>
      <c r="K139" s="963"/>
      <c r="L139" s="650"/>
      <c r="M139" s="650"/>
      <c r="N139" s="964"/>
      <c r="O139" s="964"/>
      <c r="P139" s="964"/>
      <c r="Q139" s="964"/>
      <c r="R139" s="964"/>
    </row>
    <row r="140" spans="1:18" s="32" customFormat="1" ht="19.5" customHeight="1">
      <c r="A140" s="28"/>
      <c r="B140" s="28"/>
      <c r="C140" s="47"/>
      <c r="D140" s="2"/>
      <c r="E140" s="2"/>
      <c r="F140" s="2"/>
      <c r="G140" s="2"/>
      <c r="H140" s="1"/>
      <c r="I140" s="962"/>
      <c r="J140" s="963"/>
      <c r="K140" s="963"/>
      <c r="L140" s="650"/>
      <c r="M140" s="650"/>
      <c r="N140" s="964"/>
      <c r="O140" s="964"/>
      <c r="P140" s="964"/>
      <c r="Q140" s="964"/>
      <c r="R140" s="964"/>
    </row>
    <row r="141" spans="1:18" s="32" customFormat="1" ht="19.5" customHeight="1">
      <c r="A141" s="28" t="s">
        <v>82</v>
      </c>
      <c r="B141" s="28"/>
      <c r="C141" s="47"/>
      <c r="D141" s="2"/>
      <c r="E141" s="2"/>
      <c r="F141" s="2"/>
      <c r="G141" s="2"/>
      <c r="H141" s="54">
        <f>H143</f>
        <v>195300</v>
      </c>
      <c r="I141" s="962"/>
      <c r="J141" s="963"/>
      <c r="K141" s="963"/>
      <c r="L141" s="650"/>
      <c r="M141" s="650"/>
      <c r="N141" s="964"/>
      <c r="O141" s="964"/>
      <c r="P141" s="964"/>
      <c r="Q141" s="964"/>
      <c r="R141" s="964"/>
    </row>
    <row r="142" spans="1:18" s="32" customFormat="1" ht="19.5" customHeight="1">
      <c r="A142" s="28" t="s">
        <v>71</v>
      </c>
      <c r="B142" s="28"/>
      <c r="C142" s="47"/>
      <c r="D142" s="2"/>
      <c r="E142" s="2"/>
      <c r="F142" s="2"/>
      <c r="G142" s="2"/>
      <c r="H142" s="1"/>
      <c r="I142" s="962"/>
      <c r="J142" s="963"/>
      <c r="K142" s="963"/>
      <c r="L142" s="650"/>
      <c r="M142" s="650"/>
      <c r="N142" s="964"/>
      <c r="O142" s="964"/>
      <c r="P142" s="964"/>
      <c r="Q142" s="964"/>
      <c r="R142" s="964"/>
    </row>
    <row r="143" spans="1:18" s="32" customFormat="1" ht="19.5" customHeight="1">
      <c r="A143" s="28" t="s">
        <v>412</v>
      </c>
      <c r="B143" s="28"/>
      <c r="C143" s="47"/>
      <c r="D143" s="2"/>
      <c r="E143" s="2"/>
      <c r="F143" s="2"/>
      <c r="G143" s="2"/>
      <c r="H143" s="54">
        <f>H145+H146</f>
        <v>195300</v>
      </c>
      <c r="I143" s="962"/>
      <c r="J143" s="963"/>
      <c r="K143" s="963"/>
      <c r="L143" s="650"/>
      <c r="M143" s="650"/>
      <c r="N143" s="964"/>
      <c r="O143" s="964"/>
      <c r="P143" s="964"/>
      <c r="Q143" s="964"/>
      <c r="R143" s="964"/>
    </row>
    <row r="144" spans="1:18" s="32" customFormat="1" ht="19.5" customHeight="1">
      <c r="A144" s="28" t="s">
        <v>71</v>
      </c>
      <c r="B144" s="28"/>
      <c r="C144" s="47"/>
      <c r="D144" s="2"/>
      <c r="E144" s="2"/>
      <c r="F144" s="2"/>
      <c r="G144" s="2"/>
      <c r="H144" s="24"/>
      <c r="I144" s="962"/>
      <c r="J144" s="963"/>
      <c r="K144" s="963"/>
      <c r="L144" s="650"/>
      <c r="M144" s="650"/>
      <c r="N144" s="964"/>
      <c r="O144" s="964"/>
      <c r="P144" s="964"/>
      <c r="Q144" s="964"/>
      <c r="R144" s="964"/>
    </row>
    <row r="145" spans="1:18" s="32" customFormat="1" ht="19.5" customHeight="1">
      <c r="A145" s="28"/>
      <c r="B145" s="28" t="s">
        <v>413</v>
      </c>
      <c r="C145" s="47"/>
      <c r="D145" s="2"/>
      <c r="E145" s="2"/>
      <c r="F145" s="2"/>
      <c r="G145" s="2"/>
      <c r="H145" s="1">
        <v>150500</v>
      </c>
      <c r="I145" s="962"/>
      <c r="J145" s="963"/>
      <c r="K145" s="963"/>
      <c r="L145" s="650"/>
      <c r="M145" s="650"/>
      <c r="N145" s="964"/>
      <c r="O145" s="964"/>
      <c r="P145" s="964"/>
      <c r="Q145" s="964"/>
      <c r="R145" s="964"/>
    </row>
    <row r="146" spans="1:18" s="32" customFormat="1" ht="19.5" customHeight="1">
      <c r="A146" s="28"/>
      <c r="B146" s="28" t="s">
        <v>414</v>
      </c>
      <c r="C146" s="47"/>
      <c r="D146" s="2"/>
      <c r="E146" s="2"/>
      <c r="F146" s="2"/>
      <c r="G146" s="2"/>
      <c r="H146" s="1">
        <v>44800</v>
      </c>
      <c r="I146" s="962"/>
      <c r="J146" s="963"/>
      <c r="K146" s="963"/>
      <c r="L146" s="650"/>
      <c r="M146" s="650"/>
      <c r="N146" s="964"/>
      <c r="O146" s="964"/>
      <c r="P146" s="964"/>
      <c r="Q146" s="964"/>
      <c r="R146" s="964"/>
    </row>
    <row r="147" spans="1:18" s="32" customFormat="1" ht="19.5" customHeight="1">
      <c r="A147" s="72"/>
      <c r="B147" s="72"/>
      <c r="C147" s="145"/>
      <c r="D147" s="146"/>
      <c r="E147" s="146"/>
      <c r="F147" s="147"/>
      <c r="G147" s="146"/>
      <c r="H147" s="105"/>
      <c r="I147" s="962"/>
      <c r="J147" s="963"/>
      <c r="K147" s="963"/>
      <c r="L147" s="650"/>
      <c r="M147" s="650"/>
      <c r="N147" s="964"/>
      <c r="O147" s="964"/>
      <c r="P147" s="964"/>
      <c r="Q147" s="964"/>
      <c r="R147" s="964"/>
    </row>
    <row r="148" spans="1:18" s="32" customFormat="1" ht="19.5" customHeight="1">
      <c r="A148" s="89"/>
      <c r="B148" s="90"/>
      <c r="C148" s="90"/>
      <c r="D148" s="91"/>
      <c r="E148" s="91"/>
      <c r="F148" s="91"/>
      <c r="G148" s="91"/>
      <c r="H148" s="91"/>
      <c r="I148" s="962"/>
      <c r="J148" s="963"/>
      <c r="K148" s="963"/>
      <c r="L148" s="650"/>
      <c r="M148" s="650"/>
      <c r="N148" s="964"/>
      <c r="O148" s="964"/>
      <c r="P148" s="964"/>
      <c r="Q148" s="964"/>
      <c r="R148" s="964"/>
    </row>
    <row r="149" spans="1:18" s="32" customFormat="1" ht="19.5" customHeight="1">
      <c r="A149" s="89"/>
      <c r="B149" s="90"/>
      <c r="C149" s="90"/>
      <c r="D149" s="91"/>
      <c r="E149" s="91"/>
      <c r="F149" s="91"/>
      <c r="G149" s="91"/>
      <c r="H149" s="91"/>
      <c r="I149" s="962"/>
      <c r="J149" s="963"/>
      <c r="K149" s="963"/>
      <c r="L149" s="650"/>
      <c r="M149" s="650"/>
      <c r="N149" s="964"/>
      <c r="O149" s="964"/>
      <c r="P149" s="964"/>
      <c r="Q149" s="964"/>
      <c r="R149" s="964"/>
    </row>
    <row r="150" spans="1:18" s="28" customFormat="1" ht="15.75">
      <c r="A150" s="50" t="s">
        <v>419</v>
      </c>
      <c r="B150" s="98"/>
      <c r="C150" s="99"/>
      <c r="H150" s="1"/>
      <c r="I150" s="955"/>
      <c r="J150" s="926"/>
      <c r="K150" s="617"/>
      <c r="L150" s="926"/>
      <c r="M150" s="926"/>
      <c r="N150" s="944"/>
      <c r="O150" s="944"/>
      <c r="P150" s="944"/>
      <c r="Q150" s="944"/>
      <c r="R150" s="944"/>
    </row>
    <row r="151" spans="1:23" ht="15.75">
      <c r="A151" s="97"/>
      <c r="B151" s="97"/>
      <c r="C151" s="97"/>
      <c r="D151" s="28"/>
      <c r="E151" s="28"/>
      <c r="F151" s="28"/>
      <c r="G151" s="28"/>
      <c r="H151" s="1"/>
      <c r="I151" s="965"/>
      <c r="J151" s="953"/>
      <c r="K151" s="966"/>
      <c r="L151" s="924"/>
      <c r="M151" s="924"/>
      <c r="N151" s="12"/>
      <c r="O151" s="12"/>
      <c r="P151" s="12"/>
      <c r="Q151" s="967"/>
      <c r="R151" s="967"/>
      <c r="S151" s="100"/>
      <c r="T151" s="100"/>
      <c r="U151" s="100"/>
      <c r="V151" s="100"/>
      <c r="W151" s="100"/>
    </row>
    <row r="152" spans="1:23" ht="18.75">
      <c r="A152" s="50"/>
      <c r="B152" s="98"/>
      <c r="C152" s="99"/>
      <c r="D152" s="16"/>
      <c r="E152" s="16"/>
      <c r="F152" s="16"/>
      <c r="G152" s="16"/>
      <c r="H152" s="17"/>
      <c r="I152" s="968"/>
      <c r="J152" s="969"/>
      <c r="K152" s="966"/>
      <c r="L152" s="924"/>
      <c r="M152" s="924"/>
      <c r="N152" s="12"/>
      <c r="O152" s="12"/>
      <c r="P152" s="12"/>
      <c r="Q152" s="967"/>
      <c r="R152" s="967"/>
      <c r="S152" s="100"/>
      <c r="T152" s="100"/>
      <c r="U152" s="100"/>
      <c r="V152" s="100"/>
      <c r="W152" s="100"/>
    </row>
    <row r="153" spans="1:23" ht="15.75">
      <c r="A153" s="50"/>
      <c r="B153" s="101" t="s">
        <v>100</v>
      </c>
      <c r="C153" s="102"/>
      <c r="D153" s="16"/>
      <c r="E153" s="16"/>
      <c r="F153" s="16"/>
      <c r="G153" s="16"/>
      <c r="H153" s="103">
        <f>H156+H186</f>
        <v>420012942.59</v>
      </c>
      <c r="I153" s="968"/>
      <c r="J153" s="969"/>
      <c r="K153" s="966"/>
      <c r="L153" s="924"/>
      <c r="M153" s="924"/>
      <c r="N153" s="12"/>
      <c r="O153" s="12"/>
      <c r="P153" s="12"/>
      <c r="Q153" s="967"/>
      <c r="R153" s="967"/>
      <c r="S153" s="100"/>
      <c r="T153" s="100"/>
      <c r="U153" s="100"/>
      <c r="V153" s="100"/>
      <c r="W153" s="100"/>
    </row>
    <row r="154" spans="1:23" ht="15.75">
      <c r="A154" s="50"/>
      <c r="B154" s="101" t="s">
        <v>95</v>
      </c>
      <c r="C154" s="102"/>
      <c r="D154" s="16"/>
      <c r="E154" s="16"/>
      <c r="F154" s="16"/>
      <c r="G154" s="16"/>
      <c r="H154" s="103">
        <f>H157+H187</f>
        <v>419961305.83</v>
      </c>
      <c r="I154" s="970"/>
      <c r="J154" s="969"/>
      <c r="K154" s="966"/>
      <c r="L154" s="924"/>
      <c r="M154" s="924"/>
      <c r="N154" s="12"/>
      <c r="O154" s="12"/>
      <c r="P154" s="12"/>
      <c r="Q154" s="967"/>
      <c r="R154" s="967"/>
      <c r="S154" s="100"/>
      <c r="T154" s="100"/>
      <c r="U154" s="100"/>
      <c r="V154" s="100"/>
      <c r="W154" s="100"/>
    </row>
    <row r="155" spans="1:23" ht="15.75">
      <c r="A155" s="50"/>
      <c r="B155" s="104" t="s">
        <v>90</v>
      </c>
      <c r="C155" s="99"/>
      <c r="D155" s="16"/>
      <c r="E155" s="16"/>
      <c r="F155" s="16"/>
      <c r="G155" s="16"/>
      <c r="H155" s="103"/>
      <c r="I155" s="970"/>
      <c r="J155" s="969"/>
      <c r="K155" s="966"/>
      <c r="L155" s="924"/>
      <c r="M155" s="924"/>
      <c r="N155" s="12"/>
      <c r="O155" s="12"/>
      <c r="P155" s="12"/>
      <c r="Q155" s="967"/>
      <c r="R155" s="967"/>
      <c r="S155" s="100"/>
      <c r="T155" s="100"/>
      <c r="U155" s="100"/>
      <c r="V155" s="100"/>
      <c r="W155" s="100"/>
    </row>
    <row r="156" spans="1:23" ht="15.75">
      <c r="A156" s="106" t="s">
        <v>101</v>
      </c>
      <c r="B156" s="106"/>
      <c r="C156" s="106"/>
      <c r="D156" s="66"/>
      <c r="E156" s="62"/>
      <c r="F156" s="62"/>
      <c r="G156" s="16"/>
      <c r="H156" s="103">
        <v>291270186.96</v>
      </c>
      <c r="I156" s="970"/>
      <c r="J156" s="969"/>
      <c r="K156" s="966"/>
      <c r="L156" s="924"/>
      <c r="M156" s="924"/>
      <c r="N156" s="12"/>
      <c r="O156" s="12"/>
      <c r="P156" s="12"/>
      <c r="Q156" s="967"/>
      <c r="R156" s="967"/>
      <c r="S156" s="100"/>
      <c r="T156" s="100"/>
      <c r="U156" s="100"/>
      <c r="V156" s="100"/>
      <c r="W156" s="100"/>
    </row>
    <row r="157" spans="1:23" ht="15.75">
      <c r="A157" s="106"/>
      <c r="B157" s="107" t="s">
        <v>95</v>
      </c>
      <c r="C157" s="106"/>
      <c r="D157" s="66"/>
      <c r="E157" s="62"/>
      <c r="F157" s="62"/>
      <c r="G157" s="16"/>
      <c r="H157" s="103">
        <f>H156-D384+F384</f>
        <v>292332757.2</v>
      </c>
      <c r="I157" s="970"/>
      <c r="J157" s="969"/>
      <c r="K157" s="966"/>
      <c r="L157" s="924"/>
      <c r="M157" s="924"/>
      <c r="N157" s="12"/>
      <c r="O157" s="12"/>
      <c r="P157" s="12"/>
      <c r="Q157" s="967"/>
      <c r="R157" s="967"/>
      <c r="S157" s="100"/>
      <c r="T157" s="100"/>
      <c r="U157" s="100"/>
      <c r="V157" s="100"/>
      <c r="W157" s="100"/>
    </row>
    <row r="158" spans="1:23" ht="15.75">
      <c r="A158" s="61" t="s">
        <v>72</v>
      </c>
      <c r="B158" s="61" t="s">
        <v>135</v>
      </c>
      <c r="C158" s="61"/>
      <c r="D158" s="62"/>
      <c r="E158" s="62"/>
      <c r="F158" s="62"/>
      <c r="G158" s="16"/>
      <c r="H158" s="103"/>
      <c r="I158" s="970"/>
      <c r="J158" s="969"/>
      <c r="K158" s="966"/>
      <c r="L158" s="924"/>
      <c r="M158" s="924"/>
      <c r="N158" s="12"/>
      <c r="O158" s="12"/>
      <c r="P158" s="12"/>
      <c r="Q158" s="967"/>
      <c r="R158" s="967"/>
      <c r="S158" s="100"/>
      <c r="T158" s="100"/>
      <c r="U158" s="100"/>
      <c r="V158" s="100"/>
      <c r="W158" s="100"/>
    </row>
    <row r="159" spans="1:23" ht="15.75">
      <c r="A159" s="108" t="s">
        <v>136</v>
      </c>
      <c r="B159" s="108"/>
      <c r="C159" s="108"/>
      <c r="D159" s="109"/>
      <c r="E159" s="62"/>
      <c r="F159" s="62"/>
      <c r="G159" s="16"/>
      <c r="H159" s="103">
        <v>256909844.72</v>
      </c>
      <c r="I159" s="970"/>
      <c r="J159" s="970"/>
      <c r="K159" s="966"/>
      <c r="L159" s="971"/>
      <c r="M159" s="924"/>
      <c r="N159" s="12"/>
      <c r="O159" s="12"/>
      <c r="P159" s="12"/>
      <c r="Q159" s="967"/>
      <c r="R159" s="967"/>
      <c r="S159" s="100"/>
      <c r="T159" s="100"/>
      <c r="U159" s="100"/>
      <c r="V159" s="100"/>
      <c r="W159" s="100"/>
    </row>
    <row r="160" spans="1:23" ht="15.75">
      <c r="A160" s="108"/>
      <c r="B160" s="110" t="s">
        <v>95</v>
      </c>
      <c r="C160" s="108"/>
      <c r="D160" s="109"/>
      <c r="E160" s="66"/>
      <c r="F160" s="109"/>
      <c r="G160" s="16"/>
      <c r="H160" s="103">
        <f>H159-D384+D367+D368+D213+D219+D224+D225+D233+D234+D237+D240+D278+D316+D326+D383+F384-F219-F224-F225-F233-F234-F237-F278-F316-F326-F383-F212</f>
        <v>257802648.53</v>
      </c>
      <c r="I160" s="970"/>
      <c r="J160" s="969"/>
      <c r="K160" s="966"/>
      <c r="L160" s="971"/>
      <c r="M160" s="924"/>
      <c r="N160" s="12"/>
      <c r="O160" s="12"/>
      <c r="P160" s="12"/>
      <c r="Q160" s="967"/>
      <c r="R160" s="967"/>
      <c r="S160" s="100"/>
      <c r="T160" s="100"/>
      <c r="U160" s="100"/>
      <c r="V160" s="100"/>
      <c r="W160" s="100"/>
    </row>
    <row r="161" spans="1:23" ht="15.75">
      <c r="A161" s="108"/>
      <c r="B161" s="473" t="s">
        <v>71</v>
      </c>
      <c r="C161" s="108"/>
      <c r="D161" s="109"/>
      <c r="E161" s="66"/>
      <c r="F161" s="109"/>
      <c r="G161" s="16"/>
      <c r="H161" s="103"/>
      <c r="I161" s="970"/>
      <c r="J161" s="969"/>
      <c r="K161" s="972"/>
      <c r="L161" s="971"/>
      <c r="M161" s="924"/>
      <c r="N161" s="12"/>
      <c r="O161" s="12"/>
      <c r="P161" s="12"/>
      <c r="Q161" s="967"/>
      <c r="R161" s="967"/>
      <c r="S161" s="100"/>
      <c r="T161" s="100"/>
      <c r="U161" s="100"/>
      <c r="V161" s="100"/>
      <c r="W161" s="100"/>
    </row>
    <row r="162" spans="1:23" ht="15.75">
      <c r="A162" s="58"/>
      <c r="B162" s="482" t="s">
        <v>209</v>
      </c>
      <c r="C162" s="53"/>
      <c r="D162" s="26"/>
      <c r="E162" s="66"/>
      <c r="F162" s="109"/>
      <c r="G162" s="16"/>
      <c r="H162" s="103"/>
      <c r="I162" s="970"/>
      <c r="J162" s="969"/>
      <c r="K162" s="966"/>
      <c r="L162" s="971"/>
      <c r="M162" s="924"/>
      <c r="N162" s="12"/>
      <c r="O162" s="12"/>
      <c r="P162" s="12"/>
      <c r="Q162" s="967"/>
      <c r="R162" s="967"/>
      <c r="S162" s="100"/>
      <c r="T162" s="100"/>
      <c r="U162" s="100"/>
      <c r="V162" s="100"/>
      <c r="W162" s="100"/>
    </row>
    <row r="163" spans="1:23" ht="15.75">
      <c r="A163" s="58"/>
      <c r="B163" s="59" t="s">
        <v>210</v>
      </c>
      <c r="C163" s="53"/>
      <c r="D163" s="26"/>
      <c r="E163" s="66"/>
      <c r="F163" s="109"/>
      <c r="G163" s="16"/>
      <c r="H163" s="103"/>
      <c r="I163" s="970"/>
      <c r="J163" s="969"/>
      <c r="K163" s="966"/>
      <c r="L163" s="971"/>
      <c r="M163" s="924"/>
      <c r="N163" s="12"/>
      <c r="O163" s="12"/>
      <c r="P163" s="12"/>
      <c r="Q163" s="967"/>
      <c r="R163" s="967"/>
      <c r="S163" s="100"/>
      <c r="T163" s="100"/>
      <c r="U163" s="100"/>
      <c r="V163" s="100"/>
      <c r="W163" s="100"/>
    </row>
    <row r="164" spans="1:23" ht="15.75">
      <c r="A164" s="58"/>
      <c r="B164" s="59" t="s">
        <v>211</v>
      </c>
      <c r="C164" s="53"/>
      <c r="D164" s="26"/>
      <c r="E164" s="66"/>
      <c r="F164" s="109"/>
      <c r="G164" s="16"/>
      <c r="H164" s="105">
        <v>7000509.9</v>
      </c>
      <c r="I164" s="970"/>
      <c r="J164" s="969"/>
      <c r="K164" s="966"/>
      <c r="L164" s="971"/>
      <c r="M164" s="924"/>
      <c r="N164" s="12"/>
      <c r="O164" s="12"/>
      <c r="P164" s="12"/>
      <c r="Q164" s="967"/>
      <c r="R164" s="967"/>
      <c r="S164" s="100"/>
      <c r="T164" s="100"/>
      <c r="U164" s="100"/>
      <c r="V164" s="100"/>
      <c r="W164" s="100"/>
    </row>
    <row r="165" spans="1:23" ht="15.75">
      <c r="A165" s="58"/>
      <c r="B165" s="59" t="s">
        <v>95</v>
      </c>
      <c r="C165" s="53"/>
      <c r="D165" s="26"/>
      <c r="E165" s="66"/>
      <c r="F165" s="109"/>
      <c r="G165" s="16"/>
      <c r="H165" s="105">
        <f>H164-D345+F345-D368-D367-F363-F357</f>
        <v>6794220.500000001</v>
      </c>
      <c r="I165" s="970"/>
      <c r="J165" s="969"/>
      <c r="K165" s="966"/>
      <c r="L165" s="971"/>
      <c r="M165" s="924"/>
      <c r="N165" s="12"/>
      <c r="O165" s="12"/>
      <c r="P165" s="12"/>
      <c r="Q165" s="967"/>
      <c r="R165" s="967"/>
      <c r="S165" s="100"/>
      <c r="T165" s="100"/>
      <c r="U165" s="100"/>
      <c r="V165" s="100"/>
      <c r="W165" s="100"/>
    </row>
    <row r="166" spans="1:23" ht="15.75">
      <c r="A166" s="58"/>
      <c r="B166" s="59"/>
      <c r="C166" s="53"/>
      <c r="D166" s="26"/>
      <c r="E166" s="66"/>
      <c r="F166" s="109"/>
      <c r="G166" s="16"/>
      <c r="H166" s="105"/>
      <c r="I166" s="970"/>
      <c r="J166" s="969"/>
      <c r="K166" s="966"/>
      <c r="L166" s="971"/>
      <c r="M166" s="924"/>
      <c r="N166" s="12"/>
      <c r="O166" s="12"/>
      <c r="P166" s="12"/>
      <c r="Q166" s="967"/>
      <c r="R166" s="967"/>
      <c r="S166" s="100"/>
      <c r="T166" s="100"/>
      <c r="U166" s="100"/>
      <c r="V166" s="100"/>
      <c r="W166" s="100"/>
    </row>
    <row r="167" spans="1:23" ht="15.75">
      <c r="A167" s="58"/>
      <c r="B167" s="482" t="s">
        <v>436</v>
      </c>
      <c r="C167" s="53"/>
      <c r="D167" s="26"/>
      <c r="E167" s="66"/>
      <c r="F167" s="109"/>
      <c r="G167" s="16"/>
      <c r="H167" s="105"/>
      <c r="I167" s="970"/>
      <c r="J167" s="969"/>
      <c r="K167" s="966"/>
      <c r="L167" s="971"/>
      <c r="M167" s="924"/>
      <c r="N167" s="12"/>
      <c r="O167" s="12"/>
      <c r="P167" s="12"/>
      <c r="Q167" s="967"/>
      <c r="R167" s="967"/>
      <c r="S167" s="100"/>
      <c r="T167" s="100"/>
      <c r="U167" s="100"/>
      <c r="V167" s="100"/>
      <c r="W167" s="100"/>
    </row>
    <row r="168" spans="1:23" ht="15.75">
      <c r="A168" s="58"/>
      <c r="B168" s="59" t="s">
        <v>437</v>
      </c>
      <c r="C168" s="53"/>
      <c r="D168" s="26"/>
      <c r="E168" s="66"/>
      <c r="F168" s="109"/>
      <c r="G168" s="16"/>
      <c r="H168" s="105">
        <v>7230200</v>
      </c>
      <c r="I168" s="970"/>
      <c r="J168" s="969"/>
      <c r="K168" s="966"/>
      <c r="L168" s="971"/>
      <c r="M168" s="924"/>
      <c r="N168" s="12"/>
      <c r="O168" s="12"/>
      <c r="P168" s="12"/>
      <c r="Q168" s="967"/>
      <c r="R168" s="967"/>
      <c r="S168" s="100"/>
      <c r="T168" s="100"/>
      <c r="U168" s="100"/>
      <c r="V168" s="100"/>
      <c r="W168" s="100"/>
    </row>
    <row r="169" spans="1:23" ht="15.75">
      <c r="A169" s="58"/>
      <c r="B169" s="59" t="s">
        <v>95</v>
      </c>
      <c r="C169" s="53"/>
      <c r="D169" s="26"/>
      <c r="E169" s="66"/>
      <c r="F169" s="109"/>
      <c r="G169" s="16"/>
      <c r="H169" s="105">
        <f>H168-4059.87</f>
        <v>7226140.13</v>
      </c>
      <c r="I169" s="970"/>
      <c r="J169" s="969"/>
      <c r="K169" s="966"/>
      <c r="L169" s="971"/>
      <c r="M169" s="924"/>
      <c r="N169" s="12"/>
      <c r="O169" s="12"/>
      <c r="P169" s="12"/>
      <c r="Q169" s="967"/>
      <c r="R169" s="967"/>
      <c r="S169" s="100"/>
      <c r="T169" s="100"/>
      <c r="U169" s="100"/>
      <c r="V169" s="100"/>
      <c r="W169" s="100"/>
    </row>
    <row r="170" spans="1:23" ht="15.75">
      <c r="A170" s="58"/>
      <c r="B170" s="59"/>
      <c r="C170" s="53"/>
      <c r="D170" s="26"/>
      <c r="E170" s="66"/>
      <c r="F170" s="109"/>
      <c r="G170" s="16"/>
      <c r="H170" s="105"/>
      <c r="I170" s="970"/>
      <c r="J170" s="969"/>
      <c r="K170" s="966"/>
      <c r="L170" s="971"/>
      <c r="M170" s="924"/>
      <c r="N170" s="12"/>
      <c r="O170" s="12"/>
      <c r="P170" s="12"/>
      <c r="Q170" s="967"/>
      <c r="R170" s="967"/>
      <c r="S170" s="100"/>
      <c r="T170" s="100"/>
      <c r="U170" s="100"/>
      <c r="V170" s="100"/>
      <c r="W170" s="100"/>
    </row>
    <row r="171" spans="1:23" ht="15.75">
      <c r="A171" s="108"/>
      <c r="B171" s="110"/>
      <c r="C171" s="108"/>
      <c r="D171" s="109"/>
      <c r="E171" s="66"/>
      <c r="F171" s="109"/>
      <c r="G171" s="16"/>
      <c r="H171" s="103"/>
      <c r="I171" s="968"/>
      <c r="J171" s="969"/>
      <c r="K171" s="966"/>
      <c r="L171" s="971"/>
      <c r="M171" s="924"/>
      <c r="N171" s="12"/>
      <c r="O171" s="12"/>
      <c r="P171" s="12"/>
      <c r="Q171" s="967"/>
      <c r="R171" s="967"/>
      <c r="S171" s="100"/>
      <c r="T171" s="100"/>
      <c r="U171" s="100"/>
      <c r="V171" s="100"/>
      <c r="W171" s="100"/>
    </row>
    <row r="172" spans="1:23" ht="15.75">
      <c r="A172" s="108" t="s">
        <v>137</v>
      </c>
      <c r="B172" s="108"/>
      <c r="C172" s="106"/>
      <c r="D172" s="109"/>
      <c r="E172" s="66"/>
      <c r="F172" s="109"/>
      <c r="G172" s="16"/>
      <c r="H172" s="103">
        <v>34360342.24</v>
      </c>
      <c r="I172" s="968"/>
      <c r="J172" s="969"/>
      <c r="K172" s="966"/>
      <c r="L172" s="971"/>
      <c r="M172" s="924"/>
      <c r="N172" s="12"/>
      <c r="O172" s="12"/>
      <c r="P172" s="12"/>
      <c r="Q172" s="967"/>
      <c r="R172" s="967"/>
      <c r="S172" s="100"/>
      <c r="T172" s="100"/>
      <c r="U172" s="100"/>
      <c r="V172" s="100"/>
      <c r="W172" s="100"/>
    </row>
    <row r="173" spans="1:23" ht="15.75">
      <c r="A173" s="108"/>
      <c r="B173" s="110" t="s">
        <v>95</v>
      </c>
      <c r="C173" s="106"/>
      <c r="D173" s="109"/>
      <c r="E173" s="66"/>
      <c r="F173" s="109"/>
      <c r="G173" s="16"/>
      <c r="H173" s="103">
        <f>H172-D213-D219-D367-D368-D233-D234-D240+F383+F326+F316+F278+F237+F225+F224+F212</f>
        <v>34530108.669999994</v>
      </c>
      <c r="I173" s="970"/>
      <c r="J173" s="969"/>
      <c r="K173" s="966"/>
      <c r="L173" s="924"/>
      <c r="M173" s="924"/>
      <c r="N173" s="12"/>
      <c r="O173" s="12"/>
      <c r="P173" s="12"/>
      <c r="Q173" s="967"/>
      <c r="R173" s="967"/>
      <c r="S173" s="100"/>
      <c r="T173" s="100"/>
      <c r="U173" s="100"/>
      <c r="V173" s="100"/>
      <c r="W173" s="100"/>
    </row>
    <row r="174" spans="1:23" ht="15.75">
      <c r="A174" s="58"/>
      <c r="B174" s="59"/>
      <c r="C174" s="53"/>
      <c r="D174" s="26"/>
      <c r="E174" s="66"/>
      <c r="F174" s="109"/>
      <c r="G174" s="16"/>
      <c r="H174" s="105"/>
      <c r="I174" s="970"/>
      <c r="J174" s="969"/>
      <c r="K174" s="966"/>
      <c r="L174" s="924"/>
      <c r="M174" s="924"/>
      <c r="N174" s="12"/>
      <c r="O174" s="12"/>
      <c r="P174" s="12"/>
      <c r="Q174" s="967"/>
      <c r="R174" s="967"/>
      <c r="S174" s="100"/>
      <c r="T174" s="100"/>
      <c r="U174" s="100"/>
      <c r="V174" s="100"/>
      <c r="W174" s="100"/>
    </row>
    <row r="175" spans="1:23" ht="15.75">
      <c r="A175" s="58"/>
      <c r="B175" s="482" t="s">
        <v>209</v>
      </c>
      <c r="C175" s="53"/>
      <c r="D175" s="26"/>
      <c r="E175" s="66"/>
      <c r="F175" s="109"/>
      <c r="G175" s="16"/>
      <c r="H175" s="105"/>
      <c r="I175" s="970"/>
      <c r="J175" s="969"/>
      <c r="K175" s="966"/>
      <c r="L175" s="924"/>
      <c r="M175" s="924"/>
      <c r="N175" s="12"/>
      <c r="O175" s="12"/>
      <c r="P175" s="12"/>
      <c r="Q175" s="967"/>
      <c r="R175" s="967"/>
      <c r="S175" s="100"/>
      <c r="T175" s="100"/>
      <c r="U175" s="100"/>
      <c r="V175" s="100"/>
      <c r="W175" s="100"/>
    </row>
    <row r="176" spans="1:23" ht="15.75">
      <c r="A176" s="58"/>
      <c r="B176" s="59" t="s">
        <v>210</v>
      </c>
      <c r="C176" s="53"/>
      <c r="D176" s="26"/>
      <c r="E176" s="66"/>
      <c r="F176" s="109"/>
      <c r="G176" s="16"/>
      <c r="H176" s="105"/>
      <c r="I176" s="970"/>
      <c r="J176" s="969"/>
      <c r="K176" s="966"/>
      <c r="L176" s="924"/>
      <c r="M176" s="924"/>
      <c r="N176" s="12"/>
      <c r="O176" s="12"/>
      <c r="P176" s="12"/>
      <c r="Q176" s="967"/>
      <c r="R176" s="967"/>
      <c r="S176" s="100"/>
      <c r="T176" s="100"/>
      <c r="U176" s="100"/>
      <c r="V176" s="100"/>
      <c r="W176" s="100"/>
    </row>
    <row r="177" spans="1:23" ht="15.75">
      <c r="A177" s="58"/>
      <c r="B177" s="59" t="s">
        <v>211</v>
      </c>
      <c r="C177" s="53"/>
      <c r="D177" s="26"/>
      <c r="E177" s="66"/>
      <c r="F177" s="109"/>
      <c r="G177" s="16"/>
      <c r="H177" s="105">
        <v>2572910</v>
      </c>
      <c r="I177" s="970"/>
      <c r="J177" s="969"/>
      <c r="K177" s="966"/>
      <c r="L177" s="924"/>
      <c r="M177" s="924"/>
      <c r="N177" s="12"/>
      <c r="O177" s="12"/>
      <c r="P177" s="12"/>
      <c r="Q177" s="967"/>
      <c r="R177" s="967"/>
      <c r="S177" s="100"/>
      <c r="T177" s="100"/>
      <c r="U177" s="100"/>
      <c r="V177" s="100"/>
      <c r="W177" s="100"/>
    </row>
    <row r="178" spans="1:23" ht="15.75">
      <c r="A178" s="58"/>
      <c r="B178" s="59" t="s">
        <v>95</v>
      </c>
      <c r="C178" s="53"/>
      <c r="D178" s="26"/>
      <c r="E178" s="66"/>
      <c r="F178" s="109"/>
      <c r="G178" s="16"/>
      <c r="H178" s="105">
        <f>H177-D367-D368</f>
        <v>2554981.56</v>
      </c>
      <c r="I178" s="970"/>
      <c r="J178" s="969"/>
      <c r="K178" s="966"/>
      <c r="L178" s="924"/>
      <c r="M178" s="924"/>
      <c r="N178" s="12"/>
      <c r="O178" s="12"/>
      <c r="P178" s="12"/>
      <c r="Q178" s="967"/>
      <c r="R178" s="967"/>
      <c r="S178" s="100"/>
      <c r="T178" s="100"/>
      <c r="U178" s="100"/>
      <c r="V178" s="100"/>
      <c r="W178" s="100"/>
    </row>
    <row r="179" spans="1:23" ht="15.75">
      <c r="A179" s="58"/>
      <c r="B179" s="59"/>
      <c r="C179" s="53"/>
      <c r="D179" s="26"/>
      <c r="E179" s="66"/>
      <c r="F179" s="109"/>
      <c r="G179" s="16"/>
      <c r="H179" s="105"/>
      <c r="I179" s="970"/>
      <c r="J179" s="969"/>
      <c r="K179" s="966"/>
      <c r="L179" s="924"/>
      <c r="M179" s="924"/>
      <c r="N179" s="12"/>
      <c r="O179" s="12"/>
      <c r="P179" s="12"/>
      <c r="Q179" s="967"/>
      <c r="R179" s="967"/>
      <c r="S179" s="100"/>
      <c r="T179" s="100"/>
      <c r="U179" s="100"/>
      <c r="V179" s="100"/>
      <c r="W179" s="100"/>
    </row>
    <row r="180" spans="1:23" ht="15.75">
      <c r="A180" s="58"/>
      <c r="B180" s="482" t="s">
        <v>436</v>
      </c>
      <c r="C180" s="53"/>
      <c r="D180" s="26"/>
      <c r="E180" s="66"/>
      <c r="F180" s="109"/>
      <c r="G180" s="16"/>
      <c r="H180" s="105"/>
      <c r="I180" s="970"/>
      <c r="J180" s="969"/>
      <c r="K180" s="966"/>
      <c r="L180" s="924"/>
      <c r="M180" s="924"/>
      <c r="N180" s="12"/>
      <c r="O180" s="12"/>
      <c r="P180" s="12"/>
      <c r="Q180" s="967"/>
      <c r="R180" s="967"/>
      <c r="S180" s="100"/>
      <c r="T180" s="100"/>
      <c r="U180" s="100"/>
      <c r="V180" s="100"/>
      <c r="W180" s="100"/>
    </row>
    <row r="181" spans="1:23" ht="15.75">
      <c r="A181" s="58"/>
      <c r="B181" s="59" t="s">
        <v>437</v>
      </c>
      <c r="C181" s="53"/>
      <c r="D181" s="26"/>
      <c r="E181" s="66"/>
      <c r="F181" s="109"/>
      <c r="G181" s="16"/>
      <c r="H181" s="105">
        <v>19800</v>
      </c>
      <c r="I181" s="970"/>
      <c r="J181" s="969"/>
      <c r="K181" s="966"/>
      <c r="L181" s="924"/>
      <c r="M181" s="924"/>
      <c r="N181" s="12"/>
      <c r="O181" s="12"/>
      <c r="P181" s="12"/>
      <c r="Q181" s="967"/>
      <c r="R181" s="967"/>
      <c r="S181" s="100"/>
      <c r="T181" s="100"/>
      <c r="U181" s="100"/>
      <c r="V181" s="100"/>
      <c r="W181" s="100"/>
    </row>
    <row r="182" spans="1:23" ht="15.75">
      <c r="A182" s="58"/>
      <c r="B182" s="59" t="s">
        <v>95</v>
      </c>
      <c r="C182" s="53"/>
      <c r="D182" s="26"/>
      <c r="E182" s="66"/>
      <c r="F182" s="109"/>
      <c r="G182" s="16"/>
      <c r="H182" s="105">
        <f>H181+4059.87</f>
        <v>23859.87</v>
      </c>
      <c r="I182" s="970"/>
      <c r="J182" s="969"/>
      <c r="K182" s="966"/>
      <c r="L182" s="924"/>
      <c r="M182" s="924"/>
      <c r="N182" s="12"/>
      <c r="O182" s="12"/>
      <c r="P182" s="12"/>
      <c r="Q182" s="967"/>
      <c r="R182" s="967"/>
      <c r="S182" s="100"/>
      <c r="T182" s="100"/>
      <c r="U182" s="100"/>
      <c r="V182" s="100"/>
      <c r="W182" s="100"/>
    </row>
    <row r="183" spans="1:23" ht="15.75">
      <c r="A183" s="58"/>
      <c r="B183" s="59"/>
      <c r="C183" s="53"/>
      <c r="D183" s="26"/>
      <c r="E183" s="66"/>
      <c r="F183" s="109"/>
      <c r="G183" s="16"/>
      <c r="H183" s="105"/>
      <c r="I183" s="970"/>
      <c r="J183" s="969"/>
      <c r="K183" s="966"/>
      <c r="L183" s="924"/>
      <c r="M183" s="924"/>
      <c r="N183" s="12"/>
      <c r="O183" s="12"/>
      <c r="P183" s="12"/>
      <c r="Q183" s="967"/>
      <c r="R183" s="967"/>
      <c r="S183" s="100"/>
      <c r="T183" s="100"/>
      <c r="U183" s="100"/>
      <c r="V183" s="100"/>
      <c r="W183" s="100"/>
    </row>
    <row r="184" spans="1:23" ht="15.75">
      <c r="A184" s="58"/>
      <c r="B184" s="59"/>
      <c r="C184" s="53"/>
      <c r="D184" s="26"/>
      <c r="E184" s="66"/>
      <c r="F184" s="109"/>
      <c r="G184" s="16"/>
      <c r="H184" s="105"/>
      <c r="I184" s="970"/>
      <c r="J184" s="969"/>
      <c r="K184" s="966"/>
      <c r="L184" s="924"/>
      <c r="M184" s="924"/>
      <c r="N184" s="12"/>
      <c r="O184" s="12"/>
      <c r="P184" s="12"/>
      <c r="Q184" s="967"/>
      <c r="R184" s="967"/>
      <c r="S184" s="100"/>
      <c r="T184" s="100"/>
      <c r="U184" s="100"/>
      <c r="V184" s="100"/>
      <c r="W184" s="100"/>
    </row>
    <row r="185" spans="1:23" ht="15.75">
      <c r="A185" s="108"/>
      <c r="B185" s="110"/>
      <c r="C185" s="106"/>
      <c r="D185" s="109"/>
      <c r="E185" s="66"/>
      <c r="F185" s="109"/>
      <c r="G185" s="16"/>
      <c r="H185" s="103"/>
      <c r="I185" s="970"/>
      <c r="J185" s="953"/>
      <c r="K185" s="966"/>
      <c r="L185" s="924"/>
      <c r="M185" s="924"/>
      <c r="N185" s="12"/>
      <c r="O185" s="12"/>
      <c r="P185" s="12"/>
      <c r="Q185" s="967"/>
      <c r="R185" s="967"/>
      <c r="S185" s="100"/>
      <c r="T185" s="100"/>
      <c r="U185" s="100"/>
      <c r="V185" s="100"/>
      <c r="W185" s="100"/>
    </row>
    <row r="186" spans="1:23" ht="15.75">
      <c r="A186" s="106" t="s">
        <v>138</v>
      </c>
      <c r="B186" s="106"/>
      <c r="C186" s="106"/>
      <c r="D186" s="66"/>
      <c r="E186" s="66"/>
      <c r="F186" s="109"/>
      <c r="G186" s="16"/>
      <c r="H186" s="103">
        <v>128742755.63</v>
      </c>
      <c r="I186" s="970"/>
      <c r="J186" s="953"/>
      <c r="K186" s="970"/>
      <c r="L186" s="924"/>
      <c r="M186" s="924"/>
      <c r="N186" s="12"/>
      <c r="O186" s="12"/>
      <c r="P186" s="12"/>
      <c r="Q186" s="967"/>
      <c r="R186" s="967"/>
      <c r="S186" s="100"/>
      <c r="T186" s="100"/>
      <c r="U186" s="100"/>
      <c r="V186" s="100"/>
      <c r="W186" s="100"/>
    </row>
    <row r="187" spans="1:11" ht="15.75">
      <c r="A187" s="106"/>
      <c r="B187" s="107" t="s">
        <v>95</v>
      </c>
      <c r="C187" s="106"/>
      <c r="D187" s="66"/>
      <c r="E187" s="66"/>
      <c r="F187" s="109"/>
      <c r="H187" s="54">
        <f>H186-D446+F446</f>
        <v>127628548.63</v>
      </c>
      <c r="I187" s="955"/>
      <c r="J187" s="954"/>
      <c r="K187" s="935"/>
    </row>
    <row r="188" spans="1:12" ht="15.75">
      <c r="A188" s="61" t="s">
        <v>72</v>
      </c>
      <c r="B188" s="61" t="s">
        <v>135</v>
      </c>
      <c r="C188" s="61"/>
      <c r="D188" s="62"/>
      <c r="E188" s="66"/>
      <c r="F188" s="109"/>
      <c r="H188" s="54"/>
      <c r="I188" s="955"/>
      <c r="J188" s="954"/>
      <c r="K188" s="935"/>
      <c r="L188" s="935"/>
    </row>
    <row r="189" spans="1:23" ht="18.75">
      <c r="A189" s="108" t="s">
        <v>136</v>
      </c>
      <c r="B189" s="108"/>
      <c r="C189" s="108"/>
      <c r="D189" s="109"/>
      <c r="E189" s="66"/>
      <c r="F189" s="109"/>
      <c r="G189" s="16"/>
      <c r="H189" s="103">
        <v>115736283.27</v>
      </c>
      <c r="I189" s="973"/>
      <c r="J189" s="974"/>
      <c r="K189" s="966"/>
      <c r="L189" s="966"/>
      <c r="M189" s="924"/>
      <c r="N189" s="975"/>
      <c r="O189" s="12"/>
      <c r="P189" s="12"/>
      <c r="Q189" s="967"/>
      <c r="R189" s="967"/>
      <c r="S189" s="100"/>
      <c r="T189" s="100"/>
      <c r="U189" s="100"/>
      <c r="V189" s="100"/>
      <c r="W189" s="100"/>
    </row>
    <row r="190" spans="1:23" ht="15.75">
      <c r="A190" s="108"/>
      <c r="B190" s="110" t="s">
        <v>95</v>
      </c>
      <c r="C190" s="108"/>
      <c r="D190" s="109"/>
      <c r="E190" s="66"/>
      <c r="F190" s="109"/>
      <c r="G190" s="16"/>
      <c r="H190" s="103">
        <f>H189-D446+D404+F446</f>
        <v>114722076.27</v>
      </c>
      <c r="I190" s="970"/>
      <c r="J190" s="974"/>
      <c r="K190" s="966"/>
      <c r="L190" s="924"/>
      <c r="M190" s="924"/>
      <c r="N190" s="975"/>
      <c r="O190" s="12"/>
      <c r="P190" s="12"/>
      <c r="Q190" s="967"/>
      <c r="R190" s="967"/>
      <c r="S190" s="100"/>
      <c r="T190" s="100"/>
      <c r="U190" s="100"/>
      <c r="V190" s="100"/>
      <c r="W190" s="100"/>
    </row>
    <row r="191" spans="1:23" ht="15.75">
      <c r="A191" s="108"/>
      <c r="B191" s="110"/>
      <c r="C191" s="108"/>
      <c r="D191" s="109"/>
      <c r="E191" s="66"/>
      <c r="F191" s="109"/>
      <c r="G191" s="16"/>
      <c r="H191" s="103"/>
      <c r="I191" s="970"/>
      <c r="J191" s="974"/>
      <c r="K191" s="966"/>
      <c r="L191" s="924"/>
      <c r="M191" s="924"/>
      <c r="N191" s="975"/>
      <c r="O191" s="12"/>
      <c r="P191" s="12"/>
      <c r="Q191" s="967"/>
      <c r="R191" s="967"/>
      <c r="S191" s="100"/>
      <c r="T191" s="100"/>
      <c r="U191" s="100"/>
      <c r="V191" s="100"/>
      <c r="W191" s="100"/>
    </row>
    <row r="192" spans="1:23" ht="15.75">
      <c r="A192" s="108"/>
      <c r="B192" s="59"/>
      <c r="C192" s="53"/>
      <c r="D192" s="26"/>
      <c r="E192" s="66"/>
      <c r="F192" s="109"/>
      <c r="G192" s="16"/>
      <c r="H192" s="103"/>
      <c r="I192" s="970"/>
      <c r="J192" s="953"/>
      <c r="K192" s="966"/>
      <c r="L192" s="924"/>
      <c r="M192" s="924"/>
      <c r="N192" s="12"/>
      <c r="O192" s="12"/>
      <c r="P192" s="12"/>
      <c r="Q192" s="967"/>
      <c r="R192" s="967"/>
      <c r="S192" s="100"/>
      <c r="T192" s="100"/>
      <c r="U192" s="100"/>
      <c r="V192" s="100"/>
      <c r="W192" s="100"/>
    </row>
    <row r="193" spans="1:23" ht="15.75">
      <c r="A193" s="108" t="s">
        <v>137</v>
      </c>
      <c r="B193" s="108"/>
      <c r="C193" s="106"/>
      <c r="D193" s="109"/>
      <c r="E193" s="66"/>
      <c r="F193" s="109"/>
      <c r="G193" s="16"/>
      <c r="H193" s="103">
        <f>9860+12996612.36</f>
        <v>13006472.36</v>
      </c>
      <c r="I193" s="970"/>
      <c r="J193" s="953"/>
      <c r="K193" s="966"/>
      <c r="L193" s="924"/>
      <c r="M193" s="924"/>
      <c r="N193" s="12"/>
      <c r="O193" s="12"/>
      <c r="P193" s="12"/>
      <c r="Q193" s="967"/>
      <c r="R193" s="967"/>
      <c r="S193" s="100"/>
      <c r="T193" s="100"/>
      <c r="U193" s="100"/>
      <c r="V193" s="100"/>
      <c r="W193" s="100"/>
    </row>
    <row r="194" spans="1:23" ht="15.75">
      <c r="A194" s="108"/>
      <c r="B194" s="110" t="s">
        <v>95</v>
      </c>
      <c r="C194" s="106"/>
      <c r="D194" s="109"/>
      <c r="E194" s="66"/>
      <c r="F194" s="109"/>
      <c r="G194" s="16"/>
      <c r="H194" s="103">
        <f>H193-D404</f>
        <v>12906472.36</v>
      </c>
      <c r="I194" s="970"/>
      <c r="J194" s="974"/>
      <c r="K194" s="966"/>
      <c r="L194" s="924"/>
      <c r="M194" s="924"/>
      <c r="N194" s="12"/>
      <c r="O194" s="12"/>
      <c r="P194" s="12"/>
      <c r="Q194" s="967"/>
      <c r="R194" s="967"/>
      <c r="S194" s="100"/>
      <c r="T194" s="100"/>
      <c r="U194" s="100"/>
      <c r="V194" s="100"/>
      <c r="W194" s="100"/>
    </row>
    <row r="195" spans="1:23" ht="15.75">
      <c r="A195" s="15"/>
      <c r="B195" s="368"/>
      <c r="C195" s="367"/>
      <c r="D195" s="18"/>
      <c r="E195" s="66"/>
      <c r="F195" s="109"/>
      <c r="G195" s="16"/>
      <c r="H195" s="105"/>
      <c r="I195" s="970"/>
      <c r="J195" s="969"/>
      <c r="K195" s="966"/>
      <c r="L195" s="924"/>
      <c r="M195" s="924"/>
      <c r="N195" s="12"/>
      <c r="O195" s="12"/>
      <c r="P195" s="12"/>
      <c r="Q195" s="967"/>
      <c r="R195" s="967"/>
      <c r="S195" s="100"/>
      <c r="T195" s="100"/>
      <c r="U195" s="100"/>
      <c r="V195" s="100"/>
      <c r="W195" s="100"/>
    </row>
    <row r="196" spans="1:23" ht="15.75">
      <c r="A196" s="15"/>
      <c r="B196" s="368"/>
      <c r="C196" s="367"/>
      <c r="D196" s="18"/>
      <c r="E196" s="66"/>
      <c r="F196" s="109"/>
      <c r="G196" s="16"/>
      <c r="H196" s="105"/>
      <c r="I196" s="970"/>
      <c r="J196" s="969"/>
      <c r="K196" s="966"/>
      <c r="L196" s="924"/>
      <c r="M196" s="924"/>
      <c r="N196" s="12"/>
      <c r="O196" s="12"/>
      <c r="P196" s="12"/>
      <c r="Q196" s="967"/>
      <c r="R196" s="967"/>
      <c r="S196" s="100"/>
      <c r="T196" s="100"/>
      <c r="U196" s="100"/>
      <c r="V196" s="100"/>
      <c r="W196" s="100"/>
    </row>
    <row r="197" spans="1:23" ht="15.75">
      <c r="A197" s="15"/>
      <c r="B197" s="368"/>
      <c r="C197" s="367"/>
      <c r="D197" s="18"/>
      <c r="E197" s="66"/>
      <c r="F197" s="109"/>
      <c r="G197" s="16"/>
      <c r="H197" s="105"/>
      <c r="I197" s="970"/>
      <c r="J197" s="969"/>
      <c r="K197" s="966"/>
      <c r="L197" s="924"/>
      <c r="M197" s="924"/>
      <c r="N197" s="12"/>
      <c r="O197" s="12"/>
      <c r="P197" s="12"/>
      <c r="Q197" s="967"/>
      <c r="R197" s="967"/>
      <c r="S197" s="100"/>
      <c r="T197" s="100"/>
      <c r="U197" s="100"/>
      <c r="V197" s="100"/>
      <c r="W197" s="100"/>
    </row>
    <row r="198" spans="1:23" ht="18.75">
      <c r="A198" s="112" t="s">
        <v>83</v>
      </c>
      <c r="B198" s="113"/>
      <c r="C198" s="114"/>
      <c r="D198" s="18"/>
      <c r="E198" s="18"/>
      <c r="F198" s="18"/>
      <c r="G198" s="18"/>
      <c r="H198" s="21"/>
      <c r="I198" s="970"/>
      <c r="J198" s="969"/>
      <c r="K198" s="949"/>
      <c r="L198" s="948"/>
      <c r="M198" s="924"/>
      <c r="N198" s="975"/>
      <c r="O198" s="975"/>
      <c r="P198" s="12"/>
      <c r="Q198" s="12"/>
      <c r="R198" s="12"/>
      <c r="S198" s="16"/>
      <c r="T198" s="16"/>
      <c r="U198" s="16"/>
      <c r="V198" s="16"/>
      <c r="W198" s="16"/>
    </row>
    <row r="199" spans="1:23" ht="18.75">
      <c r="A199" s="112"/>
      <c r="B199" s="113"/>
      <c r="C199" s="114"/>
      <c r="D199" s="18"/>
      <c r="E199" s="18"/>
      <c r="F199" s="18"/>
      <c r="G199" s="18"/>
      <c r="H199" s="21"/>
      <c r="I199" s="970"/>
      <c r="J199" s="969"/>
      <c r="K199" s="949"/>
      <c r="L199" s="948"/>
      <c r="M199" s="924"/>
      <c r="N199" s="975"/>
      <c r="O199" s="975"/>
      <c r="P199" s="12"/>
      <c r="Q199" s="12"/>
      <c r="R199" s="12"/>
      <c r="S199" s="16"/>
      <c r="T199" s="16"/>
      <c r="U199" s="16"/>
      <c r="V199" s="16"/>
      <c r="W199" s="16"/>
    </row>
    <row r="200" spans="1:23" ht="18.75">
      <c r="A200" s="112"/>
      <c r="B200" s="113"/>
      <c r="C200" s="114"/>
      <c r="D200" s="18"/>
      <c r="E200" s="18"/>
      <c r="F200" s="18"/>
      <c r="G200" s="18"/>
      <c r="H200" s="21"/>
      <c r="I200" s="970"/>
      <c r="J200" s="948"/>
      <c r="K200" s="949"/>
      <c r="L200" s="976"/>
      <c r="M200" s="924"/>
      <c r="N200" s="12"/>
      <c r="O200" s="12"/>
      <c r="P200" s="12"/>
      <c r="Q200" s="12"/>
      <c r="R200" s="12"/>
      <c r="S200" s="16"/>
      <c r="T200" s="16"/>
      <c r="U200" s="16"/>
      <c r="V200" s="16"/>
      <c r="W200" s="16"/>
    </row>
    <row r="201" spans="1:23" ht="18.75">
      <c r="A201" s="115" t="s">
        <v>701</v>
      </c>
      <c r="B201" s="115"/>
      <c r="C201" s="116"/>
      <c r="D201" s="19"/>
      <c r="E201" s="19"/>
      <c r="F201" s="19"/>
      <c r="G201" s="19"/>
      <c r="H201" s="17"/>
      <c r="I201" s="970"/>
      <c r="J201" s="953"/>
      <c r="K201" s="966"/>
      <c r="L201" s="977"/>
      <c r="M201" s="978"/>
      <c r="N201" s="12"/>
      <c r="O201" s="12"/>
      <c r="P201" s="12"/>
      <c r="Q201" s="12"/>
      <c r="R201" s="12"/>
      <c r="S201" s="16"/>
      <c r="T201" s="16"/>
      <c r="U201" s="16"/>
      <c r="V201" s="16"/>
      <c r="W201" s="16"/>
    </row>
    <row r="202" spans="1:23" ht="18.75">
      <c r="A202" s="115"/>
      <c r="B202" s="115"/>
      <c r="C202" s="116"/>
      <c r="D202" s="19"/>
      <c r="E202" s="19"/>
      <c r="F202" s="19"/>
      <c r="G202" s="19"/>
      <c r="H202" s="17"/>
      <c r="I202" s="970"/>
      <c r="J202" s="953"/>
      <c r="K202" s="966"/>
      <c r="L202" s="977"/>
      <c r="M202" s="978"/>
      <c r="N202" s="12"/>
      <c r="O202" s="12"/>
      <c r="P202" s="12"/>
      <c r="Q202" s="12"/>
      <c r="R202" s="12"/>
      <c r="S202" s="16"/>
      <c r="T202" s="16"/>
      <c r="U202" s="16"/>
      <c r="V202" s="16"/>
      <c r="W202" s="16"/>
    </row>
    <row r="203" spans="1:23" ht="18.75">
      <c r="A203" s="115"/>
      <c r="B203" s="115"/>
      <c r="C203" s="116"/>
      <c r="D203" s="19"/>
      <c r="E203" s="19"/>
      <c r="F203" s="19"/>
      <c r="G203" s="19"/>
      <c r="H203" s="17"/>
      <c r="I203" s="970"/>
      <c r="J203" s="953"/>
      <c r="K203" s="966"/>
      <c r="L203" s="977"/>
      <c r="M203" s="978"/>
      <c r="N203" s="12"/>
      <c r="O203" s="12"/>
      <c r="P203" s="12"/>
      <c r="Q203" s="12"/>
      <c r="R203" s="12"/>
      <c r="S203" s="16"/>
      <c r="T203" s="16"/>
      <c r="U203" s="16"/>
      <c r="V203" s="16"/>
      <c r="W203" s="16"/>
    </row>
    <row r="204" spans="1:23" ht="18.75">
      <c r="A204" s="115"/>
      <c r="B204" s="115"/>
      <c r="C204" s="116"/>
      <c r="D204" s="19"/>
      <c r="E204" s="19"/>
      <c r="F204" s="19"/>
      <c r="G204" s="19"/>
      <c r="H204" s="17"/>
      <c r="I204" s="970"/>
      <c r="J204" s="953"/>
      <c r="K204" s="966"/>
      <c r="L204" s="977"/>
      <c r="M204" s="978"/>
      <c r="N204" s="12"/>
      <c r="O204" s="12"/>
      <c r="P204" s="12"/>
      <c r="Q204" s="12"/>
      <c r="R204" s="12"/>
      <c r="S204" s="16"/>
      <c r="T204" s="16"/>
      <c r="U204" s="16"/>
      <c r="V204" s="16"/>
      <c r="W204" s="16"/>
    </row>
    <row r="205" spans="1:23" ht="18.75">
      <c r="A205" s="115"/>
      <c r="B205" s="115"/>
      <c r="C205" s="116"/>
      <c r="D205" s="19"/>
      <c r="E205" s="19"/>
      <c r="F205" s="19"/>
      <c r="G205" s="19"/>
      <c r="H205" s="17"/>
      <c r="I205" s="970"/>
      <c r="J205" s="953"/>
      <c r="K205" s="966"/>
      <c r="L205" s="977"/>
      <c r="M205" s="978"/>
      <c r="N205" s="12"/>
      <c r="O205" s="12"/>
      <c r="P205" s="12"/>
      <c r="Q205" s="12"/>
      <c r="R205" s="12"/>
      <c r="S205" s="16"/>
      <c r="T205" s="16"/>
      <c r="U205" s="16"/>
      <c r="V205" s="16"/>
      <c r="W205" s="16"/>
    </row>
    <row r="206" spans="1:23" ht="18.75">
      <c r="A206" s="75"/>
      <c r="B206" s="75"/>
      <c r="C206" s="76"/>
      <c r="D206" s="10" t="s">
        <v>69</v>
      </c>
      <c r="E206" s="11"/>
      <c r="F206" s="10" t="s">
        <v>70</v>
      </c>
      <c r="G206" s="11"/>
      <c r="H206" s="17"/>
      <c r="I206" s="970"/>
      <c r="J206" s="970"/>
      <c r="K206" s="970"/>
      <c r="L206" s="924"/>
      <c r="M206" s="924"/>
      <c r="N206" s="12"/>
      <c r="O206" s="12"/>
      <c r="P206" s="12"/>
      <c r="Q206" s="12"/>
      <c r="R206" s="12"/>
      <c r="S206" s="16"/>
      <c r="T206" s="16"/>
      <c r="U206" s="16"/>
      <c r="V206" s="16"/>
      <c r="W206" s="16"/>
    </row>
    <row r="207" spans="1:23" ht="13.5" customHeight="1">
      <c r="A207" s="77"/>
      <c r="B207" s="77"/>
      <c r="C207" s="78"/>
      <c r="D207" s="12" t="s">
        <v>72</v>
      </c>
      <c r="E207" s="11" t="s">
        <v>71</v>
      </c>
      <c r="F207" s="12" t="s">
        <v>72</v>
      </c>
      <c r="G207" s="11" t="s">
        <v>71</v>
      </c>
      <c r="H207" s="17"/>
      <c r="I207" s="970"/>
      <c r="J207" s="953"/>
      <c r="K207" s="966"/>
      <c r="L207" s="924"/>
      <c r="M207" s="924"/>
      <c r="N207" s="12"/>
      <c r="O207" s="12"/>
      <c r="P207" s="12"/>
      <c r="Q207" s="12"/>
      <c r="R207" s="12"/>
      <c r="S207" s="16"/>
      <c r="T207" s="16"/>
      <c r="U207" s="16"/>
      <c r="V207" s="16"/>
      <c r="W207" s="16"/>
    </row>
    <row r="208" spans="1:23" ht="27.75" customHeight="1">
      <c r="A208" s="79" t="s">
        <v>74</v>
      </c>
      <c r="B208" s="79" t="s">
        <v>80</v>
      </c>
      <c r="C208" s="79" t="s">
        <v>75</v>
      </c>
      <c r="D208" s="13" t="s">
        <v>76</v>
      </c>
      <c r="E208" s="14" t="s">
        <v>77</v>
      </c>
      <c r="F208" s="13" t="s">
        <v>76</v>
      </c>
      <c r="G208" s="14" t="s">
        <v>77</v>
      </c>
      <c r="H208" s="17"/>
      <c r="I208" s="949"/>
      <c r="J208" s="953"/>
      <c r="K208" s="966"/>
      <c r="L208" s="924"/>
      <c r="M208" s="924"/>
      <c r="N208" s="12"/>
      <c r="O208" s="12"/>
      <c r="P208" s="12"/>
      <c r="Q208" s="12"/>
      <c r="R208" s="12"/>
      <c r="S208" s="16"/>
      <c r="T208" s="16"/>
      <c r="U208" s="16"/>
      <c r="V208" s="16"/>
      <c r="W208" s="16"/>
    </row>
    <row r="209" spans="1:23" s="29" customFormat="1" ht="19.5" customHeight="1">
      <c r="A209" s="82" t="s">
        <v>736</v>
      </c>
      <c r="B209" s="82" t="s">
        <v>737</v>
      </c>
      <c r="C209" s="80"/>
      <c r="D209" s="400">
        <f>SUM(D210:D213)</f>
        <v>347614</v>
      </c>
      <c r="E209" s="400">
        <f>SUM(E210:E211)</f>
        <v>0</v>
      </c>
      <c r="F209" s="400">
        <f>SUM(F210:F213)</f>
        <v>322000</v>
      </c>
      <c r="G209" s="400">
        <f>SUM(G210:G211)</f>
        <v>0</v>
      </c>
      <c r="H209" s="103"/>
      <c r="I209" s="969"/>
      <c r="J209" s="948"/>
      <c r="K209" s="969"/>
      <c r="L209" s="948"/>
      <c r="M209" s="948"/>
      <c r="N209" s="399"/>
      <c r="O209" s="399"/>
      <c r="P209" s="399"/>
      <c r="Q209" s="399"/>
      <c r="R209" s="399"/>
      <c r="S209" s="118"/>
      <c r="T209" s="118"/>
      <c r="U209" s="118"/>
      <c r="V209" s="118"/>
      <c r="W209" s="118"/>
    </row>
    <row r="210" spans="1:23" s="29" customFormat="1" ht="19.5" customHeight="1">
      <c r="A210" s="668"/>
      <c r="B210" s="82"/>
      <c r="C210" s="84" t="s">
        <v>862</v>
      </c>
      <c r="D210" s="637"/>
      <c r="E210" s="637"/>
      <c r="F210" s="637">
        <v>20000</v>
      </c>
      <c r="G210" s="637"/>
      <c r="H210" s="103"/>
      <c r="I210" s="969"/>
      <c r="J210" s="948"/>
      <c r="K210" s="969"/>
      <c r="L210" s="948"/>
      <c r="M210" s="948"/>
      <c r="N210" s="399"/>
      <c r="O210" s="399"/>
      <c r="P210" s="399"/>
      <c r="Q210" s="399"/>
      <c r="R210" s="399"/>
      <c r="S210" s="118"/>
      <c r="T210" s="118"/>
      <c r="U210" s="118"/>
      <c r="V210" s="118"/>
      <c r="W210" s="118"/>
    </row>
    <row r="211" spans="1:23" s="29" customFormat="1" ht="19.5" customHeight="1">
      <c r="A211" s="651"/>
      <c r="B211" s="638"/>
      <c r="C211" s="84" t="s">
        <v>124</v>
      </c>
      <c r="D211" s="637">
        <v>30000</v>
      </c>
      <c r="E211" s="637"/>
      <c r="F211" s="637"/>
      <c r="G211" s="637"/>
      <c r="H211" s="103"/>
      <c r="I211" s="969"/>
      <c r="J211" s="948"/>
      <c r="K211" s="969"/>
      <c r="L211" s="948"/>
      <c r="M211" s="948"/>
      <c r="N211" s="399"/>
      <c r="O211" s="399"/>
      <c r="P211" s="399"/>
      <c r="Q211" s="399"/>
      <c r="R211" s="399"/>
      <c r="S211" s="118"/>
      <c r="T211" s="118"/>
      <c r="U211" s="118"/>
      <c r="V211" s="118"/>
      <c r="W211" s="118"/>
    </row>
    <row r="212" spans="1:23" s="29" customFormat="1" ht="19.5" customHeight="1">
      <c r="A212" s="651"/>
      <c r="B212" s="638"/>
      <c r="C212" s="84" t="s">
        <v>645</v>
      </c>
      <c r="D212" s="637"/>
      <c r="E212" s="637"/>
      <c r="F212" s="637">
        <v>302000</v>
      </c>
      <c r="G212" s="637"/>
      <c r="H212" s="103"/>
      <c r="I212" s="969"/>
      <c r="J212" s="948"/>
      <c r="K212" s="969"/>
      <c r="L212" s="948"/>
      <c r="M212" s="948"/>
      <c r="N212" s="399"/>
      <c r="O212" s="399"/>
      <c r="P212" s="399"/>
      <c r="Q212" s="399"/>
      <c r="R212" s="399"/>
      <c r="S212" s="118"/>
      <c r="T212" s="118"/>
      <c r="U212" s="118"/>
      <c r="V212" s="118"/>
      <c r="W212" s="118"/>
    </row>
    <row r="213" spans="1:23" s="29" customFormat="1" ht="19.5" customHeight="1">
      <c r="A213" s="642"/>
      <c r="B213" s="418"/>
      <c r="C213" s="84" t="s">
        <v>646</v>
      </c>
      <c r="D213" s="637">
        <f>302000+60000-31000-13386</f>
        <v>317614</v>
      </c>
      <c r="E213" s="637"/>
      <c r="F213" s="637"/>
      <c r="G213" s="637"/>
      <c r="H213" s="103"/>
      <c r="I213" s="969"/>
      <c r="J213" s="948"/>
      <c r="K213" s="969"/>
      <c r="L213" s="948"/>
      <c r="M213" s="948"/>
      <c r="N213" s="399"/>
      <c r="O213" s="399"/>
      <c r="P213" s="399"/>
      <c r="Q213" s="399"/>
      <c r="R213" s="399"/>
      <c r="S213" s="118"/>
      <c r="T213" s="118"/>
      <c r="U213" s="118"/>
      <c r="V213" s="118"/>
      <c r="W213" s="118"/>
    </row>
    <row r="214" spans="1:23" s="29" customFormat="1" ht="19.5" customHeight="1">
      <c r="A214" s="418" t="s">
        <v>813</v>
      </c>
      <c r="B214" s="638"/>
      <c r="C214" s="80"/>
      <c r="D214" s="400">
        <f>D215+D219</f>
        <v>320707.86</v>
      </c>
      <c r="E214" s="400"/>
      <c r="F214" s="400">
        <f>F215+F219</f>
        <v>0</v>
      </c>
      <c r="G214" s="400"/>
      <c r="H214" s="103"/>
      <c r="I214" s="969"/>
      <c r="J214" s="948"/>
      <c r="K214" s="969"/>
      <c r="L214" s="948"/>
      <c r="M214" s="948"/>
      <c r="N214" s="399"/>
      <c r="O214" s="399"/>
      <c r="P214" s="399"/>
      <c r="Q214" s="399"/>
      <c r="R214" s="399"/>
      <c r="S214" s="118"/>
      <c r="T214" s="118"/>
      <c r="U214" s="118"/>
      <c r="V214" s="118"/>
      <c r="W214" s="118"/>
    </row>
    <row r="215" spans="1:23" s="28" customFormat="1" ht="19.5" customHeight="1">
      <c r="A215" s="86"/>
      <c r="B215" s="158" t="s">
        <v>378</v>
      </c>
      <c r="C215" s="84"/>
      <c r="D215" s="637">
        <f>SUM(D216:D218)</f>
        <v>270000</v>
      </c>
      <c r="E215" s="637"/>
      <c r="F215" s="637">
        <f>SUM(F216:F218)</f>
        <v>0</v>
      </c>
      <c r="G215" s="637"/>
      <c r="H215" s="105"/>
      <c r="I215" s="974"/>
      <c r="J215" s="953"/>
      <c r="K215" s="974"/>
      <c r="L215" s="953"/>
      <c r="M215" s="953"/>
      <c r="N215" s="979"/>
      <c r="O215" s="979"/>
      <c r="P215" s="979"/>
      <c r="Q215" s="979"/>
      <c r="R215" s="979"/>
      <c r="S215" s="15"/>
      <c r="T215" s="15"/>
      <c r="U215" s="15"/>
      <c r="V215" s="15"/>
      <c r="W215" s="15"/>
    </row>
    <row r="216" spans="1:23" s="28" customFormat="1" ht="19.5" customHeight="1">
      <c r="A216" s="86"/>
      <c r="B216" s="358"/>
      <c r="C216" s="84" t="s">
        <v>360</v>
      </c>
      <c r="D216" s="637">
        <f>19000+115000+27000</f>
        <v>161000</v>
      </c>
      <c r="E216" s="637"/>
      <c r="F216" s="637"/>
      <c r="G216" s="637"/>
      <c r="H216" s="105"/>
      <c r="I216" s="974"/>
      <c r="J216" s="953"/>
      <c r="K216" s="974"/>
      <c r="L216" s="953"/>
      <c r="M216" s="953"/>
      <c r="N216" s="979"/>
      <c r="O216" s="979"/>
      <c r="P216" s="979"/>
      <c r="Q216" s="979"/>
      <c r="R216" s="979"/>
      <c r="S216" s="15"/>
      <c r="T216" s="15"/>
      <c r="U216" s="15"/>
      <c r="V216" s="15"/>
      <c r="W216" s="15"/>
    </row>
    <row r="217" spans="1:23" s="28" customFormat="1" ht="19.5" customHeight="1">
      <c r="A217" s="86"/>
      <c r="B217" s="87"/>
      <c r="C217" s="84" t="s">
        <v>344</v>
      </c>
      <c r="D217" s="637">
        <v>10000</v>
      </c>
      <c r="E217" s="637"/>
      <c r="F217" s="637"/>
      <c r="G217" s="637"/>
      <c r="H217" s="105"/>
      <c r="I217" s="974"/>
      <c r="J217" s="953"/>
      <c r="K217" s="974"/>
      <c r="L217" s="953"/>
      <c r="M217" s="953"/>
      <c r="N217" s="979"/>
      <c r="O217" s="979"/>
      <c r="P217" s="979"/>
      <c r="Q217" s="979"/>
      <c r="R217" s="979"/>
      <c r="S217" s="15"/>
      <c r="T217" s="15"/>
      <c r="U217" s="15"/>
      <c r="V217" s="15"/>
      <c r="W217" s="15"/>
    </row>
    <row r="218" spans="1:23" s="28" customFormat="1" ht="19.5" customHeight="1">
      <c r="A218" s="86"/>
      <c r="B218" s="87"/>
      <c r="C218" s="84" t="s">
        <v>862</v>
      </c>
      <c r="D218" s="637">
        <f>14000+10000+75000</f>
        <v>99000</v>
      </c>
      <c r="E218" s="637"/>
      <c r="F218" s="637"/>
      <c r="G218" s="637"/>
      <c r="H218" s="105"/>
      <c r="I218" s="974"/>
      <c r="J218" s="953"/>
      <c r="K218" s="974"/>
      <c r="L218" s="953"/>
      <c r="M218" s="953"/>
      <c r="N218" s="979"/>
      <c r="O218" s="979"/>
      <c r="P218" s="979"/>
      <c r="Q218" s="979"/>
      <c r="R218" s="979"/>
      <c r="S218" s="15"/>
      <c r="T218" s="15"/>
      <c r="U218" s="15"/>
      <c r="V218" s="15"/>
      <c r="W218" s="15"/>
    </row>
    <row r="219" spans="1:23" s="28" customFormat="1" ht="19.5" customHeight="1">
      <c r="A219" s="86"/>
      <c r="B219" s="158" t="s">
        <v>378</v>
      </c>
      <c r="C219" s="84" t="s">
        <v>646</v>
      </c>
      <c r="D219" s="637">
        <f>31000+13386+6321.86</f>
        <v>50707.86</v>
      </c>
      <c r="E219" s="637"/>
      <c r="F219" s="637"/>
      <c r="G219" s="637"/>
      <c r="H219" s="105"/>
      <c r="I219" s="974"/>
      <c r="J219" s="953"/>
      <c r="K219" s="974"/>
      <c r="L219" s="953"/>
      <c r="M219" s="953"/>
      <c r="N219" s="979"/>
      <c r="O219" s="979"/>
      <c r="P219" s="979"/>
      <c r="Q219" s="979"/>
      <c r="R219" s="979"/>
      <c r="S219" s="15"/>
      <c r="T219" s="15"/>
      <c r="U219" s="15"/>
      <c r="V219" s="15"/>
      <c r="W219" s="15"/>
    </row>
    <row r="220" spans="1:23" s="29" customFormat="1" ht="19.5" customHeight="1">
      <c r="A220" s="82" t="s">
        <v>201</v>
      </c>
      <c r="B220" s="418"/>
      <c r="C220" s="80"/>
      <c r="D220" s="400">
        <f>D221+D222+D225</f>
        <v>24059.87</v>
      </c>
      <c r="E220" s="400">
        <f>E221+E222+E225</f>
        <v>0</v>
      </c>
      <c r="F220" s="400">
        <f>F221+F222+F225</f>
        <v>40381.73</v>
      </c>
      <c r="G220" s="400">
        <f>G221+G222+G225</f>
        <v>0</v>
      </c>
      <c r="H220" s="103"/>
      <c r="I220" s="969"/>
      <c r="J220" s="948"/>
      <c r="K220" s="969"/>
      <c r="L220" s="948"/>
      <c r="M220" s="948"/>
      <c r="N220" s="399"/>
      <c r="O220" s="399"/>
      <c r="P220" s="399"/>
      <c r="Q220" s="399"/>
      <c r="R220" s="399"/>
      <c r="S220" s="118"/>
      <c r="T220" s="118"/>
      <c r="U220" s="118"/>
      <c r="V220" s="118"/>
      <c r="W220" s="118"/>
    </row>
    <row r="221" spans="1:23" s="28" customFormat="1" ht="19.5" customHeight="1">
      <c r="A221" s="358"/>
      <c r="B221" s="377" t="s">
        <v>653</v>
      </c>
      <c r="C221" s="158" t="s">
        <v>654</v>
      </c>
      <c r="D221" s="637">
        <v>20000</v>
      </c>
      <c r="E221" s="637"/>
      <c r="F221" s="637"/>
      <c r="G221" s="637"/>
      <c r="H221" s="105"/>
      <c r="I221" s="974"/>
      <c r="J221" s="953"/>
      <c r="K221" s="974"/>
      <c r="L221" s="953"/>
      <c r="M221" s="953"/>
      <c r="N221" s="979"/>
      <c r="O221" s="979"/>
      <c r="P221" s="979"/>
      <c r="Q221" s="979"/>
      <c r="R221" s="979"/>
      <c r="S221" s="15"/>
      <c r="T221" s="15"/>
      <c r="U221" s="15"/>
      <c r="V221" s="15"/>
      <c r="W221" s="15"/>
    </row>
    <row r="222" spans="1:23" s="28" customFormat="1" ht="19.5" customHeight="1">
      <c r="A222" s="87"/>
      <c r="B222" s="377" t="s">
        <v>202</v>
      </c>
      <c r="C222" s="158"/>
      <c r="D222" s="637">
        <f>SUM(D223:D224)</f>
        <v>4059.87</v>
      </c>
      <c r="E222" s="637"/>
      <c r="F222" s="637">
        <f>SUM(F223:F224)</f>
        <v>34059.87</v>
      </c>
      <c r="G222" s="637"/>
      <c r="H222" s="105"/>
      <c r="I222" s="974"/>
      <c r="J222" s="953"/>
      <c r="K222" s="974"/>
      <c r="L222" s="953"/>
      <c r="M222" s="953"/>
      <c r="N222" s="979"/>
      <c r="O222" s="979"/>
      <c r="P222" s="979"/>
      <c r="Q222" s="979"/>
      <c r="R222" s="979"/>
      <c r="S222" s="15"/>
      <c r="T222" s="15"/>
      <c r="U222" s="15"/>
      <c r="V222" s="15"/>
      <c r="W222" s="15"/>
    </row>
    <row r="223" spans="1:23" s="28" customFormat="1" ht="19.5" customHeight="1">
      <c r="A223" s="86"/>
      <c r="B223" s="358"/>
      <c r="C223" s="84" t="s">
        <v>196</v>
      </c>
      <c r="D223" s="637">
        <v>4059.87</v>
      </c>
      <c r="E223" s="637"/>
      <c r="F223" s="637"/>
      <c r="G223" s="637"/>
      <c r="H223" s="105"/>
      <c r="I223" s="974"/>
      <c r="J223" s="953"/>
      <c r="K223" s="974"/>
      <c r="L223" s="953"/>
      <c r="M223" s="953"/>
      <c r="N223" s="979"/>
      <c r="O223" s="979"/>
      <c r="P223" s="979"/>
      <c r="Q223" s="979"/>
      <c r="R223" s="979"/>
      <c r="S223" s="15"/>
      <c r="T223" s="15"/>
      <c r="U223" s="15"/>
      <c r="V223" s="15"/>
      <c r="W223" s="15"/>
    </row>
    <row r="224" spans="1:23" s="28" customFormat="1" ht="19.5" customHeight="1">
      <c r="A224" s="86"/>
      <c r="B224" s="87"/>
      <c r="C224" s="377" t="s">
        <v>703</v>
      </c>
      <c r="D224" s="637"/>
      <c r="E224" s="637"/>
      <c r="F224" s="637">
        <f>4059.87+30000</f>
        <v>34059.87</v>
      </c>
      <c r="G224" s="637"/>
      <c r="H224" s="105"/>
      <c r="I224" s="974"/>
      <c r="J224" s="953"/>
      <c r="K224" s="974"/>
      <c r="L224" s="953"/>
      <c r="M224" s="953"/>
      <c r="N224" s="979"/>
      <c r="O224" s="979"/>
      <c r="P224" s="979"/>
      <c r="Q224" s="979"/>
      <c r="R224" s="979"/>
      <c r="S224" s="15"/>
      <c r="T224" s="15"/>
      <c r="U224" s="15"/>
      <c r="V224" s="15"/>
      <c r="W224" s="15"/>
    </row>
    <row r="225" spans="1:23" s="28" customFormat="1" ht="19.5" customHeight="1">
      <c r="A225" s="86"/>
      <c r="B225" s="158" t="s">
        <v>388</v>
      </c>
      <c r="C225" s="377" t="s">
        <v>646</v>
      </c>
      <c r="D225" s="637"/>
      <c r="E225" s="637"/>
      <c r="F225" s="637">
        <v>6321.86</v>
      </c>
      <c r="G225" s="637"/>
      <c r="H225" s="105"/>
      <c r="I225" s="974"/>
      <c r="J225" s="953"/>
      <c r="K225" s="974"/>
      <c r="L225" s="953"/>
      <c r="M225" s="953"/>
      <c r="N225" s="979"/>
      <c r="O225" s="979"/>
      <c r="P225" s="979"/>
      <c r="Q225" s="979"/>
      <c r="R225" s="979"/>
      <c r="S225" s="15"/>
      <c r="T225" s="15"/>
      <c r="U225" s="15"/>
      <c r="V225" s="15"/>
      <c r="W225" s="15"/>
    </row>
    <row r="226" spans="1:23" s="29" customFormat="1" ht="19.5" customHeight="1">
      <c r="A226" s="667" t="s">
        <v>657</v>
      </c>
      <c r="B226" s="80"/>
      <c r="C226" s="83"/>
      <c r="D226" s="400">
        <f>D227+D235</f>
        <v>8403</v>
      </c>
      <c r="E226" s="400"/>
      <c r="F226" s="400">
        <f>F227+F235</f>
        <v>138403</v>
      </c>
      <c r="G226" s="400"/>
      <c r="H226" s="103"/>
      <c r="I226" s="969"/>
      <c r="J226" s="948"/>
      <c r="K226" s="969"/>
      <c r="L226" s="948"/>
      <c r="M226" s="948"/>
      <c r="N226" s="399"/>
      <c r="O226" s="399"/>
      <c r="P226" s="399"/>
      <c r="Q226" s="399"/>
      <c r="R226" s="399"/>
      <c r="S226" s="118"/>
      <c r="T226" s="118"/>
      <c r="U226" s="118"/>
      <c r="V226" s="118"/>
      <c r="W226" s="118"/>
    </row>
    <row r="227" spans="1:23" s="28" customFormat="1" ht="19.5" customHeight="1">
      <c r="A227" s="86"/>
      <c r="B227" s="158" t="s">
        <v>658</v>
      </c>
      <c r="C227" s="84"/>
      <c r="D227" s="637">
        <f>SUM(D228:D234)</f>
        <v>6903</v>
      </c>
      <c r="E227" s="637"/>
      <c r="F227" s="637">
        <f>SUM(F228:F234)</f>
        <v>8403</v>
      </c>
      <c r="G227" s="637"/>
      <c r="H227" s="105"/>
      <c r="I227" s="974"/>
      <c r="J227" s="953"/>
      <c r="K227" s="974"/>
      <c r="L227" s="953"/>
      <c r="M227" s="953"/>
      <c r="N227" s="979"/>
      <c r="O227" s="979"/>
      <c r="P227" s="979"/>
      <c r="Q227" s="979"/>
      <c r="R227" s="979"/>
      <c r="S227" s="15"/>
      <c r="T227" s="15"/>
      <c r="U227" s="15"/>
      <c r="V227" s="15"/>
      <c r="W227" s="15"/>
    </row>
    <row r="228" spans="1:23" s="28" customFormat="1" ht="19.5" customHeight="1">
      <c r="A228" s="86"/>
      <c r="B228" s="87"/>
      <c r="C228" s="84" t="s">
        <v>114</v>
      </c>
      <c r="D228" s="637">
        <v>150</v>
      </c>
      <c r="E228" s="637"/>
      <c r="F228" s="637"/>
      <c r="G228" s="637"/>
      <c r="H228" s="105"/>
      <c r="I228" s="974"/>
      <c r="J228" s="953"/>
      <c r="K228" s="974"/>
      <c r="L228" s="953"/>
      <c r="M228" s="953"/>
      <c r="N228" s="979"/>
      <c r="O228" s="979"/>
      <c r="P228" s="979"/>
      <c r="Q228" s="979"/>
      <c r="R228" s="979"/>
      <c r="S228" s="15"/>
      <c r="T228" s="15"/>
      <c r="U228" s="15"/>
      <c r="V228" s="15"/>
      <c r="W228" s="15"/>
    </row>
    <row r="229" spans="1:23" s="28" customFormat="1" ht="19.5" customHeight="1">
      <c r="A229" s="86"/>
      <c r="B229" s="87"/>
      <c r="C229" s="84" t="s">
        <v>196</v>
      </c>
      <c r="D229" s="637"/>
      <c r="E229" s="637"/>
      <c r="F229" s="637">
        <v>6203</v>
      </c>
      <c r="G229" s="637"/>
      <c r="H229" s="105"/>
      <c r="I229" s="974"/>
      <c r="J229" s="953"/>
      <c r="K229" s="974"/>
      <c r="L229" s="953"/>
      <c r="M229" s="953"/>
      <c r="N229" s="979"/>
      <c r="O229" s="979"/>
      <c r="P229" s="979"/>
      <c r="Q229" s="979"/>
      <c r="R229" s="979"/>
      <c r="S229" s="15"/>
      <c r="T229" s="15"/>
      <c r="U229" s="15"/>
      <c r="V229" s="15"/>
      <c r="W229" s="15"/>
    </row>
    <row r="230" spans="1:23" s="28" customFormat="1" ht="19.5" customHeight="1">
      <c r="A230" s="86"/>
      <c r="B230" s="87"/>
      <c r="C230" s="84" t="s">
        <v>360</v>
      </c>
      <c r="D230" s="637">
        <v>1500</v>
      </c>
      <c r="E230" s="637"/>
      <c r="F230" s="637"/>
      <c r="G230" s="637"/>
      <c r="H230" s="105"/>
      <c r="I230" s="974"/>
      <c r="J230" s="953"/>
      <c r="K230" s="974"/>
      <c r="L230" s="953"/>
      <c r="M230" s="953"/>
      <c r="N230" s="979"/>
      <c r="O230" s="979"/>
      <c r="P230" s="979"/>
      <c r="Q230" s="979"/>
      <c r="R230" s="979"/>
      <c r="S230" s="15"/>
      <c r="T230" s="15"/>
      <c r="U230" s="15"/>
      <c r="V230" s="15"/>
      <c r="W230" s="15"/>
    </row>
    <row r="231" spans="1:23" s="28" customFormat="1" ht="19.5" customHeight="1">
      <c r="A231" s="86"/>
      <c r="B231" s="87"/>
      <c r="C231" s="84" t="s">
        <v>862</v>
      </c>
      <c r="D231" s="637"/>
      <c r="E231" s="637"/>
      <c r="F231" s="637">
        <v>2200</v>
      </c>
      <c r="G231" s="637"/>
      <c r="H231" s="105"/>
      <c r="I231" s="974"/>
      <c r="J231" s="953"/>
      <c r="K231" s="974"/>
      <c r="L231" s="953"/>
      <c r="M231" s="953"/>
      <c r="N231" s="979"/>
      <c r="O231" s="979"/>
      <c r="P231" s="979"/>
      <c r="Q231" s="979"/>
      <c r="R231" s="979"/>
      <c r="S231" s="15"/>
      <c r="T231" s="15"/>
      <c r="U231" s="15"/>
      <c r="V231" s="15"/>
      <c r="W231" s="15"/>
    </row>
    <row r="232" spans="1:23" s="28" customFormat="1" ht="19.5" customHeight="1">
      <c r="A232" s="86"/>
      <c r="B232" s="87"/>
      <c r="C232" s="84" t="s">
        <v>132</v>
      </c>
      <c r="D232" s="637">
        <v>788</v>
      </c>
      <c r="E232" s="637"/>
      <c r="F232" s="637"/>
      <c r="G232" s="637"/>
      <c r="H232" s="105"/>
      <c r="I232" s="974"/>
      <c r="J232" s="953"/>
      <c r="K232" s="974"/>
      <c r="L232" s="953"/>
      <c r="M232" s="953"/>
      <c r="N232" s="979"/>
      <c r="O232" s="979"/>
      <c r="P232" s="979"/>
      <c r="Q232" s="979"/>
      <c r="R232" s="979"/>
      <c r="S232" s="15"/>
      <c r="T232" s="15"/>
      <c r="U232" s="15"/>
      <c r="V232" s="15"/>
      <c r="W232" s="15"/>
    </row>
    <row r="233" spans="1:23" s="28" customFormat="1" ht="19.5" customHeight="1">
      <c r="A233" s="86"/>
      <c r="B233" s="87"/>
      <c r="C233" s="84" t="s">
        <v>703</v>
      </c>
      <c r="D233" s="637">
        <v>427</v>
      </c>
      <c r="E233" s="637"/>
      <c r="F233" s="637"/>
      <c r="G233" s="637"/>
      <c r="H233" s="105"/>
      <c r="I233" s="974"/>
      <c r="J233" s="953"/>
      <c r="K233" s="974"/>
      <c r="L233" s="953"/>
      <c r="M233" s="953"/>
      <c r="N233" s="979"/>
      <c r="O233" s="979"/>
      <c r="P233" s="979"/>
      <c r="Q233" s="979"/>
      <c r="R233" s="979"/>
      <c r="S233" s="15"/>
      <c r="T233" s="15"/>
      <c r="U233" s="15"/>
      <c r="V233" s="15"/>
      <c r="W233" s="15"/>
    </row>
    <row r="234" spans="1:23" s="28" customFormat="1" ht="19.5" customHeight="1">
      <c r="A234" s="86"/>
      <c r="B234" s="87"/>
      <c r="C234" s="84" t="s">
        <v>659</v>
      </c>
      <c r="D234" s="637">
        <v>4038</v>
      </c>
      <c r="E234" s="637"/>
      <c r="F234" s="637"/>
      <c r="G234" s="637"/>
      <c r="H234" s="105"/>
      <c r="I234" s="974"/>
      <c r="J234" s="953"/>
      <c r="K234" s="974"/>
      <c r="L234" s="953"/>
      <c r="M234" s="953"/>
      <c r="N234" s="979"/>
      <c r="O234" s="979"/>
      <c r="P234" s="979"/>
      <c r="Q234" s="979"/>
      <c r="R234" s="979"/>
      <c r="S234" s="15"/>
      <c r="T234" s="15"/>
      <c r="U234" s="15"/>
      <c r="V234" s="15"/>
      <c r="W234" s="15"/>
    </row>
    <row r="235" spans="1:23" s="28" customFormat="1" ht="19.5" customHeight="1">
      <c r="A235" s="86"/>
      <c r="B235" s="158" t="s">
        <v>660</v>
      </c>
      <c r="C235" s="84"/>
      <c r="D235" s="637">
        <f>SUM(D236:D237)</f>
        <v>1500</v>
      </c>
      <c r="E235" s="637"/>
      <c r="F235" s="637">
        <f>SUM(F236:F237)</f>
        <v>130000</v>
      </c>
      <c r="G235" s="637"/>
      <c r="H235" s="105"/>
      <c r="I235" s="974"/>
      <c r="J235" s="953"/>
      <c r="K235" s="974"/>
      <c r="L235" s="953"/>
      <c r="M235" s="953"/>
      <c r="N235" s="979"/>
      <c r="O235" s="979"/>
      <c r="P235" s="979"/>
      <c r="Q235" s="979"/>
      <c r="R235" s="979"/>
      <c r="S235" s="15"/>
      <c r="T235" s="15"/>
      <c r="U235" s="15"/>
      <c r="V235" s="15"/>
      <c r="W235" s="15"/>
    </row>
    <row r="236" spans="1:23" s="28" customFormat="1" ht="19.5" customHeight="1">
      <c r="A236" s="86"/>
      <c r="B236" s="87"/>
      <c r="C236" s="84" t="s">
        <v>360</v>
      </c>
      <c r="D236" s="637">
        <v>1500</v>
      </c>
      <c r="E236" s="637"/>
      <c r="F236" s="637"/>
      <c r="G236" s="637"/>
      <c r="H236" s="105"/>
      <c r="I236" s="974"/>
      <c r="J236" s="953"/>
      <c r="K236" s="974"/>
      <c r="L236" s="953"/>
      <c r="M236" s="953"/>
      <c r="N236" s="979"/>
      <c r="O236" s="979"/>
      <c r="P236" s="979"/>
      <c r="Q236" s="979"/>
      <c r="R236" s="979"/>
      <c r="S236" s="15"/>
      <c r="T236" s="15"/>
      <c r="U236" s="15"/>
      <c r="V236" s="15"/>
      <c r="W236" s="15"/>
    </row>
    <row r="237" spans="1:23" s="28" customFormat="1" ht="19.5" customHeight="1">
      <c r="A237" s="86"/>
      <c r="B237" s="87"/>
      <c r="C237" s="84" t="s">
        <v>703</v>
      </c>
      <c r="D237" s="637"/>
      <c r="E237" s="637"/>
      <c r="F237" s="637">
        <v>130000</v>
      </c>
      <c r="G237" s="637"/>
      <c r="H237" s="105"/>
      <c r="I237" s="974"/>
      <c r="J237" s="953"/>
      <c r="K237" s="974"/>
      <c r="L237" s="953"/>
      <c r="M237" s="953"/>
      <c r="N237" s="979"/>
      <c r="O237" s="979"/>
      <c r="P237" s="979"/>
      <c r="Q237" s="979"/>
      <c r="R237" s="979"/>
      <c r="S237" s="15"/>
      <c r="T237" s="15"/>
      <c r="U237" s="15"/>
      <c r="V237" s="15"/>
      <c r="W237" s="15"/>
    </row>
    <row r="238" spans="1:23" s="29" customFormat="1" ht="19.5" customHeight="1">
      <c r="A238" s="80" t="s">
        <v>739</v>
      </c>
      <c r="B238" s="80" t="s">
        <v>740</v>
      </c>
      <c r="C238" s="80"/>
      <c r="D238" s="400">
        <f>SUM(D239:D240)</f>
        <v>543719.05</v>
      </c>
      <c r="E238" s="400"/>
      <c r="F238" s="400"/>
      <c r="G238" s="400"/>
      <c r="H238" s="103"/>
      <c r="I238" s="969"/>
      <c r="J238" s="948"/>
      <c r="K238" s="969"/>
      <c r="L238" s="948"/>
      <c r="M238" s="948"/>
      <c r="N238" s="399"/>
      <c r="O238" s="399"/>
      <c r="P238" s="399"/>
      <c r="Q238" s="399"/>
      <c r="R238" s="399"/>
      <c r="S238" s="118"/>
      <c r="T238" s="118"/>
      <c r="U238" s="118"/>
      <c r="V238" s="118"/>
      <c r="W238" s="118"/>
    </row>
    <row r="239" spans="1:23" s="28" customFormat="1" ht="19.5" customHeight="1">
      <c r="A239" s="412"/>
      <c r="B239" s="358"/>
      <c r="C239" s="158" t="s">
        <v>741</v>
      </c>
      <c r="D239" s="637">
        <f>800+467622+44600+13000+3100-37171.34-18231.61</f>
        <v>473719.05000000005</v>
      </c>
      <c r="E239" s="637"/>
      <c r="F239" s="637"/>
      <c r="G239" s="637"/>
      <c r="H239" s="105"/>
      <c r="I239" s="974"/>
      <c r="J239" s="953"/>
      <c r="K239" s="974"/>
      <c r="L239" s="953"/>
      <c r="M239" s="953"/>
      <c r="N239" s="979"/>
      <c r="O239" s="979"/>
      <c r="P239" s="979"/>
      <c r="Q239" s="979"/>
      <c r="R239" s="979"/>
      <c r="S239" s="15"/>
      <c r="T239" s="15"/>
      <c r="U239" s="15"/>
      <c r="V239" s="15"/>
      <c r="W239" s="15"/>
    </row>
    <row r="240" spans="1:23" s="28" customFormat="1" ht="19.5" customHeight="1">
      <c r="A240" s="652"/>
      <c r="B240" s="95"/>
      <c r="C240" s="84" t="s">
        <v>649</v>
      </c>
      <c r="D240" s="637">
        <f>70000</f>
        <v>70000</v>
      </c>
      <c r="E240" s="637"/>
      <c r="F240" s="637"/>
      <c r="G240" s="637"/>
      <c r="H240" s="105"/>
      <c r="I240" s="974"/>
      <c r="J240" s="953"/>
      <c r="K240" s="974"/>
      <c r="L240" s="953"/>
      <c r="M240" s="953"/>
      <c r="N240" s="979"/>
      <c r="O240" s="979"/>
      <c r="P240" s="979"/>
      <c r="Q240" s="979"/>
      <c r="R240" s="979"/>
      <c r="S240" s="15"/>
      <c r="T240" s="15"/>
      <c r="U240" s="15"/>
      <c r="V240" s="15"/>
      <c r="W240" s="15"/>
    </row>
    <row r="241" spans="1:23" s="29" customFormat="1" ht="19.5" customHeight="1">
      <c r="A241" s="418" t="s">
        <v>698</v>
      </c>
      <c r="B241" s="418"/>
      <c r="C241" s="80"/>
      <c r="D241" s="400">
        <f>D242+D261+D266+D279+D292+D293+D298+D311</f>
        <v>124678</v>
      </c>
      <c r="E241" s="400">
        <f>E242+E261+E266+E279+E292+E293+E298+E311</f>
        <v>0</v>
      </c>
      <c r="F241" s="400">
        <f>F242+F261+F266+F279+F292+F293+F298+F311</f>
        <v>1765985.25</v>
      </c>
      <c r="G241" s="400">
        <f>G242+G261+G266+G279+G292+G293+G298+G311</f>
        <v>0</v>
      </c>
      <c r="H241" s="103"/>
      <c r="I241" s="969"/>
      <c r="J241" s="969"/>
      <c r="K241" s="969"/>
      <c r="L241" s="948"/>
      <c r="M241" s="948"/>
      <c r="N241" s="399"/>
      <c r="O241" s="399"/>
      <c r="P241" s="399"/>
      <c r="Q241" s="399"/>
      <c r="R241" s="399"/>
      <c r="S241" s="118"/>
      <c r="T241" s="118"/>
      <c r="U241" s="118"/>
      <c r="V241" s="118"/>
      <c r="W241" s="118"/>
    </row>
    <row r="242" spans="1:23" s="28" customFormat="1" ht="19.5" customHeight="1">
      <c r="A242" s="86"/>
      <c r="B242" s="158" t="s">
        <v>840</v>
      </c>
      <c r="C242" s="377"/>
      <c r="D242" s="85">
        <f>SUM(D243:D260)</f>
        <v>64434</v>
      </c>
      <c r="E242" s="85">
        <f>SUM(E243:E260)</f>
        <v>0</v>
      </c>
      <c r="F242" s="85">
        <f>SUM(F243:F260)</f>
        <v>687647</v>
      </c>
      <c r="G242" s="85">
        <f>SUM(G243:G260)</f>
        <v>0</v>
      </c>
      <c r="H242" s="105"/>
      <c r="I242" s="974"/>
      <c r="J242" s="974"/>
      <c r="K242" s="974"/>
      <c r="L242" s="953"/>
      <c r="M242" s="953"/>
      <c r="N242" s="979"/>
      <c r="O242" s="979"/>
      <c r="P242" s="979"/>
      <c r="Q242" s="979"/>
      <c r="R242" s="979"/>
      <c r="S242" s="15"/>
      <c r="T242" s="15"/>
      <c r="U242" s="15"/>
      <c r="V242" s="15"/>
      <c r="W242" s="15"/>
    </row>
    <row r="243" spans="1:23" s="28" customFormat="1" ht="19.5" customHeight="1">
      <c r="A243" s="86"/>
      <c r="B243" s="87"/>
      <c r="C243" s="377" t="s">
        <v>119</v>
      </c>
      <c r="D243" s="85"/>
      <c r="E243" s="85"/>
      <c r="F243" s="85">
        <f>5000-200</f>
        <v>4800</v>
      </c>
      <c r="G243" s="85"/>
      <c r="H243" s="105"/>
      <c r="I243" s="974"/>
      <c r="J243" s="974"/>
      <c r="K243" s="974"/>
      <c r="L243" s="953"/>
      <c r="M243" s="953"/>
      <c r="N243" s="979"/>
      <c r="O243" s="979"/>
      <c r="P243" s="979"/>
      <c r="Q243" s="979"/>
      <c r="R243" s="979"/>
      <c r="S243" s="15"/>
      <c r="T243" s="15"/>
      <c r="U243" s="15"/>
      <c r="V243" s="15"/>
      <c r="W243" s="15"/>
    </row>
    <row r="244" spans="1:23" s="28" customFormat="1" ht="19.5" customHeight="1">
      <c r="A244" s="86"/>
      <c r="B244" s="87"/>
      <c r="C244" s="377" t="s">
        <v>358</v>
      </c>
      <c r="D244" s="85"/>
      <c r="E244" s="85"/>
      <c r="F244" s="85">
        <f>50000-5015+80000+130000+70000+18000+42000</f>
        <v>384985</v>
      </c>
      <c r="G244" s="85"/>
      <c r="H244" s="105"/>
      <c r="I244" s="974"/>
      <c r="J244" s="974"/>
      <c r="K244" s="974"/>
      <c r="L244" s="953"/>
      <c r="M244" s="953"/>
      <c r="N244" s="979"/>
      <c r="O244" s="979"/>
      <c r="P244" s="979"/>
      <c r="Q244" s="979"/>
      <c r="R244" s="979"/>
      <c r="S244" s="15"/>
      <c r="T244" s="15"/>
      <c r="U244" s="15"/>
      <c r="V244" s="15"/>
      <c r="W244" s="15"/>
    </row>
    <row r="245" spans="1:23" s="28" customFormat="1" ht="19.5" customHeight="1">
      <c r="A245" s="86"/>
      <c r="B245" s="87"/>
      <c r="C245" s="377" t="s">
        <v>359</v>
      </c>
      <c r="D245" s="85"/>
      <c r="E245" s="85"/>
      <c r="F245" s="85">
        <f>22665+38355+35468+17200+35000+25000+40000+10000+10000+20000+38000</f>
        <v>291688</v>
      </c>
      <c r="G245" s="85"/>
      <c r="H245" s="105"/>
      <c r="I245" s="974"/>
      <c r="J245" s="974"/>
      <c r="K245" s="974"/>
      <c r="L245" s="953"/>
      <c r="M245" s="953"/>
      <c r="N245" s="979"/>
      <c r="O245" s="979"/>
      <c r="P245" s="979"/>
      <c r="Q245" s="979"/>
      <c r="R245" s="979"/>
      <c r="S245" s="15"/>
      <c r="T245" s="15"/>
      <c r="U245" s="15"/>
      <c r="V245" s="15"/>
      <c r="W245" s="15"/>
    </row>
    <row r="246" spans="1:23" s="28" customFormat="1" ht="19.5" customHeight="1">
      <c r="A246" s="86"/>
      <c r="B246" s="87"/>
      <c r="C246" s="377" t="s">
        <v>114</v>
      </c>
      <c r="D246" s="85">
        <f>800+2926+4100+3000</f>
        <v>10826</v>
      </c>
      <c r="E246" s="85"/>
      <c r="F246" s="85"/>
      <c r="G246" s="85"/>
      <c r="H246" s="105"/>
      <c r="I246" s="974"/>
      <c r="J246" s="974"/>
      <c r="K246" s="974"/>
      <c r="L246" s="953"/>
      <c r="M246" s="953"/>
      <c r="N246" s="979"/>
      <c r="O246" s="979"/>
      <c r="P246" s="979"/>
      <c r="Q246" s="979"/>
      <c r="R246" s="979"/>
      <c r="S246" s="15"/>
      <c r="T246" s="15"/>
      <c r="U246" s="15"/>
      <c r="V246" s="15"/>
      <c r="W246" s="15"/>
    </row>
    <row r="247" spans="1:23" s="28" customFormat="1" ht="19.5" customHeight="1">
      <c r="A247" s="86"/>
      <c r="B247" s="87"/>
      <c r="C247" s="377" t="s">
        <v>359</v>
      </c>
      <c r="D247" s="85">
        <v>6000</v>
      </c>
      <c r="E247" s="85"/>
      <c r="F247" s="85"/>
      <c r="G247" s="85"/>
      <c r="H247" s="105"/>
      <c r="I247" s="974"/>
      <c r="J247" s="974"/>
      <c r="K247" s="974"/>
      <c r="L247" s="953"/>
      <c r="M247" s="953"/>
      <c r="N247" s="979"/>
      <c r="O247" s="979"/>
      <c r="P247" s="979"/>
      <c r="Q247" s="979"/>
      <c r="R247" s="979"/>
      <c r="S247" s="15"/>
      <c r="T247" s="15"/>
      <c r="U247" s="15"/>
      <c r="V247" s="15"/>
      <c r="W247" s="15"/>
    </row>
    <row r="248" spans="1:23" s="28" customFormat="1" ht="19.5" customHeight="1">
      <c r="A248" s="86"/>
      <c r="B248" s="87"/>
      <c r="C248" s="377" t="s">
        <v>196</v>
      </c>
      <c r="D248" s="85"/>
      <c r="E248" s="85"/>
      <c r="F248" s="85">
        <f>574+1900</f>
        <v>2474</v>
      </c>
      <c r="G248" s="85"/>
      <c r="H248" s="105"/>
      <c r="I248" s="974"/>
      <c r="J248" s="974"/>
      <c r="K248" s="974"/>
      <c r="L248" s="953"/>
      <c r="M248" s="953"/>
      <c r="N248" s="979"/>
      <c r="O248" s="979"/>
      <c r="P248" s="979"/>
      <c r="Q248" s="979"/>
      <c r="R248" s="979"/>
      <c r="S248" s="15"/>
      <c r="T248" s="15"/>
      <c r="U248" s="15"/>
      <c r="V248" s="15"/>
      <c r="W248" s="15"/>
    </row>
    <row r="249" spans="1:23" s="28" customFormat="1" ht="19.5" customHeight="1">
      <c r="A249" s="86"/>
      <c r="B249" s="87"/>
      <c r="C249" s="377" t="s">
        <v>792</v>
      </c>
      <c r="D249" s="85">
        <f>456-400</f>
        <v>56</v>
      </c>
      <c r="E249" s="85"/>
      <c r="F249" s="85"/>
      <c r="G249" s="85"/>
      <c r="H249" s="105"/>
      <c r="I249" s="974"/>
      <c r="J249" s="974"/>
      <c r="K249" s="974"/>
      <c r="L249" s="953"/>
      <c r="M249" s="953"/>
      <c r="N249" s="979"/>
      <c r="O249" s="979"/>
      <c r="P249" s="979"/>
      <c r="Q249" s="979"/>
      <c r="R249" s="979"/>
      <c r="S249" s="15"/>
      <c r="T249" s="15"/>
      <c r="U249" s="15"/>
      <c r="V249" s="15"/>
      <c r="W249" s="15"/>
    </row>
    <row r="250" spans="1:23" s="28" customFormat="1" ht="19.5" customHeight="1">
      <c r="A250" s="86"/>
      <c r="B250" s="87"/>
      <c r="C250" s="377" t="s">
        <v>360</v>
      </c>
      <c r="D250" s="85">
        <f>7260-3577+9330</f>
        <v>13013</v>
      </c>
      <c r="E250" s="85"/>
      <c r="F250" s="85"/>
      <c r="G250" s="85"/>
      <c r="H250" s="105"/>
      <c r="I250" s="974"/>
      <c r="J250" s="974"/>
      <c r="K250" s="974"/>
      <c r="L250" s="953"/>
      <c r="M250" s="953"/>
      <c r="N250" s="979"/>
      <c r="O250" s="979"/>
      <c r="P250" s="979"/>
      <c r="Q250" s="979"/>
      <c r="R250" s="979"/>
      <c r="S250" s="15"/>
      <c r="T250" s="15"/>
      <c r="U250" s="15"/>
      <c r="V250" s="15"/>
      <c r="W250" s="15"/>
    </row>
    <row r="251" spans="1:23" s="28" customFormat="1" ht="19.5" customHeight="1">
      <c r="A251" s="86"/>
      <c r="B251" s="87"/>
      <c r="C251" s="377" t="s">
        <v>344</v>
      </c>
      <c r="D251" s="85">
        <f>5000-4633</f>
        <v>367</v>
      </c>
      <c r="E251" s="85"/>
      <c r="F251" s="85"/>
      <c r="G251" s="85"/>
      <c r="H251" s="105"/>
      <c r="I251" s="974"/>
      <c r="J251" s="974"/>
      <c r="K251" s="974"/>
      <c r="L251" s="953"/>
      <c r="M251" s="953"/>
      <c r="N251" s="979"/>
      <c r="O251" s="979"/>
      <c r="P251" s="979"/>
      <c r="Q251" s="979"/>
      <c r="R251" s="979"/>
      <c r="S251" s="15"/>
      <c r="T251" s="15"/>
      <c r="U251" s="15"/>
      <c r="V251" s="15"/>
      <c r="W251" s="15"/>
    </row>
    <row r="252" spans="1:23" s="28" customFormat="1" ht="19.5" customHeight="1">
      <c r="A252" s="86"/>
      <c r="B252" s="87"/>
      <c r="C252" s="377" t="s">
        <v>362</v>
      </c>
      <c r="D252" s="85">
        <f>1500-55</f>
        <v>1445</v>
      </c>
      <c r="E252" s="85"/>
      <c r="F252" s="85"/>
      <c r="G252" s="85"/>
      <c r="H252" s="105"/>
      <c r="I252" s="974"/>
      <c r="J252" s="974"/>
      <c r="K252" s="974"/>
      <c r="L252" s="953"/>
      <c r="M252" s="953"/>
      <c r="N252" s="979"/>
      <c r="O252" s="979"/>
      <c r="P252" s="979"/>
      <c r="Q252" s="979"/>
      <c r="R252" s="979"/>
      <c r="S252" s="15"/>
      <c r="T252" s="15"/>
      <c r="U252" s="15"/>
      <c r="V252" s="15"/>
      <c r="W252" s="15"/>
    </row>
    <row r="253" spans="1:23" s="28" customFormat="1" ht="19.5" customHeight="1">
      <c r="A253" s="86"/>
      <c r="B253" s="87"/>
      <c r="C253" s="377" t="s">
        <v>862</v>
      </c>
      <c r="D253" s="85"/>
      <c r="E253" s="85"/>
      <c r="F253" s="85">
        <f>5000-2000-1510</f>
        <v>1490</v>
      </c>
      <c r="G253" s="85"/>
      <c r="H253" s="105"/>
      <c r="I253" s="974"/>
      <c r="J253" s="974"/>
      <c r="K253" s="974"/>
      <c r="L253" s="953"/>
      <c r="M253" s="953"/>
      <c r="N253" s="979"/>
      <c r="O253" s="979"/>
      <c r="P253" s="979"/>
      <c r="Q253" s="979"/>
      <c r="R253" s="979"/>
      <c r="S253" s="15"/>
      <c r="T253" s="15"/>
      <c r="U253" s="15"/>
      <c r="V253" s="15"/>
      <c r="W253" s="15"/>
    </row>
    <row r="254" spans="1:23" s="28" customFormat="1" ht="19.5" customHeight="1">
      <c r="A254" s="86"/>
      <c r="B254" s="87"/>
      <c r="C254" s="158" t="s">
        <v>361</v>
      </c>
      <c r="D254" s="637">
        <f>800-350</f>
        <v>450</v>
      </c>
      <c r="E254" s="637"/>
      <c r="F254" s="637"/>
      <c r="G254" s="637"/>
      <c r="H254" s="105"/>
      <c r="I254" s="974"/>
      <c r="J254" s="974"/>
      <c r="K254" s="974"/>
      <c r="L254" s="953"/>
      <c r="M254" s="953"/>
      <c r="N254" s="979"/>
      <c r="O254" s="979"/>
      <c r="P254" s="979"/>
      <c r="Q254" s="979"/>
      <c r="R254" s="979"/>
      <c r="S254" s="15"/>
      <c r="T254" s="15"/>
      <c r="U254" s="15"/>
      <c r="V254" s="15"/>
      <c r="W254" s="15"/>
    </row>
    <row r="255" spans="1:23" s="28" customFormat="1" ht="19.5" customHeight="1">
      <c r="A255" s="86"/>
      <c r="B255" s="87"/>
      <c r="C255" s="377" t="s">
        <v>117</v>
      </c>
      <c r="D255" s="85">
        <f>300+800</f>
        <v>1100</v>
      </c>
      <c r="E255" s="85"/>
      <c r="F255" s="85"/>
      <c r="G255" s="85"/>
      <c r="H255" s="105"/>
      <c r="I255" s="974"/>
      <c r="J255" s="974"/>
      <c r="K255" s="974"/>
      <c r="L255" s="953"/>
      <c r="M255" s="953"/>
      <c r="N255" s="979"/>
      <c r="O255" s="979"/>
      <c r="P255" s="979"/>
      <c r="Q255" s="979"/>
      <c r="R255" s="979"/>
      <c r="S255" s="15"/>
      <c r="T255" s="15"/>
      <c r="U255" s="15"/>
      <c r="V255" s="15"/>
      <c r="W255" s="15"/>
    </row>
    <row r="256" spans="1:23" s="28" customFormat="1" ht="19.5" customHeight="1">
      <c r="A256" s="86"/>
      <c r="B256" s="87"/>
      <c r="C256" s="377" t="s">
        <v>850</v>
      </c>
      <c r="D256" s="85">
        <f>2100+1000</f>
        <v>3100</v>
      </c>
      <c r="E256" s="85"/>
      <c r="F256" s="85"/>
      <c r="G256" s="85"/>
      <c r="H256" s="105"/>
      <c r="I256" s="974"/>
      <c r="J256" s="974"/>
      <c r="K256" s="974"/>
      <c r="L256" s="953"/>
      <c r="M256" s="953"/>
      <c r="N256" s="979"/>
      <c r="O256" s="979"/>
      <c r="P256" s="979"/>
      <c r="Q256" s="979"/>
      <c r="R256" s="979"/>
      <c r="S256" s="15"/>
      <c r="T256" s="15"/>
      <c r="U256" s="15"/>
      <c r="V256" s="15"/>
      <c r="W256" s="15"/>
    </row>
    <row r="257" spans="1:23" s="28" customFormat="1" ht="19.5" customHeight="1">
      <c r="A257" s="86"/>
      <c r="B257" s="87"/>
      <c r="C257" s="377" t="s">
        <v>132</v>
      </c>
      <c r="D257" s="85"/>
      <c r="E257" s="85"/>
      <c r="F257" s="85">
        <f>3100-800-1000</f>
        <v>1300</v>
      </c>
      <c r="G257" s="85"/>
      <c r="H257" s="105"/>
      <c r="I257" s="974"/>
      <c r="J257" s="974"/>
      <c r="K257" s="974"/>
      <c r="L257" s="953"/>
      <c r="M257" s="953"/>
      <c r="N257" s="979"/>
      <c r="O257" s="979"/>
      <c r="P257" s="979"/>
      <c r="Q257" s="979"/>
      <c r="R257" s="979"/>
      <c r="S257" s="15"/>
      <c r="T257" s="15"/>
      <c r="U257" s="15"/>
      <c r="V257" s="15"/>
      <c r="W257" s="15"/>
    </row>
    <row r="258" spans="1:23" s="28" customFormat="1" ht="19.5" customHeight="1">
      <c r="A258" s="86"/>
      <c r="B258" s="87"/>
      <c r="C258" s="158" t="s">
        <v>854</v>
      </c>
      <c r="D258" s="637">
        <f>2640+9980-5543+20000</f>
        <v>27077</v>
      </c>
      <c r="E258" s="637"/>
      <c r="F258" s="637"/>
      <c r="G258" s="637"/>
      <c r="H258" s="105"/>
      <c r="I258" s="974"/>
      <c r="J258" s="974"/>
      <c r="K258" s="974"/>
      <c r="L258" s="953"/>
      <c r="M258" s="953"/>
      <c r="N258" s="979"/>
      <c r="O258" s="979"/>
      <c r="P258" s="979"/>
      <c r="Q258" s="979"/>
      <c r="R258" s="979"/>
      <c r="S258" s="15"/>
      <c r="T258" s="15"/>
      <c r="U258" s="15"/>
      <c r="V258" s="15"/>
      <c r="W258" s="15"/>
    </row>
    <row r="259" spans="1:23" s="28" customFormat="1" ht="19.5" customHeight="1">
      <c r="A259" s="86"/>
      <c r="B259" s="87"/>
      <c r="C259" s="377" t="s">
        <v>197</v>
      </c>
      <c r="D259" s="85"/>
      <c r="E259" s="85"/>
      <c r="F259" s="85">
        <f>1510-600</f>
        <v>910</v>
      </c>
      <c r="G259" s="85"/>
      <c r="H259" s="105"/>
      <c r="I259" s="974"/>
      <c r="J259" s="974"/>
      <c r="K259" s="974"/>
      <c r="L259" s="953"/>
      <c r="M259" s="953"/>
      <c r="N259" s="979"/>
      <c r="O259" s="979"/>
      <c r="P259" s="979"/>
      <c r="Q259" s="979"/>
      <c r="R259" s="979"/>
      <c r="S259" s="15"/>
      <c r="T259" s="15"/>
      <c r="U259" s="15"/>
      <c r="V259" s="15"/>
      <c r="W259" s="15"/>
    </row>
    <row r="260" spans="1:23" s="28" customFormat="1" ht="19.5" customHeight="1">
      <c r="A260" s="86"/>
      <c r="B260" s="87"/>
      <c r="C260" s="377" t="s">
        <v>118</v>
      </c>
      <c r="D260" s="85">
        <v>1000</v>
      </c>
      <c r="E260" s="85"/>
      <c r="F260" s="85"/>
      <c r="G260" s="85"/>
      <c r="H260" s="105"/>
      <c r="I260" s="974"/>
      <c r="J260" s="974"/>
      <c r="K260" s="974"/>
      <c r="L260" s="953"/>
      <c r="M260" s="953"/>
      <c r="N260" s="979"/>
      <c r="O260" s="979"/>
      <c r="P260" s="979"/>
      <c r="Q260" s="979"/>
      <c r="R260" s="979"/>
      <c r="S260" s="15"/>
      <c r="T260" s="15"/>
      <c r="U260" s="15"/>
      <c r="V260" s="15"/>
      <c r="W260" s="15"/>
    </row>
    <row r="261" spans="1:23" s="28" customFormat="1" ht="19.5" customHeight="1">
      <c r="A261" s="86"/>
      <c r="B261" s="158" t="s">
        <v>790</v>
      </c>
      <c r="C261" s="377"/>
      <c r="D261" s="85">
        <f>SUM(D262:D265)</f>
        <v>10550</v>
      </c>
      <c r="E261" s="85"/>
      <c r="F261" s="85">
        <f>SUM(F262:F265)</f>
        <v>0</v>
      </c>
      <c r="G261" s="85"/>
      <c r="H261" s="105"/>
      <c r="I261" s="974"/>
      <c r="J261" s="974"/>
      <c r="K261" s="974"/>
      <c r="L261" s="953"/>
      <c r="M261" s="953"/>
      <c r="N261" s="979"/>
      <c r="O261" s="979"/>
      <c r="P261" s="979"/>
      <c r="Q261" s="979"/>
      <c r="R261" s="979"/>
      <c r="S261" s="15"/>
      <c r="T261" s="15"/>
      <c r="U261" s="15"/>
      <c r="V261" s="15"/>
      <c r="W261" s="15"/>
    </row>
    <row r="262" spans="1:23" s="28" customFormat="1" ht="19.5" customHeight="1">
      <c r="A262" s="86"/>
      <c r="B262" s="358"/>
      <c r="C262" s="377" t="s">
        <v>358</v>
      </c>
      <c r="D262" s="85">
        <f>1509+5372</f>
        <v>6881</v>
      </c>
      <c r="E262" s="85"/>
      <c r="F262" s="85"/>
      <c r="G262" s="85"/>
      <c r="H262" s="105"/>
      <c r="I262" s="974"/>
      <c r="J262" s="974"/>
      <c r="K262" s="974"/>
      <c r="L262" s="953"/>
      <c r="M262" s="953"/>
      <c r="N262" s="979"/>
      <c r="O262" s="979"/>
      <c r="P262" s="979"/>
      <c r="Q262" s="979"/>
      <c r="R262" s="979"/>
      <c r="S262" s="15"/>
      <c r="T262" s="15"/>
      <c r="U262" s="15"/>
      <c r="V262" s="15"/>
      <c r="W262" s="15"/>
    </row>
    <row r="263" spans="1:23" s="28" customFormat="1" ht="19.5" customHeight="1">
      <c r="A263" s="86"/>
      <c r="B263" s="87"/>
      <c r="C263" s="377" t="s">
        <v>359</v>
      </c>
      <c r="D263" s="85">
        <f>3000+261</f>
        <v>3261</v>
      </c>
      <c r="E263" s="85"/>
      <c r="F263" s="85"/>
      <c r="G263" s="85"/>
      <c r="H263" s="105"/>
      <c r="I263" s="974"/>
      <c r="J263" s="974"/>
      <c r="K263" s="974"/>
      <c r="L263" s="953"/>
      <c r="M263" s="953"/>
      <c r="N263" s="979"/>
      <c r="O263" s="979"/>
      <c r="P263" s="979"/>
      <c r="Q263" s="979"/>
      <c r="R263" s="979"/>
      <c r="S263" s="15"/>
      <c r="T263" s="15"/>
      <c r="U263" s="15"/>
      <c r="V263" s="15"/>
      <c r="W263" s="15"/>
    </row>
    <row r="264" spans="1:23" s="28" customFormat="1" ht="19.5" customHeight="1">
      <c r="A264" s="86"/>
      <c r="B264" s="87"/>
      <c r="C264" s="377" t="s">
        <v>114</v>
      </c>
      <c r="D264" s="85">
        <v>45</v>
      </c>
      <c r="E264" s="85"/>
      <c r="F264" s="85"/>
      <c r="G264" s="85"/>
      <c r="H264" s="105"/>
      <c r="I264" s="974"/>
      <c r="J264" s="974"/>
      <c r="K264" s="974"/>
      <c r="L264" s="953"/>
      <c r="M264" s="953"/>
      <c r="N264" s="979"/>
      <c r="O264" s="979"/>
      <c r="P264" s="979"/>
      <c r="Q264" s="979"/>
      <c r="R264" s="979"/>
      <c r="S264" s="15"/>
      <c r="T264" s="15"/>
      <c r="U264" s="15"/>
      <c r="V264" s="15"/>
      <c r="W264" s="15"/>
    </row>
    <row r="265" spans="1:23" s="28" customFormat="1" ht="19.5" customHeight="1">
      <c r="A265" s="86"/>
      <c r="B265" s="87"/>
      <c r="C265" s="377" t="s">
        <v>196</v>
      </c>
      <c r="D265" s="85">
        <v>363</v>
      </c>
      <c r="E265" s="85"/>
      <c r="F265" s="85"/>
      <c r="G265" s="85"/>
      <c r="H265" s="105"/>
      <c r="I265" s="974"/>
      <c r="J265" s="974"/>
      <c r="K265" s="974"/>
      <c r="L265" s="953"/>
      <c r="M265" s="953"/>
      <c r="N265" s="979"/>
      <c r="O265" s="979"/>
      <c r="P265" s="979"/>
      <c r="Q265" s="979"/>
      <c r="R265" s="979"/>
      <c r="S265" s="15"/>
      <c r="T265" s="15"/>
      <c r="U265" s="15"/>
      <c r="V265" s="15"/>
      <c r="W265" s="15"/>
    </row>
    <row r="266" spans="1:23" s="28" customFormat="1" ht="19.5" customHeight="1">
      <c r="A266" s="86"/>
      <c r="B266" s="158" t="s">
        <v>290</v>
      </c>
      <c r="C266" s="377" t="s">
        <v>72</v>
      </c>
      <c r="D266" s="85">
        <f>SUM(D267:D278)</f>
        <v>0</v>
      </c>
      <c r="E266" s="85"/>
      <c r="F266" s="85">
        <f>SUM(F267:F278)</f>
        <v>471323</v>
      </c>
      <c r="G266" s="85"/>
      <c r="H266" s="105"/>
      <c r="I266" s="974"/>
      <c r="J266" s="974"/>
      <c r="K266" s="974"/>
      <c r="L266" s="953"/>
      <c r="M266" s="953"/>
      <c r="N266" s="979"/>
      <c r="O266" s="979"/>
      <c r="P266" s="979"/>
      <c r="Q266" s="979"/>
      <c r="R266" s="979"/>
      <c r="S266" s="15"/>
      <c r="T266" s="15"/>
      <c r="U266" s="15"/>
      <c r="V266" s="15"/>
      <c r="W266" s="15"/>
    </row>
    <row r="267" spans="1:23" s="28" customFormat="1" ht="19.5" customHeight="1">
      <c r="A267" s="86"/>
      <c r="B267" s="87"/>
      <c r="C267" s="377" t="s">
        <v>119</v>
      </c>
      <c r="D267" s="85"/>
      <c r="E267" s="85"/>
      <c r="F267" s="85"/>
      <c r="G267" s="85"/>
      <c r="H267" s="105"/>
      <c r="I267" s="974"/>
      <c r="J267" s="974"/>
      <c r="K267" s="974"/>
      <c r="L267" s="953"/>
      <c r="M267" s="953"/>
      <c r="N267" s="979"/>
      <c r="O267" s="979"/>
      <c r="P267" s="979"/>
      <c r="Q267" s="979"/>
      <c r="R267" s="979"/>
      <c r="S267" s="15"/>
      <c r="T267" s="15"/>
      <c r="U267" s="15"/>
      <c r="V267" s="15"/>
      <c r="W267" s="15"/>
    </row>
    <row r="268" spans="1:23" s="28" customFormat="1" ht="19.5" customHeight="1">
      <c r="A268" s="86"/>
      <c r="B268" s="87"/>
      <c r="C268" s="377" t="s">
        <v>358</v>
      </c>
      <c r="D268" s="85"/>
      <c r="E268" s="85"/>
      <c r="F268" s="85">
        <f>5750+7460+7000+3400+42000+58913+17000+50000+63000+52000+55000</f>
        <v>361523</v>
      </c>
      <c r="G268" s="85"/>
      <c r="H268" s="105"/>
      <c r="I268" s="974"/>
      <c r="J268" s="974"/>
      <c r="K268" s="974"/>
      <c r="L268" s="953"/>
      <c r="M268" s="953"/>
      <c r="N268" s="979"/>
      <c r="O268" s="979"/>
      <c r="P268" s="979"/>
      <c r="Q268" s="979"/>
      <c r="R268" s="979"/>
      <c r="S268" s="15"/>
      <c r="T268" s="15"/>
      <c r="U268" s="15"/>
      <c r="V268" s="15"/>
      <c r="W268" s="15"/>
    </row>
    <row r="269" spans="1:23" s="28" customFormat="1" ht="19.5" customHeight="1">
      <c r="A269" s="86"/>
      <c r="B269" s="87"/>
      <c r="C269" s="377" t="s">
        <v>359</v>
      </c>
      <c r="D269" s="85"/>
      <c r="E269" s="85"/>
      <c r="F269" s="85">
        <f>2000+13800+12000+7800</f>
        <v>35600</v>
      </c>
      <c r="G269" s="85"/>
      <c r="H269" s="105"/>
      <c r="I269" s="974"/>
      <c r="J269" s="974"/>
      <c r="K269" s="974"/>
      <c r="L269" s="953"/>
      <c r="M269" s="953"/>
      <c r="N269" s="979"/>
      <c r="O269" s="979"/>
      <c r="P269" s="979"/>
      <c r="Q269" s="979"/>
      <c r="R269" s="979"/>
      <c r="S269" s="15"/>
      <c r="T269" s="15"/>
      <c r="U269" s="15"/>
      <c r="V269" s="15"/>
      <c r="W269" s="15"/>
    </row>
    <row r="270" spans="1:23" s="28" customFormat="1" ht="19.5" customHeight="1">
      <c r="A270" s="86"/>
      <c r="B270" s="87"/>
      <c r="C270" s="377" t="s">
        <v>114</v>
      </c>
      <c r="D270" s="85"/>
      <c r="E270" s="85"/>
      <c r="F270" s="85">
        <v>1000</v>
      </c>
      <c r="G270" s="85"/>
      <c r="H270" s="105"/>
      <c r="I270" s="974"/>
      <c r="J270" s="974"/>
      <c r="K270" s="974"/>
      <c r="L270" s="953"/>
      <c r="M270" s="953"/>
      <c r="N270" s="979"/>
      <c r="O270" s="979"/>
      <c r="P270" s="979"/>
      <c r="Q270" s="979"/>
      <c r="R270" s="979"/>
      <c r="S270" s="15"/>
      <c r="T270" s="15"/>
      <c r="U270" s="15"/>
      <c r="V270" s="15"/>
      <c r="W270" s="15"/>
    </row>
    <row r="271" spans="1:23" s="28" customFormat="1" ht="19.5" customHeight="1">
      <c r="A271" s="86"/>
      <c r="B271" s="87"/>
      <c r="C271" s="377" t="s">
        <v>196</v>
      </c>
      <c r="D271" s="85"/>
      <c r="E271" s="85"/>
      <c r="F271" s="85">
        <f>3000</f>
        <v>3000</v>
      </c>
      <c r="G271" s="85"/>
      <c r="H271" s="105"/>
      <c r="I271" s="974"/>
      <c r="J271" s="974"/>
      <c r="K271" s="974"/>
      <c r="L271" s="953"/>
      <c r="M271" s="953"/>
      <c r="N271" s="979"/>
      <c r="O271" s="979"/>
      <c r="P271" s="979"/>
      <c r="Q271" s="979"/>
      <c r="R271" s="979"/>
      <c r="S271" s="15"/>
      <c r="T271" s="15"/>
      <c r="U271" s="15"/>
      <c r="V271" s="15"/>
      <c r="W271" s="15"/>
    </row>
    <row r="272" spans="1:23" s="28" customFormat="1" ht="19.5" customHeight="1">
      <c r="A272" s="86"/>
      <c r="B272" s="87"/>
      <c r="C272" s="377" t="s">
        <v>849</v>
      </c>
      <c r="D272" s="85"/>
      <c r="E272" s="85"/>
      <c r="F272" s="85">
        <f>3000+3000</f>
        <v>6000</v>
      </c>
      <c r="G272" s="85"/>
      <c r="H272" s="105"/>
      <c r="I272" s="974"/>
      <c r="J272" s="974"/>
      <c r="K272" s="974"/>
      <c r="L272" s="953"/>
      <c r="M272" s="953"/>
      <c r="N272" s="979"/>
      <c r="O272" s="979"/>
      <c r="P272" s="979"/>
      <c r="Q272" s="979"/>
      <c r="R272" s="979"/>
      <c r="S272" s="15"/>
      <c r="T272" s="15"/>
      <c r="U272" s="15"/>
      <c r="V272" s="15"/>
      <c r="W272" s="15"/>
    </row>
    <row r="273" spans="1:23" s="28" customFormat="1" ht="19.5" customHeight="1">
      <c r="A273" s="86"/>
      <c r="B273" s="87"/>
      <c r="C273" s="377" t="s">
        <v>792</v>
      </c>
      <c r="D273" s="85"/>
      <c r="E273" s="85"/>
      <c r="F273" s="85">
        <v>1300</v>
      </c>
      <c r="G273" s="85"/>
      <c r="H273" s="105"/>
      <c r="I273" s="974"/>
      <c r="J273" s="974"/>
      <c r="K273" s="974"/>
      <c r="L273" s="953"/>
      <c r="M273" s="953"/>
      <c r="N273" s="979"/>
      <c r="O273" s="979"/>
      <c r="P273" s="979"/>
      <c r="Q273" s="979"/>
      <c r="R273" s="979"/>
      <c r="S273" s="15"/>
      <c r="T273" s="15"/>
      <c r="U273" s="15"/>
      <c r="V273" s="15"/>
      <c r="W273" s="15"/>
    </row>
    <row r="274" spans="1:23" s="28" customFormat="1" ht="19.5" customHeight="1">
      <c r="A274" s="86"/>
      <c r="B274" s="87"/>
      <c r="C274" s="377" t="s">
        <v>360</v>
      </c>
      <c r="D274" s="85"/>
      <c r="E274" s="85"/>
      <c r="F274" s="85">
        <v>4700</v>
      </c>
      <c r="G274" s="85"/>
      <c r="H274" s="105"/>
      <c r="I274" s="974"/>
      <c r="J274" s="974"/>
      <c r="K274" s="974"/>
      <c r="L274" s="953"/>
      <c r="M274" s="953"/>
      <c r="N274" s="979"/>
      <c r="O274" s="979"/>
      <c r="P274" s="979"/>
      <c r="Q274" s="979"/>
      <c r="R274" s="979"/>
      <c r="S274" s="15"/>
      <c r="T274" s="15"/>
      <c r="U274" s="15"/>
      <c r="V274" s="15"/>
      <c r="W274" s="15"/>
    </row>
    <row r="275" spans="1:23" s="28" customFormat="1" ht="19.5" customHeight="1">
      <c r="A275" s="86"/>
      <c r="B275" s="87"/>
      <c r="C275" s="377" t="s">
        <v>344</v>
      </c>
      <c r="D275" s="85"/>
      <c r="E275" s="85"/>
      <c r="F275" s="85">
        <v>7800</v>
      </c>
      <c r="G275" s="85"/>
      <c r="H275" s="105"/>
      <c r="I275" s="974"/>
      <c r="J275" s="974"/>
      <c r="K275" s="974"/>
      <c r="L275" s="953"/>
      <c r="M275" s="953"/>
      <c r="N275" s="979"/>
      <c r="O275" s="979"/>
      <c r="P275" s="979"/>
      <c r="Q275" s="979"/>
      <c r="R275" s="979"/>
      <c r="S275" s="15"/>
      <c r="T275" s="15"/>
      <c r="U275" s="15"/>
      <c r="V275" s="15"/>
      <c r="W275" s="15"/>
    </row>
    <row r="276" spans="1:23" s="28" customFormat="1" ht="19.5" customHeight="1">
      <c r="A276" s="86"/>
      <c r="B276" s="87"/>
      <c r="C276" s="377" t="s">
        <v>862</v>
      </c>
      <c r="D276" s="85"/>
      <c r="E276" s="85"/>
      <c r="F276" s="85">
        <v>2500</v>
      </c>
      <c r="G276" s="85"/>
      <c r="H276" s="105"/>
      <c r="I276" s="974"/>
      <c r="J276" s="974"/>
      <c r="K276" s="974"/>
      <c r="L276" s="953"/>
      <c r="M276" s="953"/>
      <c r="N276" s="979"/>
      <c r="O276" s="979"/>
      <c r="P276" s="979"/>
      <c r="Q276" s="979"/>
      <c r="R276" s="979"/>
      <c r="S276" s="15"/>
      <c r="T276" s="15"/>
      <c r="U276" s="15"/>
      <c r="V276" s="15"/>
      <c r="W276" s="15"/>
    </row>
    <row r="277" spans="1:23" s="28" customFormat="1" ht="19.5" customHeight="1">
      <c r="A277" s="86"/>
      <c r="B277" s="87"/>
      <c r="C277" s="377" t="s">
        <v>854</v>
      </c>
      <c r="D277" s="85"/>
      <c r="E277" s="85"/>
      <c r="F277" s="85">
        <v>3300</v>
      </c>
      <c r="G277" s="85"/>
      <c r="H277" s="105"/>
      <c r="I277" s="974"/>
      <c r="J277" s="974"/>
      <c r="K277" s="974"/>
      <c r="L277" s="953"/>
      <c r="M277" s="953"/>
      <c r="N277" s="979"/>
      <c r="O277" s="979"/>
      <c r="P277" s="979"/>
      <c r="Q277" s="979"/>
      <c r="R277" s="979"/>
      <c r="S277" s="15"/>
      <c r="T277" s="15"/>
      <c r="U277" s="15"/>
      <c r="V277" s="15"/>
      <c r="W277" s="15"/>
    </row>
    <row r="278" spans="1:23" s="28" customFormat="1" ht="19.5" customHeight="1">
      <c r="A278" s="86"/>
      <c r="B278" s="87"/>
      <c r="C278" s="377" t="s">
        <v>703</v>
      </c>
      <c r="D278" s="85"/>
      <c r="E278" s="85"/>
      <c r="F278" s="85">
        <v>44600</v>
      </c>
      <c r="G278" s="85"/>
      <c r="H278" s="105"/>
      <c r="I278" s="974"/>
      <c r="J278" s="974"/>
      <c r="K278" s="974"/>
      <c r="L278" s="953"/>
      <c r="M278" s="953"/>
      <c r="N278" s="979"/>
      <c r="O278" s="979"/>
      <c r="P278" s="979"/>
      <c r="Q278" s="979"/>
      <c r="R278" s="979"/>
      <c r="S278" s="15"/>
      <c r="T278" s="15"/>
      <c r="U278" s="15"/>
      <c r="V278" s="15"/>
      <c r="W278" s="15"/>
    </row>
    <row r="279" spans="1:23" s="28" customFormat="1" ht="19.5" customHeight="1">
      <c r="A279" s="86"/>
      <c r="B279" s="358" t="s">
        <v>177</v>
      </c>
      <c r="C279" s="377"/>
      <c r="D279" s="85">
        <f>SUM(D280:D291)</f>
        <v>32034</v>
      </c>
      <c r="E279" s="85">
        <f>SUM(E280:E291)</f>
        <v>0</v>
      </c>
      <c r="F279" s="85">
        <f>SUM(F280:F291)</f>
        <v>572158</v>
      </c>
      <c r="G279" s="85">
        <f>SUM(G280:G291)</f>
        <v>0</v>
      </c>
      <c r="H279" s="105"/>
      <c r="I279" s="974"/>
      <c r="J279" s="974"/>
      <c r="K279" s="974"/>
      <c r="L279" s="953"/>
      <c r="M279" s="953"/>
      <c r="N279" s="979"/>
      <c r="O279" s="979"/>
      <c r="P279" s="979"/>
      <c r="Q279" s="979"/>
      <c r="R279" s="979"/>
      <c r="S279" s="15"/>
      <c r="T279" s="15"/>
      <c r="U279" s="15"/>
      <c r="V279" s="15"/>
      <c r="W279" s="15"/>
    </row>
    <row r="280" spans="1:23" s="28" customFormat="1" ht="19.5" customHeight="1">
      <c r="A280" s="86"/>
      <c r="B280" s="358"/>
      <c r="C280" s="377" t="s">
        <v>358</v>
      </c>
      <c r="D280" s="85"/>
      <c r="E280" s="85"/>
      <c r="F280" s="85">
        <f>22611+110000+40000+130000+70000+70000+5500-50000</f>
        <v>398111</v>
      </c>
      <c r="G280" s="85"/>
      <c r="H280" s="105"/>
      <c r="I280" s="974"/>
      <c r="J280" s="974"/>
      <c r="K280" s="974"/>
      <c r="L280" s="953"/>
      <c r="M280" s="953"/>
      <c r="N280" s="979"/>
      <c r="O280" s="979"/>
      <c r="P280" s="979"/>
      <c r="Q280" s="979"/>
      <c r="R280" s="979"/>
      <c r="S280" s="15"/>
      <c r="T280" s="15"/>
      <c r="U280" s="15"/>
      <c r="V280" s="15"/>
      <c r="W280" s="15"/>
    </row>
    <row r="281" spans="1:23" s="28" customFormat="1" ht="19.5" customHeight="1">
      <c r="A281" s="86"/>
      <c r="B281" s="87"/>
      <c r="C281" s="377" t="s">
        <v>359</v>
      </c>
      <c r="D281" s="85"/>
      <c r="E281" s="85"/>
      <c r="F281" s="85">
        <f>11080+38768+10000+25000+30000+50000</f>
        <v>164848</v>
      </c>
      <c r="G281" s="85"/>
      <c r="H281" s="105"/>
      <c r="I281" s="974"/>
      <c r="J281" s="974"/>
      <c r="K281" s="974"/>
      <c r="L281" s="953"/>
      <c r="M281" s="953"/>
      <c r="N281" s="979"/>
      <c r="O281" s="979"/>
      <c r="P281" s="979"/>
      <c r="Q281" s="979"/>
      <c r="R281" s="979"/>
      <c r="S281" s="15"/>
      <c r="T281" s="15"/>
      <c r="U281" s="15"/>
      <c r="V281" s="15"/>
      <c r="W281" s="15"/>
    </row>
    <row r="282" spans="1:23" s="28" customFormat="1" ht="19.5" customHeight="1">
      <c r="A282" s="86"/>
      <c r="B282" s="87"/>
      <c r="C282" s="377" t="s">
        <v>114</v>
      </c>
      <c r="D282" s="85">
        <f>4900+2430</f>
        <v>7330</v>
      </c>
      <c r="E282" s="85"/>
      <c r="F282" s="85"/>
      <c r="G282" s="85"/>
      <c r="H282" s="105"/>
      <c r="I282" s="974"/>
      <c r="J282" s="974"/>
      <c r="K282" s="974"/>
      <c r="L282" s="953"/>
      <c r="M282" s="953"/>
      <c r="N282" s="979"/>
      <c r="O282" s="979"/>
      <c r="P282" s="979"/>
      <c r="Q282" s="979"/>
      <c r="R282" s="979"/>
      <c r="S282" s="15"/>
      <c r="T282" s="15"/>
      <c r="U282" s="15"/>
      <c r="V282" s="15"/>
      <c r="W282" s="15"/>
    </row>
    <row r="283" spans="1:23" s="28" customFormat="1" ht="19.5" customHeight="1">
      <c r="A283" s="86"/>
      <c r="B283" s="87"/>
      <c r="C283" s="377" t="s">
        <v>793</v>
      </c>
      <c r="D283" s="85">
        <f>3600-100</f>
        <v>3500</v>
      </c>
      <c r="E283" s="85"/>
      <c r="F283" s="85"/>
      <c r="G283" s="85"/>
      <c r="H283" s="105"/>
      <c r="I283" s="974"/>
      <c r="J283" s="974"/>
      <c r="K283" s="974"/>
      <c r="L283" s="953"/>
      <c r="M283" s="953"/>
      <c r="N283" s="979"/>
      <c r="O283" s="979"/>
      <c r="P283" s="979"/>
      <c r="Q283" s="979"/>
      <c r="R283" s="979"/>
      <c r="S283" s="15"/>
      <c r="T283" s="15"/>
      <c r="U283" s="15"/>
      <c r="V283" s="15"/>
      <c r="W283" s="15"/>
    </row>
    <row r="284" spans="1:23" s="28" customFormat="1" ht="19.5" customHeight="1">
      <c r="A284" s="86"/>
      <c r="B284" s="87"/>
      <c r="C284" s="377" t="s">
        <v>196</v>
      </c>
      <c r="D284" s="85"/>
      <c r="E284" s="85"/>
      <c r="F284" s="85">
        <f>2119+1000</f>
        <v>3119</v>
      </c>
      <c r="G284" s="85"/>
      <c r="H284" s="105"/>
      <c r="I284" s="974"/>
      <c r="J284" s="974"/>
      <c r="K284" s="974"/>
      <c r="L284" s="953"/>
      <c r="M284" s="953"/>
      <c r="N284" s="979"/>
      <c r="O284" s="979"/>
      <c r="P284" s="979"/>
      <c r="Q284" s="979"/>
      <c r="R284" s="979"/>
      <c r="S284" s="15"/>
      <c r="T284" s="15"/>
      <c r="U284" s="15"/>
      <c r="V284" s="15"/>
      <c r="W284" s="15"/>
    </row>
    <row r="285" spans="1:23" s="28" customFormat="1" ht="19.5" customHeight="1">
      <c r="A285" s="86"/>
      <c r="B285" s="87"/>
      <c r="C285" s="377" t="s">
        <v>360</v>
      </c>
      <c r="D285" s="85"/>
      <c r="E285" s="85"/>
      <c r="F285" s="85">
        <v>5700</v>
      </c>
      <c r="G285" s="85"/>
      <c r="H285" s="105"/>
      <c r="I285" s="974"/>
      <c r="J285" s="974"/>
      <c r="K285" s="974"/>
      <c r="L285" s="953"/>
      <c r="M285" s="953"/>
      <c r="N285" s="979"/>
      <c r="O285" s="979"/>
      <c r="P285" s="979"/>
      <c r="Q285" s="979"/>
      <c r="R285" s="979"/>
      <c r="S285" s="15"/>
      <c r="T285" s="15"/>
      <c r="U285" s="15"/>
      <c r="V285" s="15"/>
      <c r="W285" s="15"/>
    </row>
    <row r="286" spans="1:23" s="28" customFormat="1" ht="19.5" customHeight="1">
      <c r="A286" s="86"/>
      <c r="B286" s="87"/>
      <c r="C286" s="377" t="s">
        <v>362</v>
      </c>
      <c r="D286" s="85">
        <f>2000-116</f>
        <v>1884</v>
      </c>
      <c r="E286" s="85"/>
      <c r="F286" s="85"/>
      <c r="G286" s="85"/>
      <c r="H286" s="105"/>
      <c r="I286" s="974"/>
      <c r="J286" s="974"/>
      <c r="K286" s="974"/>
      <c r="L286" s="953"/>
      <c r="M286" s="953"/>
      <c r="N286" s="979"/>
      <c r="O286" s="979"/>
      <c r="P286" s="979"/>
      <c r="Q286" s="979"/>
      <c r="R286" s="979"/>
      <c r="S286" s="15"/>
      <c r="T286" s="15"/>
      <c r="U286" s="15"/>
      <c r="V286" s="15"/>
      <c r="W286" s="15"/>
    </row>
    <row r="287" spans="1:23" s="28" customFormat="1" ht="19.5" customHeight="1">
      <c r="A287" s="86"/>
      <c r="B287" s="87"/>
      <c r="C287" s="377" t="s">
        <v>361</v>
      </c>
      <c r="D287" s="85">
        <f>122+1000</f>
        <v>1122</v>
      </c>
      <c r="E287" s="85"/>
      <c r="F287" s="85"/>
      <c r="G287" s="85"/>
      <c r="H287" s="105"/>
      <c r="I287" s="974"/>
      <c r="J287" s="974"/>
      <c r="K287" s="974"/>
      <c r="L287" s="953"/>
      <c r="M287" s="953"/>
      <c r="N287" s="979"/>
      <c r="O287" s="979"/>
      <c r="P287" s="979"/>
      <c r="Q287" s="979"/>
      <c r="R287" s="979"/>
      <c r="S287" s="15"/>
      <c r="T287" s="15"/>
      <c r="U287" s="15"/>
      <c r="V287" s="15"/>
      <c r="W287" s="15"/>
    </row>
    <row r="288" spans="1:23" s="28" customFormat="1" ht="19.5" customHeight="1">
      <c r="A288" s="86"/>
      <c r="B288" s="87"/>
      <c r="C288" s="377" t="s">
        <v>116</v>
      </c>
      <c r="D288" s="85">
        <f>200</f>
        <v>200</v>
      </c>
      <c r="E288" s="85"/>
      <c r="F288" s="85"/>
      <c r="G288" s="85"/>
      <c r="H288" s="105"/>
      <c r="I288" s="974"/>
      <c r="J288" s="974"/>
      <c r="K288" s="974"/>
      <c r="L288" s="953"/>
      <c r="M288" s="953"/>
      <c r="N288" s="979"/>
      <c r="O288" s="979"/>
      <c r="P288" s="979"/>
      <c r="Q288" s="979"/>
      <c r="R288" s="979"/>
      <c r="S288" s="15"/>
      <c r="T288" s="15"/>
      <c r="U288" s="15"/>
      <c r="V288" s="15"/>
      <c r="W288" s="15"/>
    </row>
    <row r="289" spans="1:23" s="28" customFormat="1" ht="19.5" customHeight="1">
      <c r="A289" s="86"/>
      <c r="B289" s="87"/>
      <c r="C289" s="377" t="s">
        <v>117</v>
      </c>
      <c r="D289" s="85">
        <f>200+700</f>
        <v>900</v>
      </c>
      <c r="E289" s="85"/>
      <c r="F289" s="85"/>
      <c r="G289" s="85"/>
      <c r="H289" s="105"/>
      <c r="I289" s="974"/>
      <c r="J289" s="974"/>
      <c r="K289" s="974"/>
      <c r="L289" s="953"/>
      <c r="M289" s="953"/>
      <c r="N289" s="979"/>
      <c r="O289" s="979"/>
      <c r="P289" s="979"/>
      <c r="Q289" s="979"/>
      <c r="R289" s="979"/>
      <c r="S289" s="15"/>
      <c r="T289" s="15"/>
      <c r="U289" s="15"/>
      <c r="V289" s="15"/>
      <c r="W289" s="15"/>
    </row>
    <row r="290" spans="1:23" s="28" customFormat="1" ht="19.5" customHeight="1">
      <c r="A290" s="86"/>
      <c r="B290" s="87"/>
      <c r="C290" s="377" t="s">
        <v>854</v>
      </c>
      <c r="D290" s="85">
        <f>17098</f>
        <v>17098</v>
      </c>
      <c r="E290" s="85"/>
      <c r="F290" s="85"/>
      <c r="G290" s="85"/>
      <c r="H290" s="105"/>
      <c r="I290" s="974"/>
      <c r="J290" s="974"/>
      <c r="K290" s="974"/>
      <c r="L290" s="953"/>
      <c r="M290" s="953"/>
      <c r="N290" s="979"/>
      <c r="O290" s="979"/>
      <c r="P290" s="979"/>
      <c r="Q290" s="979"/>
      <c r="R290" s="979"/>
      <c r="S290" s="15"/>
      <c r="T290" s="15"/>
      <c r="U290" s="15"/>
      <c r="V290" s="15"/>
      <c r="W290" s="15"/>
    </row>
    <row r="291" spans="1:23" s="28" customFormat="1" ht="19.5" customHeight="1">
      <c r="A291" s="86"/>
      <c r="B291" s="95"/>
      <c r="C291" s="377" t="s">
        <v>197</v>
      </c>
      <c r="D291" s="85"/>
      <c r="E291" s="85"/>
      <c r="F291" s="85">
        <v>380</v>
      </c>
      <c r="G291" s="85"/>
      <c r="H291" s="105"/>
      <c r="I291" s="974"/>
      <c r="J291" s="974"/>
      <c r="K291" s="974"/>
      <c r="L291" s="953"/>
      <c r="M291" s="953"/>
      <c r="N291" s="979"/>
      <c r="O291" s="979"/>
      <c r="P291" s="979"/>
      <c r="Q291" s="979"/>
      <c r="R291" s="979"/>
      <c r="S291" s="15"/>
      <c r="T291" s="15"/>
      <c r="U291" s="15"/>
      <c r="V291" s="15"/>
      <c r="W291" s="15"/>
    </row>
    <row r="292" spans="1:23" s="28" customFormat="1" ht="19.5" customHeight="1">
      <c r="A292" s="86"/>
      <c r="B292" s="158" t="s">
        <v>742</v>
      </c>
      <c r="C292" s="377" t="s">
        <v>862</v>
      </c>
      <c r="D292" s="85"/>
      <c r="E292" s="85"/>
      <c r="F292" s="85">
        <v>800</v>
      </c>
      <c r="G292" s="85"/>
      <c r="H292" s="105"/>
      <c r="I292" s="974"/>
      <c r="J292" s="974"/>
      <c r="K292" s="974"/>
      <c r="L292" s="953"/>
      <c r="M292" s="953"/>
      <c r="N292" s="979"/>
      <c r="O292" s="979"/>
      <c r="P292" s="979"/>
      <c r="Q292" s="979"/>
      <c r="R292" s="979"/>
      <c r="S292" s="15"/>
      <c r="T292" s="15"/>
      <c r="U292" s="15"/>
      <c r="V292" s="15"/>
      <c r="W292" s="15"/>
    </row>
    <row r="293" spans="1:23" s="28" customFormat="1" ht="19.5" customHeight="1">
      <c r="A293" s="86"/>
      <c r="B293" s="358" t="s">
        <v>354</v>
      </c>
      <c r="C293" s="84"/>
      <c r="D293" s="637">
        <f>SUM(D294:D297)</f>
        <v>2673</v>
      </c>
      <c r="E293" s="637">
        <f>SUM(E295:E297)</f>
        <v>0</v>
      </c>
      <c r="F293" s="637">
        <f>SUM(F294:F297)</f>
        <v>2833</v>
      </c>
      <c r="G293" s="637">
        <f>SUM(G295:G297)</f>
        <v>0</v>
      </c>
      <c r="H293" s="105"/>
      <c r="I293" s="974"/>
      <c r="J293" s="974"/>
      <c r="K293" s="974"/>
      <c r="L293" s="953"/>
      <c r="M293" s="953"/>
      <c r="N293" s="979"/>
      <c r="O293" s="979"/>
      <c r="P293" s="979"/>
      <c r="Q293" s="979"/>
      <c r="R293" s="979"/>
      <c r="S293" s="15"/>
      <c r="T293" s="15"/>
      <c r="U293" s="15"/>
      <c r="V293" s="15"/>
      <c r="W293" s="15"/>
    </row>
    <row r="294" spans="1:23" s="28" customFormat="1" ht="19.5" customHeight="1">
      <c r="A294" s="86"/>
      <c r="B294" s="358"/>
      <c r="C294" s="84" t="s">
        <v>196</v>
      </c>
      <c r="D294" s="637">
        <v>73</v>
      </c>
      <c r="E294" s="637"/>
      <c r="F294" s="637"/>
      <c r="G294" s="637"/>
      <c r="H294" s="105"/>
      <c r="I294" s="974"/>
      <c r="J294" s="974"/>
      <c r="K294" s="974"/>
      <c r="L294" s="953"/>
      <c r="M294" s="953"/>
      <c r="N294" s="979"/>
      <c r="O294" s="979"/>
      <c r="P294" s="979"/>
      <c r="Q294" s="979"/>
      <c r="R294" s="979"/>
      <c r="S294" s="15"/>
      <c r="T294" s="15"/>
      <c r="U294" s="15"/>
      <c r="V294" s="15"/>
      <c r="W294" s="15"/>
    </row>
    <row r="295" spans="1:23" s="28" customFormat="1" ht="19.5" customHeight="1">
      <c r="A295" s="86"/>
      <c r="B295" s="87"/>
      <c r="C295" s="84" t="s">
        <v>862</v>
      </c>
      <c r="D295" s="637">
        <v>2600</v>
      </c>
      <c r="E295" s="637"/>
      <c r="F295" s="637"/>
      <c r="G295" s="637"/>
      <c r="H295" s="105"/>
      <c r="I295" s="974"/>
      <c r="J295" s="974"/>
      <c r="K295" s="974"/>
      <c r="L295" s="953"/>
      <c r="M295" s="953"/>
      <c r="N295" s="979"/>
      <c r="O295" s="979"/>
      <c r="P295" s="979"/>
      <c r="Q295" s="979"/>
      <c r="R295" s="979"/>
      <c r="S295" s="15"/>
      <c r="T295" s="15"/>
      <c r="U295" s="15"/>
      <c r="V295" s="15"/>
      <c r="W295" s="15"/>
    </row>
    <row r="296" spans="1:23" s="28" customFormat="1" ht="19.5" customHeight="1">
      <c r="A296" s="86"/>
      <c r="B296" s="87"/>
      <c r="C296" s="84" t="s">
        <v>850</v>
      </c>
      <c r="D296" s="637"/>
      <c r="E296" s="637"/>
      <c r="F296" s="637">
        <f>73+160</f>
        <v>233</v>
      </c>
      <c r="G296" s="637"/>
      <c r="H296" s="105"/>
      <c r="I296" s="974"/>
      <c r="J296" s="974"/>
      <c r="K296" s="974"/>
      <c r="L296" s="953"/>
      <c r="M296" s="953"/>
      <c r="N296" s="979"/>
      <c r="O296" s="979"/>
      <c r="P296" s="979"/>
      <c r="Q296" s="979"/>
      <c r="R296" s="979"/>
      <c r="S296" s="15"/>
      <c r="T296" s="15"/>
      <c r="U296" s="15"/>
      <c r="V296" s="15"/>
      <c r="W296" s="15"/>
    </row>
    <row r="297" spans="1:23" s="28" customFormat="1" ht="19.5" customHeight="1">
      <c r="A297" s="86"/>
      <c r="B297" s="95"/>
      <c r="C297" s="84" t="s">
        <v>118</v>
      </c>
      <c r="D297" s="637"/>
      <c r="E297" s="637"/>
      <c r="F297" s="637">
        <v>2600</v>
      </c>
      <c r="G297" s="637"/>
      <c r="H297" s="105"/>
      <c r="I297" s="974"/>
      <c r="J297" s="974"/>
      <c r="K297" s="974"/>
      <c r="L297" s="953"/>
      <c r="M297" s="953"/>
      <c r="N297" s="979"/>
      <c r="O297" s="979"/>
      <c r="P297" s="979"/>
      <c r="Q297" s="979"/>
      <c r="R297" s="979"/>
      <c r="S297" s="15"/>
      <c r="T297" s="15"/>
      <c r="U297" s="15"/>
      <c r="V297" s="15"/>
      <c r="W297" s="15"/>
    </row>
    <row r="298" spans="1:23" s="28" customFormat="1" ht="19.5" customHeight="1">
      <c r="A298" s="86"/>
      <c r="B298" s="95" t="s">
        <v>791</v>
      </c>
      <c r="C298" s="158"/>
      <c r="D298" s="637">
        <f>SUM(D299:D310)</f>
        <v>14987</v>
      </c>
      <c r="E298" s="637">
        <f>SUM(E299:E310)</f>
        <v>0</v>
      </c>
      <c r="F298" s="637">
        <f>SUM(F299:F310)</f>
        <v>24649</v>
      </c>
      <c r="G298" s="637">
        <f>SUM(G299:G310)</f>
        <v>0</v>
      </c>
      <c r="H298" s="105"/>
      <c r="I298" s="974"/>
      <c r="J298" s="974"/>
      <c r="K298" s="974"/>
      <c r="L298" s="953"/>
      <c r="M298" s="953"/>
      <c r="N298" s="979"/>
      <c r="O298" s="979"/>
      <c r="P298" s="979"/>
      <c r="Q298" s="979"/>
      <c r="R298" s="979"/>
      <c r="S298" s="15"/>
      <c r="T298" s="15"/>
      <c r="U298" s="15"/>
      <c r="V298" s="15"/>
      <c r="W298" s="15"/>
    </row>
    <row r="299" spans="1:23" s="28" customFormat="1" ht="19.5" customHeight="1">
      <c r="A299" s="86"/>
      <c r="B299" s="87"/>
      <c r="C299" s="158" t="s">
        <v>358</v>
      </c>
      <c r="D299" s="85"/>
      <c r="E299" s="85"/>
      <c r="F299" s="85">
        <f>10000-7431+2000</f>
        <v>4569</v>
      </c>
      <c r="G299" s="85"/>
      <c r="H299" s="105"/>
      <c r="I299" s="974"/>
      <c r="J299" s="974"/>
      <c r="K299" s="974"/>
      <c r="L299" s="953"/>
      <c r="M299" s="953"/>
      <c r="N299" s="979"/>
      <c r="O299" s="979"/>
      <c r="P299" s="979"/>
      <c r="Q299" s="979"/>
      <c r="R299" s="979"/>
      <c r="S299" s="15"/>
      <c r="T299" s="15"/>
      <c r="U299" s="15"/>
      <c r="V299" s="15"/>
      <c r="W299" s="15"/>
    </row>
    <row r="300" spans="1:23" s="28" customFormat="1" ht="19.5" customHeight="1">
      <c r="A300" s="86"/>
      <c r="B300" s="87"/>
      <c r="C300" s="158" t="s">
        <v>359</v>
      </c>
      <c r="D300" s="85">
        <f>2500-849-130-1500</f>
        <v>21</v>
      </c>
      <c r="E300" s="85"/>
      <c r="F300" s="85"/>
      <c r="G300" s="85"/>
      <c r="H300" s="105"/>
      <c r="I300" s="974"/>
      <c r="J300" s="974"/>
      <c r="K300" s="974"/>
      <c r="L300" s="953"/>
      <c r="M300" s="953"/>
      <c r="N300" s="979"/>
      <c r="O300" s="979"/>
      <c r="P300" s="979"/>
      <c r="Q300" s="979"/>
      <c r="R300" s="979"/>
      <c r="S300" s="15"/>
      <c r="T300" s="15"/>
      <c r="U300" s="15"/>
      <c r="V300" s="15"/>
      <c r="W300" s="15"/>
    </row>
    <row r="301" spans="1:23" s="28" customFormat="1" ht="19.5" customHeight="1">
      <c r="A301" s="86"/>
      <c r="B301" s="87"/>
      <c r="C301" s="158" t="s">
        <v>114</v>
      </c>
      <c r="D301" s="85">
        <f>1000+72-110+700+800</f>
        <v>2462</v>
      </c>
      <c r="E301" s="85"/>
      <c r="F301" s="85"/>
      <c r="G301" s="85"/>
      <c r="H301" s="105"/>
      <c r="I301" s="974"/>
      <c r="J301" s="974"/>
      <c r="K301" s="974"/>
      <c r="L301" s="953"/>
      <c r="M301" s="953"/>
      <c r="N301" s="979"/>
      <c r="O301" s="979"/>
      <c r="P301" s="979"/>
      <c r="Q301" s="979"/>
      <c r="R301" s="979"/>
      <c r="S301" s="15"/>
      <c r="T301" s="15"/>
      <c r="U301" s="15"/>
      <c r="V301" s="15"/>
      <c r="W301" s="15"/>
    </row>
    <row r="302" spans="1:23" s="28" customFormat="1" ht="19.5" customHeight="1">
      <c r="A302" s="86"/>
      <c r="B302" s="87"/>
      <c r="C302" s="158" t="s">
        <v>196</v>
      </c>
      <c r="D302" s="85">
        <v>1000</v>
      </c>
      <c r="E302" s="85"/>
      <c r="F302" s="85"/>
      <c r="G302" s="85"/>
      <c r="H302" s="105"/>
      <c r="I302" s="974"/>
      <c r="J302" s="974"/>
      <c r="K302" s="974"/>
      <c r="L302" s="953"/>
      <c r="M302" s="953"/>
      <c r="N302" s="979"/>
      <c r="O302" s="979"/>
      <c r="P302" s="979"/>
      <c r="Q302" s="979"/>
      <c r="R302" s="979"/>
      <c r="S302" s="15"/>
      <c r="T302" s="15"/>
      <c r="U302" s="15"/>
      <c r="V302" s="15"/>
      <c r="W302" s="15"/>
    </row>
    <row r="303" spans="1:23" s="28" customFormat="1" ht="19.5" customHeight="1">
      <c r="A303" s="86"/>
      <c r="B303" s="87"/>
      <c r="C303" s="158" t="s">
        <v>849</v>
      </c>
      <c r="D303" s="85"/>
      <c r="E303" s="85"/>
      <c r="F303" s="85">
        <f>5500+5000+9200</f>
        <v>19700</v>
      </c>
      <c r="G303" s="85"/>
      <c r="H303" s="105"/>
      <c r="I303" s="974"/>
      <c r="J303" s="974"/>
      <c r="K303" s="974"/>
      <c r="L303" s="953"/>
      <c r="M303" s="953"/>
      <c r="N303" s="979"/>
      <c r="O303" s="979"/>
      <c r="P303" s="979"/>
      <c r="Q303" s="979"/>
      <c r="R303" s="979"/>
      <c r="S303" s="15"/>
      <c r="T303" s="15"/>
      <c r="U303" s="15"/>
      <c r="V303" s="15"/>
      <c r="W303" s="15"/>
    </row>
    <row r="304" spans="1:23" s="28" customFormat="1" ht="19.5" customHeight="1">
      <c r="A304" s="86"/>
      <c r="B304" s="87"/>
      <c r="C304" s="158" t="s">
        <v>360</v>
      </c>
      <c r="D304" s="637">
        <f>1000+5000</f>
        <v>6000</v>
      </c>
      <c r="E304" s="637"/>
      <c r="F304" s="637"/>
      <c r="G304" s="637"/>
      <c r="H304" s="105"/>
      <c r="I304" s="974"/>
      <c r="J304" s="974"/>
      <c r="K304" s="974"/>
      <c r="L304" s="953"/>
      <c r="M304" s="953"/>
      <c r="N304" s="979"/>
      <c r="O304" s="979"/>
      <c r="P304" s="979"/>
      <c r="Q304" s="979"/>
      <c r="R304" s="979"/>
      <c r="S304" s="15"/>
      <c r="T304" s="15"/>
      <c r="U304" s="15"/>
      <c r="V304" s="15"/>
      <c r="W304" s="15"/>
    </row>
    <row r="305" spans="1:23" s="28" customFormat="1" ht="19.5" customHeight="1">
      <c r="A305" s="86"/>
      <c r="B305" s="87"/>
      <c r="C305" s="158" t="s">
        <v>362</v>
      </c>
      <c r="D305" s="637">
        <f>490-55</f>
        <v>435</v>
      </c>
      <c r="E305" s="637"/>
      <c r="F305" s="637"/>
      <c r="G305" s="637"/>
      <c r="H305" s="105"/>
      <c r="I305" s="974"/>
      <c r="J305" s="974"/>
      <c r="K305" s="974"/>
      <c r="L305" s="953"/>
      <c r="M305" s="953"/>
      <c r="N305" s="979"/>
      <c r="O305" s="979"/>
      <c r="P305" s="979"/>
      <c r="Q305" s="979"/>
      <c r="R305" s="979"/>
      <c r="S305" s="15"/>
      <c r="T305" s="15"/>
      <c r="U305" s="15"/>
      <c r="V305" s="15"/>
      <c r="W305" s="15"/>
    </row>
    <row r="306" spans="1:23" s="28" customFormat="1" ht="19.5" customHeight="1">
      <c r="A306" s="86"/>
      <c r="B306" s="87"/>
      <c r="C306" s="158" t="s">
        <v>862</v>
      </c>
      <c r="D306" s="637">
        <f>300+1000-600+2000</f>
        <v>2700</v>
      </c>
      <c r="E306" s="637"/>
      <c r="F306" s="637"/>
      <c r="G306" s="637"/>
      <c r="H306" s="105"/>
      <c r="I306" s="974"/>
      <c r="J306" s="974"/>
      <c r="K306" s="974"/>
      <c r="L306" s="953"/>
      <c r="M306" s="953"/>
      <c r="N306" s="979"/>
      <c r="O306" s="979"/>
      <c r="P306" s="979"/>
      <c r="Q306" s="979"/>
      <c r="R306" s="979"/>
      <c r="S306" s="15"/>
      <c r="T306" s="15"/>
      <c r="U306" s="15"/>
      <c r="V306" s="15"/>
      <c r="W306" s="15"/>
    </row>
    <row r="307" spans="1:23" s="28" customFormat="1" ht="19.5" customHeight="1">
      <c r="A307" s="86"/>
      <c r="B307" s="87"/>
      <c r="C307" s="377" t="s">
        <v>124</v>
      </c>
      <c r="D307" s="85">
        <f>200+400</f>
        <v>600</v>
      </c>
      <c r="E307" s="85"/>
      <c r="F307" s="85"/>
      <c r="G307" s="85"/>
      <c r="H307" s="105"/>
      <c r="I307" s="974"/>
      <c r="J307" s="974"/>
      <c r="K307" s="974"/>
      <c r="L307" s="953"/>
      <c r="M307" s="953"/>
      <c r="N307" s="979"/>
      <c r="O307" s="979"/>
      <c r="P307" s="979"/>
      <c r="Q307" s="979"/>
      <c r="R307" s="979"/>
      <c r="S307" s="15"/>
      <c r="T307" s="15"/>
      <c r="U307" s="15"/>
      <c r="V307" s="15"/>
      <c r="W307" s="15"/>
    </row>
    <row r="308" spans="1:23" s="28" customFormat="1" ht="19.5" customHeight="1">
      <c r="A308" s="86"/>
      <c r="B308" s="87"/>
      <c r="C308" s="377" t="s">
        <v>854</v>
      </c>
      <c r="D308" s="85">
        <f>810-283+312+530</f>
        <v>1369</v>
      </c>
      <c r="E308" s="85"/>
      <c r="F308" s="85"/>
      <c r="G308" s="85"/>
      <c r="H308" s="105"/>
      <c r="I308" s="974"/>
      <c r="J308" s="974"/>
      <c r="K308" s="974"/>
      <c r="L308" s="953"/>
      <c r="M308" s="953"/>
      <c r="N308" s="979"/>
      <c r="O308" s="979"/>
      <c r="P308" s="979"/>
      <c r="Q308" s="979"/>
      <c r="R308" s="979"/>
      <c r="S308" s="15"/>
      <c r="T308" s="15"/>
      <c r="U308" s="15"/>
      <c r="V308" s="15"/>
      <c r="W308" s="15"/>
    </row>
    <row r="309" spans="1:23" s="28" customFormat="1" ht="19.5" customHeight="1">
      <c r="A309" s="86"/>
      <c r="B309" s="87"/>
      <c r="C309" s="377" t="s">
        <v>197</v>
      </c>
      <c r="D309" s="85"/>
      <c r="E309" s="85"/>
      <c r="F309" s="85">
        <v>380</v>
      </c>
      <c r="G309" s="85"/>
      <c r="H309" s="105"/>
      <c r="I309" s="974"/>
      <c r="J309" s="974"/>
      <c r="K309" s="974"/>
      <c r="L309" s="953"/>
      <c r="M309" s="953"/>
      <c r="N309" s="979"/>
      <c r="O309" s="979"/>
      <c r="P309" s="979"/>
      <c r="Q309" s="979"/>
      <c r="R309" s="979"/>
      <c r="S309" s="15"/>
      <c r="T309" s="15"/>
      <c r="U309" s="15"/>
      <c r="V309" s="15"/>
      <c r="W309" s="15"/>
    </row>
    <row r="310" spans="1:23" s="28" customFormat="1" ht="19.5" customHeight="1">
      <c r="A310" s="86"/>
      <c r="B310" s="87"/>
      <c r="C310" s="377" t="s">
        <v>118</v>
      </c>
      <c r="D310" s="85">
        <v>400</v>
      </c>
      <c r="E310" s="85"/>
      <c r="F310" s="85"/>
      <c r="G310" s="85"/>
      <c r="H310" s="105"/>
      <c r="I310" s="974"/>
      <c r="J310" s="974"/>
      <c r="K310" s="974"/>
      <c r="L310" s="953"/>
      <c r="M310" s="953"/>
      <c r="N310" s="979"/>
      <c r="O310" s="979"/>
      <c r="P310" s="979"/>
      <c r="Q310" s="979"/>
      <c r="R310" s="979"/>
      <c r="S310" s="15"/>
      <c r="T310" s="15"/>
      <c r="U310" s="15"/>
      <c r="V310" s="15"/>
      <c r="W310" s="15"/>
    </row>
    <row r="311" spans="1:23" s="28" customFormat="1" ht="19.5" customHeight="1">
      <c r="A311" s="86"/>
      <c r="B311" s="358" t="s">
        <v>64</v>
      </c>
      <c r="C311" s="377"/>
      <c r="D311" s="85">
        <f>SUM(D312:D314)</f>
        <v>0</v>
      </c>
      <c r="E311" s="85">
        <f>SUM(E312:E314)</f>
        <v>0</v>
      </c>
      <c r="F311" s="85">
        <f>SUM(F312:F314)</f>
        <v>6575.25</v>
      </c>
      <c r="G311" s="85">
        <f>SUM(G312:G314)</f>
        <v>0</v>
      </c>
      <c r="H311" s="105"/>
      <c r="I311" s="974"/>
      <c r="J311" s="974"/>
      <c r="K311" s="974"/>
      <c r="L311" s="953"/>
      <c r="M311" s="953"/>
      <c r="N311" s="979"/>
      <c r="O311" s="979"/>
      <c r="P311" s="979"/>
      <c r="Q311" s="979"/>
      <c r="R311" s="979"/>
      <c r="S311" s="15"/>
      <c r="T311" s="15"/>
      <c r="U311" s="15"/>
      <c r="V311" s="15"/>
      <c r="W311" s="15"/>
    </row>
    <row r="312" spans="1:23" s="28" customFormat="1" ht="19.5" customHeight="1">
      <c r="A312" s="86"/>
      <c r="B312" s="358"/>
      <c r="C312" s="377" t="s">
        <v>729</v>
      </c>
      <c r="D312" s="85"/>
      <c r="E312" s="85"/>
      <c r="F312" s="85">
        <v>5500</v>
      </c>
      <c r="G312" s="85"/>
      <c r="H312" s="105"/>
      <c r="I312" s="974"/>
      <c r="J312" s="974"/>
      <c r="K312" s="974"/>
      <c r="L312" s="953"/>
      <c r="M312" s="953"/>
      <c r="N312" s="979"/>
      <c r="O312" s="979"/>
      <c r="P312" s="979"/>
      <c r="Q312" s="979"/>
      <c r="R312" s="979"/>
      <c r="S312" s="15"/>
      <c r="T312" s="15"/>
      <c r="U312" s="15"/>
      <c r="V312" s="15"/>
      <c r="W312" s="15"/>
    </row>
    <row r="313" spans="1:23" s="28" customFormat="1" ht="19.5" customHeight="1">
      <c r="A313" s="86"/>
      <c r="B313" s="87"/>
      <c r="C313" s="377" t="s">
        <v>359</v>
      </c>
      <c r="D313" s="85"/>
      <c r="E313" s="85"/>
      <c r="F313" s="85">
        <v>940.5</v>
      </c>
      <c r="G313" s="85"/>
      <c r="H313" s="105"/>
      <c r="I313" s="974"/>
      <c r="J313" s="974"/>
      <c r="K313" s="974"/>
      <c r="L313" s="953"/>
      <c r="M313" s="953"/>
      <c r="N313" s="979"/>
      <c r="O313" s="979"/>
      <c r="P313" s="979"/>
      <c r="Q313" s="979"/>
      <c r="R313" s="979"/>
      <c r="S313" s="15"/>
      <c r="T313" s="15"/>
      <c r="U313" s="15"/>
      <c r="V313" s="15"/>
      <c r="W313" s="15"/>
    </row>
    <row r="314" spans="1:23" s="28" customFormat="1" ht="19.5" customHeight="1">
      <c r="A314" s="86"/>
      <c r="B314" s="87"/>
      <c r="C314" s="377" t="s">
        <v>114</v>
      </c>
      <c r="D314" s="85"/>
      <c r="E314" s="85"/>
      <c r="F314" s="85">
        <v>134.75</v>
      </c>
      <c r="G314" s="85"/>
      <c r="H314" s="105"/>
      <c r="I314" s="974"/>
      <c r="J314" s="974"/>
      <c r="K314" s="974"/>
      <c r="L314" s="953"/>
      <c r="M314" s="953"/>
      <c r="N314" s="979"/>
      <c r="O314" s="979"/>
      <c r="P314" s="979"/>
      <c r="Q314" s="979"/>
      <c r="R314" s="979"/>
      <c r="S314" s="15"/>
      <c r="T314" s="15"/>
      <c r="U314" s="15"/>
      <c r="V314" s="15"/>
      <c r="W314" s="15"/>
    </row>
    <row r="315" spans="1:23" s="29" customFormat="1" ht="19.5" customHeight="1">
      <c r="A315" s="667" t="s">
        <v>643</v>
      </c>
      <c r="B315" s="82"/>
      <c r="C315" s="117"/>
      <c r="D315" s="81">
        <f>D316+D317</f>
        <v>0</v>
      </c>
      <c r="E315" s="81"/>
      <c r="F315" s="81">
        <f>F316+F317</f>
        <v>120000</v>
      </c>
      <c r="G315" s="81"/>
      <c r="H315" s="103"/>
      <c r="I315" s="969"/>
      <c r="J315" s="969"/>
      <c r="K315" s="969"/>
      <c r="L315" s="948"/>
      <c r="M315" s="948"/>
      <c r="N315" s="399"/>
      <c r="O315" s="399"/>
      <c r="P315" s="399"/>
      <c r="Q315" s="399"/>
      <c r="R315" s="399"/>
      <c r="S315" s="118"/>
      <c r="T315" s="118"/>
      <c r="U315" s="118"/>
      <c r="V315" s="118"/>
      <c r="W315" s="118"/>
    </row>
    <row r="316" spans="1:23" s="28" customFormat="1" ht="19.5" customHeight="1">
      <c r="A316" s="86"/>
      <c r="B316" s="358" t="s">
        <v>647</v>
      </c>
      <c r="C316" s="377" t="s">
        <v>648</v>
      </c>
      <c r="D316" s="85"/>
      <c r="E316" s="85"/>
      <c r="F316" s="85">
        <v>100000</v>
      </c>
      <c r="G316" s="85"/>
      <c r="H316" s="105"/>
      <c r="I316" s="974"/>
      <c r="J316" s="974"/>
      <c r="K316" s="974"/>
      <c r="L316" s="953"/>
      <c r="M316" s="953"/>
      <c r="N316" s="979"/>
      <c r="O316" s="979"/>
      <c r="P316" s="979"/>
      <c r="Q316" s="979"/>
      <c r="R316" s="979"/>
      <c r="S316" s="15"/>
      <c r="T316" s="15"/>
      <c r="U316" s="15"/>
      <c r="V316" s="15"/>
      <c r="W316" s="15"/>
    </row>
    <row r="317" spans="1:23" s="28" customFormat="1" ht="19.5" customHeight="1">
      <c r="A317" s="86"/>
      <c r="B317" s="358" t="s">
        <v>644</v>
      </c>
      <c r="C317" s="377"/>
      <c r="D317" s="85">
        <f>SUM(D318:D321)</f>
        <v>0</v>
      </c>
      <c r="E317" s="85"/>
      <c r="F317" s="85">
        <f>SUM(F318:F321)</f>
        <v>20000</v>
      </c>
      <c r="G317" s="85"/>
      <c r="H317" s="105"/>
      <c r="I317" s="974"/>
      <c r="J317" s="974"/>
      <c r="K317" s="974"/>
      <c r="L317" s="953"/>
      <c r="M317" s="953"/>
      <c r="N317" s="979"/>
      <c r="O317" s="979"/>
      <c r="P317" s="979"/>
      <c r="Q317" s="979"/>
      <c r="R317" s="979"/>
      <c r="S317" s="15"/>
      <c r="T317" s="15"/>
      <c r="U317" s="15"/>
      <c r="V317" s="15"/>
      <c r="W317" s="15"/>
    </row>
    <row r="318" spans="1:23" s="28" customFormat="1" ht="19.5" customHeight="1">
      <c r="A318" s="86"/>
      <c r="B318" s="358"/>
      <c r="C318" s="377" t="s">
        <v>793</v>
      </c>
      <c r="D318" s="85"/>
      <c r="E318" s="85"/>
      <c r="F318" s="85">
        <v>4000</v>
      </c>
      <c r="G318" s="85"/>
      <c r="H318" s="105"/>
      <c r="I318" s="974"/>
      <c r="J318" s="974"/>
      <c r="K318" s="974"/>
      <c r="L318" s="953"/>
      <c r="M318" s="953"/>
      <c r="N318" s="979"/>
      <c r="O318" s="979"/>
      <c r="P318" s="979"/>
      <c r="Q318" s="979"/>
      <c r="R318" s="979"/>
      <c r="S318" s="15"/>
      <c r="T318" s="15"/>
      <c r="U318" s="15"/>
      <c r="V318" s="15"/>
      <c r="W318" s="15"/>
    </row>
    <row r="319" spans="1:23" s="28" customFormat="1" ht="19.5" customHeight="1">
      <c r="A319" s="86"/>
      <c r="B319" s="87"/>
      <c r="C319" s="377" t="s">
        <v>360</v>
      </c>
      <c r="D319" s="85"/>
      <c r="E319" s="85"/>
      <c r="F319" s="85">
        <v>1000</v>
      </c>
      <c r="G319" s="85"/>
      <c r="H319" s="105"/>
      <c r="I319" s="974"/>
      <c r="J319" s="974"/>
      <c r="K319" s="974"/>
      <c r="L319" s="953"/>
      <c r="M319" s="953"/>
      <c r="N319" s="979"/>
      <c r="O319" s="979"/>
      <c r="P319" s="979"/>
      <c r="Q319" s="979"/>
      <c r="R319" s="979"/>
      <c r="S319" s="15"/>
      <c r="T319" s="15"/>
      <c r="U319" s="15"/>
      <c r="V319" s="15"/>
      <c r="W319" s="15"/>
    </row>
    <row r="320" spans="1:23" s="28" customFormat="1" ht="19.5" customHeight="1">
      <c r="A320" s="86"/>
      <c r="B320" s="87"/>
      <c r="C320" s="377" t="s">
        <v>344</v>
      </c>
      <c r="D320" s="85"/>
      <c r="E320" s="85"/>
      <c r="F320" s="85">
        <v>500</v>
      </c>
      <c r="G320" s="85"/>
      <c r="H320" s="105"/>
      <c r="I320" s="974"/>
      <c r="J320" s="974"/>
      <c r="K320" s="974"/>
      <c r="L320" s="953"/>
      <c r="M320" s="953"/>
      <c r="N320" s="979"/>
      <c r="O320" s="979"/>
      <c r="P320" s="979"/>
      <c r="Q320" s="979"/>
      <c r="R320" s="979"/>
      <c r="S320" s="15"/>
      <c r="T320" s="15"/>
      <c r="U320" s="15"/>
      <c r="V320" s="15"/>
      <c r="W320" s="15"/>
    </row>
    <row r="321" spans="1:23" s="28" customFormat="1" ht="19.5" customHeight="1">
      <c r="A321" s="86"/>
      <c r="B321" s="87"/>
      <c r="C321" s="377" t="s">
        <v>862</v>
      </c>
      <c r="D321" s="85"/>
      <c r="E321" s="85"/>
      <c r="F321" s="85">
        <v>14500</v>
      </c>
      <c r="G321" s="85"/>
      <c r="H321" s="105"/>
      <c r="I321" s="974"/>
      <c r="J321" s="974"/>
      <c r="K321" s="974"/>
      <c r="L321" s="953"/>
      <c r="M321" s="953"/>
      <c r="N321" s="979"/>
      <c r="O321" s="979"/>
      <c r="P321" s="979"/>
      <c r="Q321" s="979"/>
      <c r="R321" s="979"/>
      <c r="S321" s="15"/>
      <c r="T321" s="15"/>
      <c r="U321" s="15"/>
      <c r="V321" s="15"/>
      <c r="W321" s="15"/>
    </row>
    <row r="322" spans="1:23" s="29" customFormat="1" ht="19.5" customHeight="1">
      <c r="A322" s="667" t="s">
        <v>663</v>
      </c>
      <c r="B322" s="80"/>
      <c r="C322" s="83"/>
      <c r="D322" s="81">
        <f>D323+D324</f>
        <v>8500</v>
      </c>
      <c r="E322" s="81"/>
      <c r="F322" s="81">
        <f>F323+F324</f>
        <v>268500</v>
      </c>
      <c r="G322" s="81"/>
      <c r="H322" s="103"/>
      <c r="I322" s="969"/>
      <c r="J322" s="969"/>
      <c r="K322" s="969"/>
      <c r="L322" s="948"/>
      <c r="M322" s="948"/>
      <c r="N322" s="399"/>
      <c r="O322" s="399"/>
      <c r="P322" s="399"/>
      <c r="Q322" s="399"/>
      <c r="R322" s="399"/>
      <c r="S322" s="118"/>
      <c r="T322" s="118"/>
      <c r="U322" s="118"/>
      <c r="V322" s="118"/>
      <c r="W322" s="118"/>
    </row>
    <row r="323" spans="1:23" s="28" customFormat="1" ht="19.5" customHeight="1">
      <c r="A323" s="86"/>
      <c r="B323" s="158" t="s">
        <v>661</v>
      </c>
      <c r="C323" s="84" t="s">
        <v>662</v>
      </c>
      <c r="D323" s="85"/>
      <c r="E323" s="85"/>
      <c r="F323" s="85">
        <v>260000</v>
      </c>
      <c r="G323" s="85"/>
      <c r="H323" s="105"/>
      <c r="I323" s="974"/>
      <c r="J323" s="974"/>
      <c r="K323" s="974"/>
      <c r="L323" s="953"/>
      <c r="M323" s="953"/>
      <c r="N323" s="979"/>
      <c r="O323" s="979"/>
      <c r="P323" s="979"/>
      <c r="Q323" s="979"/>
      <c r="R323" s="979"/>
      <c r="S323" s="15"/>
      <c r="T323" s="15"/>
      <c r="U323" s="15"/>
      <c r="V323" s="15"/>
      <c r="W323" s="15"/>
    </row>
    <row r="324" spans="1:23" s="28" customFormat="1" ht="19.5" customHeight="1">
      <c r="A324" s="86"/>
      <c r="B324" s="158" t="s">
        <v>664</v>
      </c>
      <c r="C324" s="359"/>
      <c r="D324" s="85">
        <f>SUM(D325:D326)</f>
        <v>8500</v>
      </c>
      <c r="E324" s="85"/>
      <c r="F324" s="85">
        <f>SUM(F325:F326)</f>
        <v>8500</v>
      </c>
      <c r="G324" s="85"/>
      <c r="H324" s="105"/>
      <c r="I324" s="974"/>
      <c r="J324" s="974"/>
      <c r="K324" s="974"/>
      <c r="L324" s="953"/>
      <c r="M324" s="953"/>
      <c r="N324" s="979"/>
      <c r="O324" s="979"/>
      <c r="P324" s="979"/>
      <c r="Q324" s="979"/>
      <c r="R324" s="979"/>
      <c r="S324" s="15"/>
      <c r="T324" s="15"/>
      <c r="U324" s="15"/>
      <c r="V324" s="15"/>
      <c r="W324" s="15"/>
    </row>
    <row r="325" spans="1:23" s="28" customFormat="1" ht="19.5" customHeight="1">
      <c r="A325" s="86"/>
      <c r="B325" s="87"/>
      <c r="C325" s="377" t="s">
        <v>358</v>
      </c>
      <c r="D325" s="85">
        <v>8500</v>
      </c>
      <c r="E325" s="85"/>
      <c r="F325" s="85"/>
      <c r="G325" s="85"/>
      <c r="H325" s="105"/>
      <c r="I325" s="974"/>
      <c r="J325" s="974"/>
      <c r="K325" s="974"/>
      <c r="L325" s="953"/>
      <c r="M325" s="953"/>
      <c r="N325" s="979"/>
      <c r="O325" s="979"/>
      <c r="P325" s="979"/>
      <c r="Q325" s="979"/>
      <c r="R325" s="979"/>
      <c r="S325" s="15"/>
      <c r="T325" s="15"/>
      <c r="U325" s="15"/>
      <c r="V325" s="15"/>
      <c r="W325" s="15"/>
    </row>
    <row r="326" spans="1:23" s="28" customFormat="1" ht="19.5" customHeight="1">
      <c r="A326" s="86"/>
      <c r="B326" s="95"/>
      <c r="C326" s="377" t="s">
        <v>703</v>
      </c>
      <c r="D326" s="85"/>
      <c r="E326" s="85"/>
      <c r="F326" s="85">
        <v>8500</v>
      </c>
      <c r="G326" s="85"/>
      <c r="H326" s="105"/>
      <c r="I326" s="974"/>
      <c r="J326" s="974"/>
      <c r="K326" s="974"/>
      <c r="L326" s="953"/>
      <c r="M326" s="953"/>
      <c r="N326" s="979"/>
      <c r="O326" s="979"/>
      <c r="P326" s="979"/>
      <c r="Q326" s="979"/>
      <c r="R326" s="979"/>
      <c r="S326" s="15"/>
      <c r="T326" s="15"/>
      <c r="U326" s="15"/>
      <c r="V326" s="15"/>
      <c r="W326" s="15"/>
    </row>
    <row r="327" spans="1:23" s="29" customFormat="1" ht="19.5" customHeight="1">
      <c r="A327" s="80" t="s">
        <v>289</v>
      </c>
      <c r="B327" s="418"/>
      <c r="C327" s="80"/>
      <c r="D327" s="81">
        <f>D328+D345</f>
        <v>286608.39</v>
      </c>
      <c r="E327" s="81">
        <f>E345</f>
        <v>0</v>
      </c>
      <c r="F327" s="81">
        <f>F328+F345</f>
        <v>32073.43</v>
      </c>
      <c r="G327" s="81">
        <f>G345</f>
        <v>0</v>
      </c>
      <c r="H327" s="103"/>
      <c r="I327" s="969"/>
      <c r="J327" s="969"/>
      <c r="K327" s="969"/>
      <c r="L327" s="948"/>
      <c r="M327" s="948"/>
      <c r="N327" s="399"/>
      <c r="O327" s="399"/>
      <c r="P327" s="399"/>
      <c r="Q327" s="399"/>
      <c r="R327" s="399"/>
      <c r="S327" s="118"/>
      <c r="T327" s="118"/>
      <c r="U327" s="118"/>
      <c r="V327" s="118"/>
      <c r="W327" s="118"/>
    </row>
    <row r="328" spans="1:23" s="28" customFormat="1" ht="19.5" customHeight="1">
      <c r="A328" s="86"/>
      <c r="B328" s="87" t="s">
        <v>641</v>
      </c>
      <c r="C328" s="158"/>
      <c r="D328" s="85">
        <f>SUM(D329:D344)</f>
        <v>77399</v>
      </c>
      <c r="E328" s="85"/>
      <c r="F328" s="85">
        <f>SUM(F329:F344)</f>
        <v>1225</v>
      </c>
      <c r="G328" s="85"/>
      <c r="H328" s="105"/>
      <c r="I328" s="974"/>
      <c r="J328" s="974"/>
      <c r="K328" s="974"/>
      <c r="L328" s="953"/>
      <c r="M328" s="953"/>
      <c r="N328" s="979"/>
      <c r="O328" s="979"/>
      <c r="P328" s="979"/>
      <c r="Q328" s="979"/>
      <c r="R328" s="979"/>
      <c r="S328" s="15"/>
      <c r="T328" s="15"/>
      <c r="U328" s="15"/>
      <c r="V328" s="15"/>
      <c r="W328" s="15"/>
    </row>
    <row r="329" spans="1:23" s="28" customFormat="1" ht="19.5" customHeight="1">
      <c r="A329" s="86"/>
      <c r="B329" s="358"/>
      <c r="C329" s="84" t="s">
        <v>642</v>
      </c>
      <c r="D329" s="85">
        <v>20000</v>
      </c>
      <c r="E329" s="85"/>
      <c r="F329" s="85"/>
      <c r="G329" s="85"/>
      <c r="H329" s="105"/>
      <c r="I329" s="974"/>
      <c r="J329" s="974"/>
      <c r="K329" s="974"/>
      <c r="L329" s="953"/>
      <c r="M329" s="953"/>
      <c r="N329" s="979"/>
      <c r="O329" s="979"/>
      <c r="P329" s="979"/>
      <c r="Q329" s="979"/>
      <c r="R329" s="979"/>
      <c r="S329" s="15"/>
      <c r="T329" s="15"/>
      <c r="U329" s="15"/>
      <c r="V329" s="15"/>
      <c r="W329" s="15"/>
    </row>
    <row r="330" spans="1:23" s="28" customFormat="1" ht="19.5" customHeight="1">
      <c r="A330" s="86"/>
      <c r="B330" s="87"/>
      <c r="C330" s="84" t="s">
        <v>119</v>
      </c>
      <c r="D330" s="85">
        <v>85</v>
      </c>
      <c r="E330" s="85"/>
      <c r="F330" s="85"/>
      <c r="G330" s="85"/>
      <c r="H330" s="105"/>
      <c r="I330" s="974"/>
      <c r="J330" s="974"/>
      <c r="K330" s="974"/>
      <c r="L330" s="953"/>
      <c r="M330" s="953"/>
      <c r="N330" s="979"/>
      <c r="O330" s="979"/>
      <c r="P330" s="979"/>
      <c r="Q330" s="979"/>
      <c r="R330" s="979"/>
      <c r="S330" s="15"/>
      <c r="T330" s="15"/>
      <c r="U330" s="15"/>
      <c r="V330" s="15"/>
      <c r="W330" s="15"/>
    </row>
    <row r="331" spans="1:23" s="28" customFormat="1" ht="19.5" customHeight="1">
      <c r="A331" s="86"/>
      <c r="B331" s="87"/>
      <c r="C331" s="84" t="s">
        <v>655</v>
      </c>
      <c r="D331" s="85">
        <v>830</v>
      </c>
      <c r="E331" s="85"/>
      <c r="F331" s="85"/>
      <c r="G331" s="85"/>
      <c r="H331" s="105"/>
      <c r="I331" s="974"/>
      <c r="J331" s="974"/>
      <c r="K331" s="974"/>
      <c r="L331" s="953"/>
      <c r="M331" s="953"/>
      <c r="N331" s="979"/>
      <c r="O331" s="979"/>
      <c r="P331" s="979"/>
      <c r="Q331" s="979"/>
      <c r="R331" s="979"/>
      <c r="S331" s="15"/>
      <c r="T331" s="15"/>
      <c r="U331" s="15"/>
      <c r="V331" s="15"/>
      <c r="W331" s="15"/>
    </row>
    <row r="332" spans="1:23" s="28" customFormat="1" ht="19.5" customHeight="1">
      <c r="A332" s="86"/>
      <c r="B332" s="87"/>
      <c r="C332" s="84" t="s">
        <v>114</v>
      </c>
      <c r="D332" s="85">
        <v>700</v>
      </c>
      <c r="E332" s="85"/>
      <c r="F332" s="85"/>
      <c r="G332" s="85"/>
      <c r="H332" s="105"/>
      <c r="I332" s="974"/>
      <c r="J332" s="974"/>
      <c r="K332" s="974"/>
      <c r="L332" s="953"/>
      <c r="M332" s="953"/>
      <c r="N332" s="979"/>
      <c r="O332" s="979"/>
      <c r="P332" s="979"/>
      <c r="Q332" s="979"/>
      <c r="R332" s="979"/>
      <c r="S332" s="15"/>
      <c r="T332" s="15"/>
      <c r="U332" s="15"/>
      <c r="V332" s="15"/>
      <c r="W332" s="15"/>
    </row>
    <row r="333" spans="1:23" s="28" customFormat="1" ht="19.5" customHeight="1">
      <c r="A333" s="86"/>
      <c r="B333" s="87"/>
      <c r="C333" s="84" t="s">
        <v>196</v>
      </c>
      <c r="D333" s="85">
        <v>21043</v>
      </c>
      <c r="E333" s="85"/>
      <c r="F333" s="85"/>
      <c r="G333" s="85"/>
      <c r="H333" s="105"/>
      <c r="I333" s="974"/>
      <c r="J333" s="974"/>
      <c r="K333" s="974"/>
      <c r="L333" s="953"/>
      <c r="M333" s="953"/>
      <c r="N333" s="979"/>
      <c r="O333" s="979"/>
      <c r="P333" s="979"/>
      <c r="Q333" s="979"/>
      <c r="R333" s="979"/>
      <c r="S333" s="15"/>
      <c r="T333" s="15"/>
      <c r="U333" s="15"/>
      <c r="V333" s="15"/>
      <c r="W333" s="15"/>
    </row>
    <row r="334" spans="1:23" s="28" customFormat="1" ht="19.5" customHeight="1">
      <c r="A334" s="86"/>
      <c r="B334" s="87"/>
      <c r="C334" s="84" t="s">
        <v>849</v>
      </c>
      <c r="D334" s="85">
        <v>13782</v>
      </c>
      <c r="E334" s="85"/>
      <c r="F334" s="85"/>
      <c r="G334" s="85"/>
      <c r="H334" s="105"/>
      <c r="I334" s="974"/>
      <c r="J334" s="974"/>
      <c r="K334" s="974"/>
      <c r="L334" s="953"/>
      <c r="M334" s="953"/>
      <c r="N334" s="979"/>
      <c r="O334" s="979"/>
      <c r="P334" s="979"/>
      <c r="Q334" s="979"/>
      <c r="R334" s="979"/>
      <c r="S334" s="15"/>
      <c r="T334" s="15"/>
      <c r="U334" s="15"/>
      <c r="V334" s="15"/>
      <c r="W334" s="15"/>
    </row>
    <row r="335" spans="1:23" s="28" customFormat="1" ht="19.5" customHeight="1">
      <c r="A335" s="86"/>
      <c r="B335" s="87"/>
      <c r="C335" s="84" t="s">
        <v>792</v>
      </c>
      <c r="D335" s="85">
        <v>9066</v>
      </c>
      <c r="E335" s="85"/>
      <c r="F335" s="85"/>
      <c r="G335" s="85"/>
      <c r="H335" s="105"/>
      <c r="I335" s="974"/>
      <c r="J335" s="974"/>
      <c r="K335" s="974"/>
      <c r="L335" s="953"/>
      <c r="M335" s="953"/>
      <c r="N335" s="979"/>
      <c r="O335" s="979"/>
      <c r="P335" s="979"/>
      <c r="Q335" s="979"/>
      <c r="R335" s="979"/>
      <c r="S335" s="15"/>
      <c r="T335" s="15"/>
      <c r="U335" s="15"/>
      <c r="V335" s="15"/>
      <c r="W335" s="15"/>
    </row>
    <row r="336" spans="1:23" s="28" customFormat="1" ht="19.5" customHeight="1">
      <c r="A336" s="86"/>
      <c r="B336" s="87"/>
      <c r="C336" s="84" t="s">
        <v>344</v>
      </c>
      <c r="D336" s="85">
        <v>156</v>
      </c>
      <c r="E336" s="85"/>
      <c r="F336" s="85"/>
      <c r="G336" s="85"/>
      <c r="H336" s="105"/>
      <c r="I336" s="974"/>
      <c r="J336" s="974"/>
      <c r="K336" s="974"/>
      <c r="L336" s="953"/>
      <c r="M336" s="953"/>
      <c r="N336" s="979"/>
      <c r="O336" s="979"/>
      <c r="P336" s="979"/>
      <c r="Q336" s="979"/>
      <c r="R336" s="979"/>
      <c r="S336" s="15"/>
      <c r="T336" s="15"/>
      <c r="U336" s="15"/>
      <c r="V336" s="15"/>
      <c r="W336" s="15"/>
    </row>
    <row r="337" spans="1:23" s="28" customFormat="1" ht="19.5" customHeight="1">
      <c r="A337" s="86"/>
      <c r="B337" s="87"/>
      <c r="C337" s="84" t="s">
        <v>862</v>
      </c>
      <c r="D337" s="85">
        <v>7867</v>
      </c>
      <c r="E337" s="85"/>
      <c r="F337" s="85"/>
      <c r="G337" s="85"/>
      <c r="H337" s="105"/>
      <c r="I337" s="974"/>
      <c r="J337" s="974"/>
      <c r="K337" s="974"/>
      <c r="L337" s="953"/>
      <c r="M337" s="953"/>
      <c r="N337" s="979"/>
      <c r="O337" s="979"/>
      <c r="P337" s="979"/>
      <c r="Q337" s="979"/>
      <c r="R337" s="979"/>
      <c r="S337" s="15"/>
      <c r="T337" s="15"/>
      <c r="U337" s="15"/>
      <c r="V337" s="15"/>
      <c r="W337" s="15"/>
    </row>
    <row r="338" spans="1:23" s="28" customFormat="1" ht="19.5" customHeight="1">
      <c r="A338" s="86"/>
      <c r="B338" s="87"/>
      <c r="C338" s="84" t="s">
        <v>117</v>
      </c>
      <c r="D338" s="85">
        <v>340</v>
      </c>
      <c r="E338" s="85"/>
      <c r="F338" s="85"/>
      <c r="G338" s="85"/>
      <c r="H338" s="105"/>
      <c r="I338" s="974"/>
      <c r="J338" s="974"/>
      <c r="K338" s="974"/>
      <c r="L338" s="953"/>
      <c r="M338" s="953"/>
      <c r="N338" s="979"/>
      <c r="O338" s="979"/>
      <c r="P338" s="979"/>
      <c r="Q338" s="979"/>
      <c r="R338" s="979"/>
      <c r="S338" s="15"/>
      <c r="T338" s="15"/>
      <c r="U338" s="15"/>
      <c r="V338" s="15"/>
      <c r="W338" s="15"/>
    </row>
    <row r="339" spans="1:23" s="28" customFormat="1" ht="19.5" customHeight="1">
      <c r="A339" s="86"/>
      <c r="B339" s="87"/>
      <c r="C339" s="84" t="s">
        <v>124</v>
      </c>
      <c r="D339" s="85">
        <v>536</v>
      </c>
      <c r="E339" s="85"/>
      <c r="F339" s="85"/>
      <c r="G339" s="85"/>
      <c r="H339" s="105"/>
      <c r="I339" s="974"/>
      <c r="J339" s="974"/>
      <c r="K339" s="974"/>
      <c r="L339" s="953"/>
      <c r="M339" s="953"/>
      <c r="N339" s="979"/>
      <c r="O339" s="979"/>
      <c r="P339" s="979"/>
      <c r="Q339" s="979"/>
      <c r="R339" s="979"/>
      <c r="S339" s="15"/>
      <c r="T339" s="15"/>
      <c r="U339" s="15"/>
      <c r="V339" s="15"/>
      <c r="W339" s="15"/>
    </row>
    <row r="340" spans="1:23" s="28" customFormat="1" ht="19.5" customHeight="1">
      <c r="A340" s="86"/>
      <c r="B340" s="87"/>
      <c r="C340" s="84" t="s">
        <v>132</v>
      </c>
      <c r="D340" s="85">
        <v>620</v>
      </c>
      <c r="E340" s="85"/>
      <c r="F340" s="85"/>
      <c r="G340" s="85"/>
      <c r="H340" s="105"/>
      <c r="I340" s="974"/>
      <c r="J340" s="974"/>
      <c r="K340" s="974"/>
      <c r="L340" s="953"/>
      <c r="M340" s="953"/>
      <c r="N340" s="979"/>
      <c r="O340" s="979"/>
      <c r="P340" s="979"/>
      <c r="Q340" s="979"/>
      <c r="R340" s="979"/>
      <c r="S340" s="15"/>
      <c r="T340" s="15"/>
      <c r="U340" s="15"/>
      <c r="V340" s="15"/>
      <c r="W340" s="15"/>
    </row>
    <row r="341" spans="1:23" s="28" customFormat="1" ht="19.5" customHeight="1">
      <c r="A341" s="86"/>
      <c r="B341" s="87"/>
      <c r="C341" s="84" t="s">
        <v>854</v>
      </c>
      <c r="D341" s="85"/>
      <c r="E341" s="85"/>
      <c r="F341" s="85">
        <v>91</v>
      </c>
      <c r="G341" s="85"/>
      <c r="H341" s="105"/>
      <c r="I341" s="974"/>
      <c r="J341" s="974"/>
      <c r="K341" s="974"/>
      <c r="L341" s="953"/>
      <c r="M341" s="953"/>
      <c r="N341" s="979"/>
      <c r="O341" s="979"/>
      <c r="P341" s="979"/>
      <c r="Q341" s="979"/>
      <c r="R341" s="979"/>
      <c r="S341" s="15"/>
      <c r="T341" s="15"/>
      <c r="U341" s="15"/>
      <c r="V341" s="15"/>
      <c r="W341" s="15"/>
    </row>
    <row r="342" spans="1:23" s="28" customFormat="1" ht="19.5" customHeight="1">
      <c r="A342" s="86"/>
      <c r="B342" s="87"/>
      <c r="C342" s="84" t="s">
        <v>656</v>
      </c>
      <c r="D342" s="85">
        <v>75</v>
      </c>
      <c r="E342" s="85"/>
      <c r="F342" s="85"/>
      <c r="G342" s="85"/>
      <c r="H342" s="105"/>
      <c r="I342" s="974"/>
      <c r="J342" s="974"/>
      <c r="K342" s="974"/>
      <c r="L342" s="953"/>
      <c r="M342" s="953"/>
      <c r="N342" s="979"/>
      <c r="O342" s="979"/>
      <c r="P342" s="979"/>
      <c r="Q342" s="979"/>
      <c r="R342" s="979"/>
      <c r="S342" s="15"/>
      <c r="T342" s="15"/>
      <c r="U342" s="15"/>
      <c r="V342" s="15"/>
      <c r="W342" s="15"/>
    </row>
    <row r="343" spans="1:23" s="28" customFormat="1" ht="19.5" customHeight="1">
      <c r="A343" s="86"/>
      <c r="B343" s="87"/>
      <c r="C343" s="84" t="s">
        <v>197</v>
      </c>
      <c r="D343" s="85"/>
      <c r="E343" s="85"/>
      <c r="F343" s="85">
        <v>1134</v>
      </c>
      <c r="G343" s="85"/>
      <c r="H343" s="105"/>
      <c r="I343" s="974"/>
      <c r="J343" s="974"/>
      <c r="K343" s="974"/>
      <c r="L343" s="953"/>
      <c r="M343" s="953"/>
      <c r="N343" s="979"/>
      <c r="O343" s="979"/>
      <c r="P343" s="979"/>
      <c r="Q343" s="979"/>
      <c r="R343" s="979"/>
      <c r="S343" s="15"/>
      <c r="T343" s="15"/>
      <c r="U343" s="15"/>
      <c r="V343" s="15"/>
      <c r="W343" s="15"/>
    </row>
    <row r="344" spans="1:23" s="28" customFormat="1" ht="19.5" customHeight="1">
      <c r="A344" s="86"/>
      <c r="B344" s="87"/>
      <c r="C344" s="84" t="s">
        <v>118</v>
      </c>
      <c r="D344" s="85">
        <v>2299</v>
      </c>
      <c r="E344" s="85"/>
      <c r="F344" s="85"/>
      <c r="G344" s="85"/>
      <c r="H344" s="105"/>
      <c r="I344" s="974"/>
      <c r="J344" s="974"/>
      <c r="K344" s="974"/>
      <c r="L344" s="953"/>
      <c r="M344" s="953"/>
      <c r="N344" s="979"/>
      <c r="O344" s="979"/>
      <c r="P344" s="979"/>
      <c r="Q344" s="979"/>
      <c r="R344" s="979"/>
      <c r="S344" s="15"/>
      <c r="T344" s="15"/>
      <c r="U344" s="15"/>
      <c r="V344" s="15"/>
      <c r="W344" s="15"/>
    </row>
    <row r="345" spans="1:23" s="28" customFormat="1" ht="19.5" customHeight="1">
      <c r="A345" s="86"/>
      <c r="B345" s="95" t="s">
        <v>128</v>
      </c>
      <c r="C345" s="158"/>
      <c r="D345" s="85">
        <f>SUM(D346:D368)</f>
        <v>209209.38999999998</v>
      </c>
      <c r="E345" s="85"/>
      <c r="F345" s="85">
        <f>SUM(F346:F368)</f>
        <v>30848.43</v>
      </c>
      <c r="G345" s="85"/>
      <c r="H345" s="105"/>
      <c r="I345" s="974"/>
      <c r="J345" s="974"/>
      <c r="K345" s="974"/>
      <c r="L345" s="953"/>
      <c r="M345" s="953"/>
      <c r="N345" s="979"/>
      <c r="O345" s="979"/>
      <c r="P345" s="979"/>
      <c r="Q345" s="979"/>
      <c r="R345" s="979"/>
      <c r="S345" s="15"/>
      <c r="T345" s="15"/>
      <c r="U345" s="15"/>
      <c r="V345" s="15"/>
      <c r="W345" s="15"/>
    </row>
    <row r="346" spans="1:23" s="28" customFormat="1" ht="19.5" customHeight="1">
      <c r="A346" s="86"/>
      <c r="B346" s="87"/>
      <c r="C346" s="377" t="s">
        <v>433</v>
      </c>
      <c r="D346" s="85">
        <v>17733.61</v>
      </c>
      <c r="E346" s="85"/>
      <c r="F346" s="85"/>
      <c r="G346" s="85"/>
      <c r="H346" s="105"/>
      <c r="I346" s="974"/>
      <c r="J346" s="974"/>
      <c r="K346" s="974"/>
      <c r="L346" s="953"/>
      <c r="M346" s="953"/>
      <c r="N346" s="979"/>
      <c r="O346" s="979"/>
      <c r="P346" s="979"/>
      <c r="Q346" s="979"/>
      <c r="R346" s="979"/>
      <c r="S346" s="15"/>
      <c r="T346" s="15"/>
      <c r="U346" s="15"/>
      <c r="V346" s="15"/>
      <c r="W346" s="15"/>
    </row>
    <row r="347" spans="1:23" s="28" customFormat="1" ht="19.5" customHeight="1">
      <c r="A347" s="86"/>
      <c r="B347" s="87"/>
      <c r="C347" s="377" t="s">
        <v>434</v>
      </c>
      <c r="D347" s="85">
        <v>3129.46</v>
      </c>
      <c r="E347" s="85"/>
      <c r="F347" s="85"/>
      <c r="G347" s="85"/>
      <c r="H347" s="105"/>
      <c r="I347" s="974"/>
      <c r="J347" s="974"/>
      <c r="K347" s="974"/>
      <c r="L347" s="953"/>
      <c r="M347" s="953"/>
      <c r="N347" s="979"/>
      <c r="O347" s="979"/>
      <c r="P347" s="979"/>
      <c r="Q347" s="979"/>
      <c r="R347" s="979"/>
      <c r="S347" s="15"/>
      <c r="T347" s="15"/>
      <c r="U347" s="15"/>
      <c r="V347" s="15"/>
      <c r="W347" s="15"/>
    </row>
    <row r="348" spans="1:23" s="28" customFormat="1" ht="19.5" customHeight="1">
      <c r="A348" s="86"/>
      <c r="B348" s="87"/>
      <c r="C348" s="377" t="s">
        <v>427</v>
      </c>
      <c r="D348" s="85">
        <v>882.53</v>
      </c>
      <c r="E348" s="85"/>
      <c r="F348" s="85"/>
      <c r="G348" s="85"/>
      <c r="H348" s="105"/>
      <c r="I348" s="974"/>
      <c r="J348" s="974"/>
      <c r="K348" s="974"/>
      <c r="L348" s="953"/>
      <c r="M348" s="953"/>
      <c r="N348" s="979"/>
      <c r="O348" s="979"/>
      <c r="P348" s="979"/>
      <c r="Q348" s="979"/>
      <c r="R348" s="979"/>
      <c r="S348" s="15"/>
      <c r="T348" s="15"/>
      <c r="U348" s="15"/>
      <c r="V348" s="15"/>
      <c r="W348" s="15"/>
    </row>
    <row r="349" spans="1:23" s="28" customFormat="1" ht="19.5" customHeight="1">
      <c r="A349" s="86"/>
      <c r="B349" s="87"/>
      <c r="C349" s="377" t="s">
        <v>428</v>
      </c>
      <c r="D349" s="85">
        <v>155.72</v>
      </c>
      <c r="E349" s="85"/>
      <c r="F349" s="85"/>
      <c r="G349" s="85"/>
      <c r="H349" s="105"/>
      <c r="I349" s="974"/>
      <c r="J349" s="974"/>
      <c r="K349" s="974"/>
      <c r="L349" s="953"/>
      <c r="M349" s="953"/>
      <c r="N349" s="979"/>
      <c r="O349" s="979"/>
      <c r="P349" s="979"/>
      <c r="Q349" s="979"/>
      <c r="R349" s="979"/>
      <c r="S349" s="15"/>
      <c r="T349" s="15"/>
      <c r="U349" s="15"/>
      <c r="V349" s="15"/>
      <c r="W349" s="15"/>
    </row>
    <row r="350" spans="1:23" s="28" customFormat="1" ht="19.5" customHeight="1">
      <c r="A350" s="86"/>
      <c r="B350" s="87"/>
      <c r="C350" s="377" t="s">
        <v>731</v>
      </c>
      <c r="D350" s="85">
        <f>3449+6.85+36085.15</f>
        <v>39541</v>
      </c>
      <c r="E350" s="85"/>
      <c r="F350" s="85">
        <v>2137.38</v>
      </c>
      <c r="G350" s="85"/>
      <c r="H350" s="105"/>
      <c r="I350" s="974"/>
      <c r="J350" s="974"/>
      <c r="K350" s="974"/>
      <c r="L350" s="953"/>
      <c r="M350" s="953"/>
      <c r="N350" s="979"/>
      <c r="O350" s="979"/>
      <c r="P350" s="979"/>
      <c r="Q350" s="979"/>
      <c r="R350" s="979"/>
      <c r="S350" s="15"/>
      <c r="T350" s="15"/>
      <c r="U350" s="15"/>
      <c r="V350" s="15"/>
      <c r="W350" s="15"/>
    </row>
    <row r="351" spans="1:23" s="28" customFormat="1" ht="19.5" customHeight="1">
      <c r="A351" s="86"/>
      <c r="B351" s="87"/>
      <c r="C351" s="377" t="s">
        <v>423</v>
      </c>
      <c r="D351" s="85">
        <f>6367.95+8</f>
        <v>6375.95</v>
      </c>
      <c r="E351" s="85"/>
      <c r="F351" s="85">
        <v>377.19</v>
      </c>
      <c r="G351" s="85"/>
      <c r="H351" s="105"/>
      <c r="I351" s="974"/>
      <c r="J351" s="974"/>
      <c r="K351" s="974"/>
      <c r="L351" s="953"/>
      <c r="M351" s="953"/>
      <c r="N351" s="979"/>
      <c r="O351" s="979"/>
      <c r="P351" s="979"/>
      <c r="Q351" s="979"/>
      <c r="R351" s="979"/>
      <c r="S351" s="15"/>
      <c r="T351" s="15"/>
      <c r="U351" s="15"/>
      <c r="V351" s="15"/>
      <c r="W351" s="15"/>
    </row>
    <row r="352" spans="1:23" s="28" customFormat="1" ht="19.5" customHeight="1">
      <c r="A352" s="86"/>
      <c r="B352" s="87"/>
      <c r="C352" s="377" t="s">
        <v>120</v>
      </c>
      <c r="D352" s="85">
        <f>3776+5.91+1544.67</f>
        <v>5326.58</v>
      </c>
      <c r="E352" s="85"/>
      <c r="F352" s="85">
        <v>367.42</v>
      </c>
      <c r="G352" s="85"/>
      <c r="H352" s="105"/>
      <c r="I352" s="974"/>
      <c r="J352" s="974"/>
      <c r="K352" s="974"/>
      <c r="L352" s="953"/>
      <c r="M352" s="953"/>
      <c r="N352" s="979"/>
      <c r="O352" s="979"/>
      <c r="P352" s="979"/>
      <c r="Q352" s="979"/>
      <c r="R352" s="979"/>
      <c r="S352" s="15"/>
      <c r="T352" s="15"/>
      <c r="U352" s="15"/>
      <c r="V352" s="15"/>
      <c r="W352" s="15"/>
    </row>
    <row r="353" spans="1:23" s="28" customFormat="1" ht="19.5" customHeight="1">
      <c r="A353" s="86"/>
      <c r="B353" s="87"/>
      <c r="C353" s="377" t="s">
        <v>424</v>
      </c>
      <c r="D353" s="85">
        <f>272.6+10.16</f>
        <v>282.76000000000005</v>
      </c>
      <c r="E353" s="85"/>
      <c r="F353" s="85">
        <v>64.83</v>
      </c>
      <c r="G353" s="85"/>
      <c r="H353" s="105"/>
      <c r="I353" s="974"/>
      <c r="J353" s="974"/>
      <c r="K353" s="974"/>
      <c r="L353" s="953"/>
      <c r="M353" s="953"/>
      <c r="N353" s="979"/>
      <c r="O353" s="979"/>
      <c r="P353" s="979"/>
      <c r="Q353" s="979"/>
      <c r="R353" s="979"/>
      <c r="S353" s="15"/>
      <c r="T353" s="15"/>
      <c r="U353" s="15"/>
      <c r="V353" s="15"/>
      <c r="W353" s="15"/>
    </row>
    <row r="354" spans="1:23" s="28" customFormat="1" ht="19.5" customHeight="1">
      <c r="A354" s="86"/>
      <c r="B354" s="87"/>
      <c r="C354" s="377" t="s">
        <v>363</v>
      </c>
      <c r="D354" s="85">
        <f>6.09+1310+503.9</f>
        <v>1819.9899999999998</v>
      </c>
      <c r="E354" s="85"/>
      <c r="F354" s="85">
        <v>52.36</v>
      </c>
      <c r="G354" s="85"/>
      <c r="H354" s="105"/>
      <c r="I354" s="974"/>
      <c r="J354" s="974"/>
      <c r="K354" s="974"/>
      <c r="L354" s="953"/>
      <c r="M354" s="953"/>
      <c r="N354" s="979"/>
      <c r="O354" s="979"/>
      <c r="P354" s="979"/>
      <c r="Q354" s="979"/>
      <c r="R354" s="979"/>
      <c r="S354" s="15"/>
      <c r="T354" s="15"/>
      <c r="U354" s="15"/>
      <c r="V354" s="15"/>
      <c r="W354" s="15"/>
    </row>
    <row r="355" spans="1:23" s="28" customFormat="1" ht="19.5" customHeight="1">
      <c r="A355" s="86"/>
      <c r="B355" s="87"/>
      <c r="C355" s="377" t="s">
        <v>425</v>
      </c>
      <c r="D355" s="85">
        <f>88.93+10.47</f>
        <v>99.4</v>
      </c>
      <c r="E355" s="85"/>
      <c r="F355" s="85">
        <v>9.25</v>
      </c>
      <c r="G355" s="85"/>
      <c r="H355" s="105"/>
      <c r="I355" s="974"/>
      <c r="J355" s="974"/>
      <c r="K355" s="974"/>
      <c r="L355" s="953"/>
      <c r="M355" s="953"/>
      <c r="N355" s="979"/>
      <c r="O355" s="979"/>
      <c r="P355" s="979"/>
      <c r="Q355" s="979"/>
      <c r="R355" s="979"/>
      <c r="S355" s="15"/>
      <c r="T355" s="15"/>
      <c r="U355" s="15"/>
      <c r="V355" s="15"/>
      <c r="W355" s="15"/>
    </row>
    <row r="356" spans="1:23" s="28" customFormat="1" ht="19.5" customHeight="1">
      <c r="A356" s="86"/>
      <c r="B356" s="87"/>
      <c r="C356" s="377" t="s">
        <v>121</v>
      </c>
      <c r="D356" s="85">
        <f>15604</f>
        <v>15604</v>
      </c>
      <c r="E356" s="85"/>
      <c r="F356" s="85"/>
      <c r="G356" s="85"/>
      <c r="H356" s="105"/>
      <c r="I356" s="974"/>
      <c r="J356" s="974"/>
      <c r="K356" s="974"/>
      <c r="L356" s="953"/>
      <c r="M356" s="953"/>
      <c r="N356" s="979"/>
      <c r="O356" s="979"/>
      <c r="P356" s="979"/>
      <c r="Q356" s="979"/>
      <c r="R356" s="979"/>
      <c r="S356" s="15"/>
      <c r="T356" s="15"/>
      <c r="U356" s="15"/>
      <c r="V356" s="15"/>
      <c r="W356" s="15"/>
    </row>
    <row r="357" spans="1:23" s="28" customFormat="1" ht="19.5" customHeight="1">
      <c r="A357" s="86"/>
      <c r="B357" s="87"/>
      <c r="C357" s="377" t="s">
        <v>196</v>
      </c>
      <c r="D357" s="85"/>
      <c r="E357" s="85"/>
      <c r="F357" s="85">
        <v>6000</v>
      </c>
      <c r="G357" s="85"/>
      <c r="H357" s="105"/>
      <c r="I357" s="974"/>
      <c r="J357" s="974"/>
      <c r="K357" s="974"/>
      <c r="L357" s="953"/>
      <c r="M357" s="953"/>
      <c r="N357" s="979"/>
      <c r="O357" s="979"/>
      <c r="P357" s="979"/>
      <c r="Q357" s="979"/>
      <c r="R357" s="979"/>
      <c r="S357" s="15"/>
      <c r="T357" s="15"/>
      <c r="U357" s="15"/>
      <c r="V357" s="15"/>
      <c r="W357" s="15"/>
    </row>
    <row r="358" spans="1:23" s="28" customFormat="1" ht="19.5" customHeight="1">
      <c r="A358" s="86"/>
      <c r="B358" s="87"/>
      <c r="C358" s="377" t="s">
        <v>121</v>
      </c>
      <c r="D358" s="85">
        <v>1222.18</v>
      </c>
      <c r="E358" s="85"/>
      <c r="F358" s="85">
        <f>13175+1989</f>
        <v>15164</v>
      </c>
      <c r="G358" s="85"/>
      <c r="H358" s="105"/>
      <c r="I358" s="974"/>
      <c r="J358" s="974"/>
      <c r="K358" s="974"/>
      <c r="L358" s="953"/>
      <c r="M358" s="953"/>
      <c r="N358" s="979"/>
      <c r="O358" s="979"/>
      <c r="P358" s="979"/>
      <c r="Q358" s="979"/>
      <c r="R358" s="979"/>
      <c r="S358" s="15"/>
      <c r="T358" s="15"/>
      <c r="U358" s="15"/>
      <c r="V358" s="15"/>
      <c r="W358" s="15"/>
    </row>
    <row r="359" spans="1:23" s="28" customFormat="1" ht="19.5" customHeight="1">
      <c r="A359" s="86"/>
      <c r="B359" s="87"/>
      <c r="C359" s="377" t="s">
        <v>426</v>
      </c>
      <c r="D359" s="85">
        <v>190.38</v>
      </c>
      <c r="E359" s="85"/>
      <c r="F359" s="85">
        <f>2325+351</f>
        <v>2676</v>
      </c>
      <c r="G359" s="85"/>
      <c r="H359" s="105"/>
      <c r="I359" s="974"/>
      <c r="J359" s="974"/>
      <c r="K359" s="974"/>
      <c r="L359" s="953"/>
      <c r="M359" s="953"/>
      <c r="N359" s="979"/>
      <c r="O359" s="979"/>
      <c r="P359" s="979"/>
      <c r="Q359" s="979"/>
      <c r="R359" s="979"/>
      <c r="S359" s="15"/>
      <c r="T359" s="15"/>
      <c r="U359" s="15"/>
      <c r="V359" s="15"/>
      <c r="W359" s="15"/>
    </row>
    <row r="360" spans="1:23" s="28" customFormat="1" ht="19.5" customHeight="1">
      <c r="A360" s="86"/>
      <c r="B360" s="87"/>
      <c r="C360" s="377" t="s">
        <v>732</v>
      </c>
      <c r="D360" s="85">
        <f>1+5457.68+76.5</f>
        <v>5535.18</v>
      </c>
      <c r="E360" s="85"/>
      <c r="F360" s="85"/>
      <c r="G360" s="85"/>
      <c r="H360" s="105"/>
      <c r="I360" s="974"/>
      <c r="J360" s="974"/>
      <c r="K360" s="974"/>
      <c r="L360" s="953"/>
      <c r="M360" s="953"/>
      <c r="N360" s="979"/>
      <c r="O360" s="979"/>
      <c r="P360" s="979"/>
      <c r="Q360" s="979"/>
      <c r="R360" s="979"/>
      <c r="S360" s="15"/>
      <c r="T360" s="15"/>
      <c r="U360" s="15"/>
      <c r="V360" s="15"/>
      <c r="W360" s="15"/>
    </row>
    <row r="361" spans="1:23" s="28" customFormat="1" ht="19.5" customHeight="1">
      <c r="A361" s="86"/>
      <c r="B361" s="87"/>
      <c r="C361" s="377" t="s">
        <v>429</v>
      </c>
      <c r="D361" s="85">
        <f>13.5+963.12</f>
        <v>976.62</v>
      </c>
      <c r="E361" s="85"/>
      <c r="F361" s="85"/>
      <c r="G361" s="85"/>
      <c r="H361" s="105"/>
      <c r="I361" s="974"/>
      <c r="J361" s="974"/>
      <c r="K361" s="974"/>
      <c r="L361" s="953"/>
      <c r="M361" s="953"/>
      <c r="N361" s="979"/>
      <c r="O361" s="979"/>
      <c r="P361" s="979"/>
      <c r="Q361" s="979"/>
      <c r="R361" s="979"/>
      <c r="S361" s="15"/>
      <c r="T361" s="15"/>
      <c r="U361" s="15"/>
      <c r="V361" s="15"/>
      <c r="W361" s="15"/>
    </row>
    <row r="362" spans="1:23" s="28" customFormat="1" ht="19.5" customHeight="1">
      <c r="A362" s="86"/>
      <c r="B362" s="87"/>
      <c r="C362" s="377" t="s">
        <v>122</v>
      </c>
      <c r="D362" s="85">
        <f>3</f>
        <v>3</v>
      </c>
      <c r="E362" s="85"/>
      <c r="F362" s="85"/>
      <c r="G362" s="85"/>
      <c r="H362" s="105"/>
      <c r="I362" s="974"/>
      <c r="J362" s="974"/>
      <c r="K362" s="974"/>
      <c r="L362" s="953"/>
      <c r="M362" s="953"/>
      <c r="N362" s="979"/>
      <c r="O362" s="979"/>
      <c r="P362" s="979"/>
      <c r="Q362" s="979"/>
      <c r="R362" s="979"/>
      <c r="S362" s="15"/>
      <c r="T362" s="15"/>
      <c r="U362" s="15"/>
      <c r="V362" s="15"/>
      <c r="W362" s="15"/>
    </row>
    <row r="363" spans="1:23" s="28" customFormat="1" ht="19.5" customHeight="1">
      <c r="A363" s="86"/>
      <c r="B363" s="87"/>
      <c r="C363" s="377" t="s">
        <v>862</v>
      </c>
      <c r="D363" s="85"/>
      <c r="E363" s="85"/>
      <c r="F363" s="85">
        <v>4000</v>
      </c>
      <c r="G363" s="85"/>
      <c r="H363" s="105"/>
      <c r="I363" s="974"/>
      <c r="J363" s="974"/>
      <c r="K363" s="974"/>
      <c r="L363" s="953"/>
      <c r="M363" s="953"/>
      <c r="N363" s="979"/>
      <c r="O363" s="979"/>
      <c r="P363" s="979"/>
      <c r="Q363" s="979"/>
      <c r="R363" s="979"/>
      <c r="S363" s="15"/>
      <c r="T363" s="15"/>
      <c r="U363" s="15"/>
      <c r="V363" s="15"/>
      <c r="W363" s="15"/>
    </row>
    <row r="364" spans="1:23" s="28" customFormat="1" ht="19.5" customHeight="1">
      <c r="A364" s="86"/>
      <c r="B364" s="87"/>
      <c r="C364" s="377" t="s">
        <v>129</v>
      </c>
      <c r="D364" s="85">
        <f>7886+4546.16+50835.91+12227.42</f>
        <v>75495.49</v>
      </c>
      <c r="E364" s="85"/>
      <c r="F364" s="85"/>
      <c r="G364" s="85"/>
      <c r="H364" s="105"/>
      <c r="I364" s="974"/>
      <c r="J364" s="974"/>
      <c r="K364" s="974"/>
      <c r="L364" s="953"/>
      <c r="M364" s="953"/>
      <c r="N364" s="979"/>
      <c r="O364" s="979"/>
      <c r="P364" s="979"/>
      <c r="Q364" s="979"/>
      <c r="R364" s="979"/>
      <c r="S364" s="15"/>
      <c r="T364" s="15"/>
      <c r="U364" s="15"/>
      <c r="V364" s="15"/>
      <c r="W364" s="15"/>
    </row>
    <row r="365" spans="1:23" s="28" customFormat="1" ht="19.5" customHeight="1">
      <c r="A365" s="86"/>
      <c r="B365" s="87"/>
      <c r="C365" s="377" t="s">
        <v>130</v>
      </c>
      <c r="D365" s="85">
        <f>4974+802.27+8971.05+2157.78</f>
        <v>16905.1</v>
      </c>
      <c r="E365" s="85"/>
      <c r="F365" s="85"/>
      <c r="G365" s="85"/>
      <c r="H365" s="105"/>
      <c r="I365" s="974"/>
      <c r="J365" s="974"/>
      <c r="K365" s="974"/>
      <c r="L365" s="953"/>
      <c r="M365" s="953"/>
      <c r="N365" s="979"/>
      <c r="O365" s="979"/>
      <c r="P365" s="979"/>
      <c r="Q365" s="979"/>
      <c r="R365" s="979"/>
      <c r="S365" s="15"/>
      <c r="T365" s="15"/>
      <c r="U365" s="15"/>
      <c r="V365" s="15"/>
      <c r="W365" s="15"/>
    </row>
    <row r="366" spans="1:23" s="28" customFormat="1" ht="19.5" customHeight="1">
      <c r="A366" s="86"/>
      <c r="B366" s="87"/>
      <c r="C366" s="377" t="s">
        <v>733</v>
      </c>
      <c r="D366" s="85">
        <f>2</f>
        <v>2</v>
      </c>
      <c r="E366" s="85"/>
      <c r="F366" s="85"/>
      <c r="G366" s="85"/>
      <c r="H366" s="105"/>
      <c r="I366" s="974"/>
      <c r="J366" s="974"/>
      <c r="K366" s="974"/>
      <c r="L366" s="953"/>
      <c r="M366" s="953"/>
      <c r="N366" s="979"/>
      <c r="O366" s="979"/>
      <c r="P366" s="979"/>
      <c r="Q366" s="979"/>
      <c r="R366" s="979"/>
      <c r="S366" s="15"/>
      <c r="T366" s="15"/>
      <c r="U366" s="15"/>
      <c r="V366" s="15"/>
      <c r="W366" s="15"/>
    </row>
    <row r="367" spans="1:23" s="28" customFormat="1" ht="19.5" customHeight="1">
      <c r="A367" s="86"/>
      <c r="B367" s="87"/>
      <c r="C367" s="377" t="s">
        <v>430</v>
      </c>
      <c r="D367" s="85">
        <v>15239.17</v>
      </c>
      <c r="E367" s="85"/>
      <c r="F367" s="85"/>
      <c r="G367" s="85"/>
      <c r="H367" s="105"/>
      <c r="I367" s="974"/>
      <c r="J367" s="974"/>
      <c r="K367" s="974"/>
      <c r="L367" s="953"/>
      <c r="M367" s="953"/>
      <c r="N367" s="979"/>
      <c r="O367" s="979"/>
      <c r="P367" s="979"/>
      <c r="Q367" s="979"/>
      <c r="R367" s="979"/>
      <c r="S367" s="15"/>
      <c r="T367" s="15"/>
      <c r="U367" s="15"/>
      <c r="V367" s="15"/>
      <c r="W367" s="15"/>
    </row>
    <row r="368" spans="1:23" s="28" customFormat="1" ht="19.5" customHeight="1">
      <c r="A368" s="86"/>
      <c r="B368" s="87"/>
      <c r="C368" s="377" t="s">
        <v>431</v>
      </c>
      <c r="D368" s="85">
        <v>2689.27</v>
      </c>
      <c r="E368" s="85"/>
      <c r="F368" s="85"/>
      <c r="G368" s="85"/>
      <c r="H368" s="105"/>
      <c r="I368" s="974"/>
      <c r="J368" s="974"/>
      <c r="K368" s="974"/>
      <c r="L368" s="953"/>
      <c r="M368" s="953"/>
      <c r="N368" s="979"/>
      <c r="O368" s="979"/>
      <c r="P368" s="979"/>
      <c r="Q368" s="979"/>
      <c r="R368" s="979"/>
      <c r="S368" s="15"/>
      <c r="T368" s="15"/>
      <c r="U368" s="15"/>
      <c r="V368" s="15"/>
      <c r="W368" s="15"/>
    </row>
    <row r="369" spans="1:23" s="29" customFormat="1" ht="19.5" customHeight="1">
      <c r="A369" s="80" t="s">
        <v>199</v>
      </c>
      <c r="B369" s="80"/>
      <c r="C369" s="80"/>
      <c r="D369" s="81">
        <f>D370+D379</f>
        <v>11027</v>
      </c>
      <c r="E369" s="81">
        <f>E370+E379</f>
        <v>0</v>
      </c>
      <c r="F369" s="81">
        <f>F370+F379</f>
        <v>22444</v>
      </c>
      <c r="G369" s="81">
        <f>G370+G379</f>
        <v>0</v>
      </c>
      <c r="H369" s="103"/>
      <c r="I369" s="969"/>
      <c r="J369" s="969"/>
      <c r="K369" s="969"/>
      <c r="L369" s="948"/>
      <c r="M369" s="948"/>
      <c r="N369" s="399"/>
      <c r="O369" s="399"/>
      <c r="P369" s="399"/>
      <c r="Q369" s="399"/>
      <c r="R369" s="399"/>
      <c r="S369" s="118"/>
      <c r="T369" s="118"/>
      <c r="U369" s="118"/>
      <c r="V369" s="118"/>
      <c r="W369" s="118"/>
    </row>
    <row r="370" spans="1:23" s="28" customFormat="1" ht="19.5" customHeight="1">
      <c r="A370" s="86"/>
      <c r="B370" s="158" t="s">
        <v>200</v>
      </c>
      <c r="C370" s="359"/>
      <c r="D370" s="85">
        <f>SUM(D371:D378)</f>
        <v>10927</v>
      </c>
      <c r="E370" s="85">
        <f>SUM(E371:E378)</f>
        <v>0</v>
      </c>
      <c r="F370" s="85">
        <f>SUM(F371:F378)</f>
        <v>22444</v>
      </c>
      <c r="G370" s="85">
        <f>SUM(G371:G378)</f>
        <v>0</v>
      </c>
      <c r="H370" s="105"/>
      <c r="I370" s="974"/>
      <c r="J370" s="974"/>
      <c r="K370" s="974"/>
      <c r="L370" s="953"/>
      <c r="M370" s="953"/>
      <c r="N370" s="979"/>
      <c r="O370" s="979"/>
      <c r="P370" s="979"/>
      <c r="Q370" s="979"/>
      <c r="R370" s="979"/>
      <c r="S370" s="15"/>
      <c r="T370" s="15"/>
      <c r="U370" s="15"/>
      <c r="V370" s="15"/>
      <c r="W370" s="15"/>
    </row>
    <row r="371" spans="1:23" s="28" customFormat="1" ht="19.5" customHeight="1">
      <c r="A371" s="86"/>
      <c r="B371" s="87"/>
      <c r="C371" s="158" t="s">
        <v>358</v>
      </c>
      <c r="D371" s="85"/>
      <c r="E371" s="85"/>
      <c r="F371" s="85">
        <f>3500+14000+12000-21218+10000</f>
        <v>18282</v>
      </c>
      <c r="G371" s="85"/>
      <c r="H371" s="105"/>
      <c r="I371" s="974"/>
      <c r="J371" s="974"/>
      <c r="K371" s="974"/>
      <c r="L371" s="953"/>
      <c r="M371" s="953"/>
      <c r="N371" s="979"/>
      <c r="O371" s="979"/>
      <c r="P371" s="979"/>
      <c r="Q371" s="979"/>
      <c r="R371" s="979"/>
      <c r="S371" s="15"/>
      <c r="T371" s="15"/>
      <c r="U371" s="15"/>
      <c r="V371" s="15"/>
      <c r="W371" s="15"/>
    </row>
    <row r="372" spans="1:23" s="28" customFormat="1" ht="19.5" customHeight="1">
      <c r="A372" s="86"/>
      <c r="B372" s="87"/>
      <c r="C372" s="158" t="s">
        <v>359</v>
      </c>
      <c r="D372" s="85"/>
      <c r="E372" s="85"/>
      <c r="F372" s="85">
        <f>2000+1800+1850-2488+1000</f>
        <v>4162</v>
      </c>
      <c r="G372" s="85"/>
      <c r="H372" s="105"/>
      <c r="I372" s="974"/>
      <c r="J372" s="974"/>
      <c r="K372" s="974"/>
      <c r="L372" s="953"/>
      <c r="M372" s="953"/>
      <c r="N372" s="979"/>
      <c r="O372" s="979"/>
      <c r="P372" s="979"/>
      <c r="Q372" s="979"/>
      <c r="R372" s="979"/>
      <c r="S372" s="15"/>
      <c r="T372" s="15"/>
      <c r="U372" s="15"/>
      <c r="V372" s="15"/>
      <c r="W372" s="15"/>
    </row>
    <row r="373" spans="1:23" s="28" customFormat="1" ht="19.5" customHeight="1">
      <c r="A373" s="86"/>
      <c r="B373" s="87"/>
      <c r="C373" s="158" t="s">
        <v>114</v>
      </c>
      <c r="D373" s="85">
        <f>1000+302+550+170+110+400-250</f>
        <v>2282</v>
      </c>
      <c r="E373" s="85"/>
      <c r="F373" s="85"/>
      <c r="G373" s="85"/>
      <c r="H373" s="105"/>
      <c r="I373" s="974"/>
      <c r="J373" s="974"/>
      <c r="K373" s="974"/>
      <c r="L373" s="953"/>
      <c r="M373" s="953"/>
      <c r="N373" s="979"/>
      <c r="O373" s="979"/>
      <c r="P373" s="979"/>
      <c r="Q373" s="979"/>
      <c r="R373" s="979"/>
      <c r="S373" s="15"/>
      <c r="T373" s="15"/>
      <c r="U373" s="15"/>
      <c r="V373" s="15"/>
      <c r="W373" s="15"/>
    </row>
    <row r="374" spans="1:23" s="28" customFormat="1" ht="19.5" customHeight="1">
      <c r="A374" s="86"/>
      <c r="B374" s="87"/>
      <c r="C374" s="158" t="s">
        <v>196</v>
      </c>
      <c r="D374" s="85">
        <v>298</v>
      </c>
      <c r="E374" s="85"/>
      <c r="F374" s="85"/>
      <c r="G374" s="85"/>
      <c r="H374" s="105"/>
      <c r="I374" s="974"/>
      <c r="J374" s="974"/>
      <c r="K374" s="974"/>
      <c r="L374" s="953"/>
      <c r="M374" s="953"/>
      <c r="N374" s="979"/>
      <c r="O374" s="979"/>
      <c r="P374" s="979"/>
      <c r="Q374" s="979"/>
      <c r="R374" s="979"/>
      <c r="S374" s="15"/>
      <c r="T374" s="15"/>
      <c r="U374" s="15"/>
      <c r="V374" s="15"/>
      <c r="W374" s="15"/>
    </row>
    <row r="375" spans="1:23" s="28" customFormat="1" ht="19.5" customHeight="1">
      <c r="A375" s="86"/>
      <c r="B375" s="87"/>
      <c r="C375" s="158" t="s">
        <v>360</v>
      </c>
      <c r="D375" s="85">
        <f>1800-1000+300-150</f>
        <v>950</v>
      </c>
      <c r="E375" s="85"/>
      <c r="F375" s="85"/>
      <c r="G375" s="85"/>
      <c r="H375" s="105"/>
      <c r="I375" s="974"/>
      <c r="J375" s="974"/>
      <c r="K375" s="974"/>
      <c r="L375" s="953"/>
      <c r="M375" s="953"/>
      <c r="N375" s="979"/>
      <c r="O375" s="979"/>
      <c r="P375" s="979"/>
      <c r="Q375" s="979"/>
      <c r="R375" s="979"/>
      <c r="S375" s="15"/>
      <c r="T375" s="15"/>
      <c r="U375" s="15"/>
      <c r="V375" s="15"/>
      <c r="W375" s="15"/>
    </row>
    <row r="376" spans="1:23" s="28" customFormat="1" ht="19.5" customHeight="1">
      <c r="A376" s="86"/>
      <c r="B376" s="87"/>
      <c r="C376" s="158" t="s">
        <v>362</v>
      </c>
      <c r="D376" s="85">
        <f>160+250+300</f>
        <v>710</v>
      </c>
      <c r="E376" s="85"/>
      <c r="F376" s="85"/>
      <c r="G376" s="85"/>
      <c r="H376" s="105"/>
      <c r="I376" s="974"/>
      <c r="J376" s="974"/>
      <c r="K376" s="974"/>
      <c r="L376" s="953"/>
      <c r="M376" s="953"/>
      <c r="N376" s="979"/>
      <c r="O376" s="979"/>
      <c r="P376" s="979"/>
      <c r="Q376" s="979"/>
      <c r="R376" s="979"/>
      <c r="S376" s="15"/>
      <c r="T376" s="15"/>
      <c r="U376" s="15"/>
      <c r="V376" s="15"/>
      <c r="W376" s="15"/>
    </row>
    <row r="377" spans="1:23" s="28" customFormat="1" ht="19.5" customHeight="1">
      <c r="A377" s="86"/>
      <c r="B377" s="87"/>
      <c r="C377" s="158" t="s">
        <v>862</v>
      </c>
      <c r="D377" s="85">
        <f>1000-10</f>
        <v>990</v>
      </c>
      <c r="E377" s="85"/>
      <c r="F377" s="85"/>
      <c r="G377" s="85"/>
      <c r="H377" s="105"/>
      <c r="I377" s="974"/>
      <c r="J377" s="974"/>
      <c r="K377" s="974"/>
      <c r="L377" s="953"/>
      <c r="M377" s="953"/>
      <c r="N377" s="979"/>
      <c r="O377" s="979"/>
      <c r="P377" s="979"/>
      <c r="Q377" s="979"/>
      <c r="R377" s="979"/>
      <c r="S377" s="15"/>
      <c r="T377" s="15"/>
      <c r="U377" s="15"/>
      <c r="V377" s="15"/>
      <c r="W377" s="15"/>
    </row>
    <row r="378" spans="1:23" s="28" customFormat="1" ht="19.5" customHeight="1">
      <c r="A378" s="86"/>
      <c r="B378" s="87"/>
      <c r="C378" s="158" t="s">
        <v>854</v>
      </c>
      <c r="D378" s="85">
        <f>770+2240+200+2583-96</f>
        <v>5697</v>
      </c>
      <c r="E378" s="85"/>
      <c r="F378" s="85"/>
      <c r="G378" s="85"/>
      <c r="H378" s="105"/>
      <c r="I378" s="974"/>
      <c r="J378" s="974"/>
      <c r="K378" s="974"/>
      <c r="L378" s="953"/>
      <c r="M378" s="953"/>
      <c r="N378" s="979"/>
      <c r="O378" s="979"/>
      <c r="P378" s="979"/>
      <c r="Q378" s="979"/>
      <c r="R378" s="979"/>
      <c r="S378" s="15"/>
      <c r="T378" s="15"/>
      <c r="U378" s="15"/>
      <c r="V378" s="15"/>
      <c r="W378" s="15"/>
    </row>
    <row r="379" spans="1:23" s="29" customFormat="1" ht="19.5" customHeight="1">
      <c r="A379" s="642"/>
      <c r="B379" s="158" t="s">
        <v>730</v>
      </c>
      <c r="C379" s="158" t="s">
        <v>850</v>
      </c>
      <c r="D379" s="85">
        <f>100</f>
        <v>100</v>
      </c>
      <c r="E379" s="81"/>
      <c r="F379" s="81"/>
      <c r="G379" s="81"/>
      <c r="H379" s="103"/>
      <c r="I379" s="969"/>
      <c r="J379" s="948"/>
      <c r="K379" s="969"/>
      <c r="L379" s="948"/>
      <c r="M379" s="948"/>
      <c r="N379" s="399"/>
      <c r="O379" s="399"/>
      <c r="P379" s="399"/>
      <c r="Q379" s="399"/>
      <c r="R379" s="399"/>
      <c r="S379" s="118"/>
      <c r="T379" s="118"/>
      <c r="U379" s="118"/>
      <c r="V379" s="118"/>
      <c r="W379" s="118"/>
    </row>
    <row r="380" spans="1:23" s="29" customFormat="1" ht="19.5" customHeight="1">
      <c r="A380" s="651" t="s">
        <v>665</v>
      </c>
      <c r="B380" s="82" t="s">
        <v>666</v>
      </c>
      <c r="C380" s="80" t="s">
        <v>667</v>
      </c>
      <c r="D380" s="92"/>
      <c r="E380" s="92"/>
      <c r="F380" s="92">
        <f>3100+13000</f>
        <v>16100</v>
      </c>
      <c r="G380" s="92"/>
      <c r="H380" s="103"/>
      <c r="I380" s="969"/>
      <c r="J380" s="948"/>
      <c r="K380" s="969"/>
      <c r="L380" s="948"/>
      <c r="M380" s="948"/>
      <c r="N380" s="399"/>
      <c r="O380" s="399"/>
      <c r="P380" s="399"/>
      <c r="Q380" s="399"/>
      <c r="R380" s="399"/>
      <c r="S380" s="118"/>
      <c r="T380" s="118"/>
      <c r="U380" s="118"/>
      <c r="V380" s="118"/>
      <c r="W380" s="118"/>
    </row>
    <row r="381" spans="1:23" s="29" customFormat="1" ht="19.5" customHeight="1">
      <c r="A381" s="80" t="s">
        <v>650</v>
      </c>
      <c r="B381" s="80" t="s">
        <v>651</v>
      </c>
      <c r="C381" s="80"/>
      <c r="D381" s="92">
        <f>SUM(D382:D383)</f>
        <v>0</v>
      </c>
      <c r="E381" s="92"/>
      <c r="F381" s="92">
        <f>SUM(F382:F383)</f>
        <v>12000</v>
      </c>
      <c r="G381" s="92"/>
      <c r="H381" s="103"/>
      <c r="I381" s="969"/>
      <c r="J381" s="948"/>
      <c r="K381" s="969"/>
      <c r="L381" s="948"/>
      <c r="M381" s="948"/>
      <c r="N381" s="399"/>
      <c r="O381" s="399"/>
      <c r="P381" s="399"/>
      <c r="Q381" s="399"/>
      <c r="R381" s="399"/>
      <c r="S381" s="118"/>
      <c r="T381" s="118"/>
      <c r="U381" s="118"/>
      <c r="V381" s="118"/>
      <c r="W381" s="118"/>
    </row>
    <row r="382" spans="1:23" s="28" customFormat="1" ht="19.5" customHeight="1">
      <c r="A382" s="86"/>
      <c r="B382" s="87"/>
      <c r="C382" s="475" t="s">
        <v>196</v>
      </c>
      <c r="D382" s="94"/>
      <c r="E382" s="94"/>
      <c r="F382" s="94">
        <f>5000+2000</f>
        <v>7000</v>
      </c>
      <c r="G382" s="94"/>
      <c r="H382" s="105"/>
      <c r="I382" s="974"/>
      <c r="J382" s="953"/>
      <c r="K382" s="974"/>
      <c r="L382" s="953"/>
      <c r="M382" s="953"/>
      <c r="N382" s="979"/>
      <c r="O382" s="979"/>
      <c r="P382" s="979"/>
      <c r="Q382" s="979"/>
      <c r="R382" s="979"/>
      <c r="S382" s="15"/>
      <c r="T382" s="15"/>
      <c r="U382" s="15"/>
      <c r="V382" s="15"/>
      <c r="W382" s="15"/>
    </row>
    <row r="383" spans="1:23" s="28" customFormat="1" ht="19.5" customHeight="1">
      <c r="A383" s="652"/>
      <c r="B383" s="95"/>
      <c r="C383" s="84" t="s">
        <v>703</v>
      </c>
      <c r="D383" s="94"/>
      <c r="E383" s="94"/>
      <c r="F383" s="94">
        <v>5000</v>
      </c>
      <c r="G383" s="94"/>
      <c r="H383" s="105"/>
      <c r="I383" s="974"/>
      <c r="J383" s="953"/>
      <c r="K383" s="974"/>
      <c r="L383" s="953"/>
      <c r="M383" s="953"/>
      <c r="N383" s="979"/>
      <c r="O383" s="979"/>
      <c r="P383" s="979"/>
      <c r="Q383" s="979"/>
      <c r="R383" s="979"/>
      <c r="S383" s="15"/>
      <c r="T383" s="15"/>
      <c r="U383" s="15"/>
      <c r="V383" s="15"/>
      <c r="W383" s="15"/>
    </row>
    <row r="384" spans="1:23" s="3" customFormat="1" ht="21.75" customHeight="1">
      <c r="A384" s="670" t="s">
        <v>78</v>
      </c>
      <c r="B384" s="669"/>
      <c r="C384" s="120"/>
      <c r="D384" s="31">
        <f>D209+D214+D220+D226+D238+D241+D315+D322+D327+D369+D380+D381</f>
        <v>1675317.17</v>
      </c>
      <c r="E384" s="31">
        <f>E209+E214+E220+E226+E238+E241+E315+E322+E327+E369+E380+E381</f>
        <v>0</v>
      </c>
      <c r="F384" s="31">
        <f>F209+F214+F220+F226+F238+F241+F315+F322+F327+F369+F380+F381</f>
        <v>2737887.41</v>
      </c>
      <c r="G384" s="31">
        <f>G209+G214+G220+G226+G238+G241+G315+G322+G327+G369+G380+G381</f>
        <v>0</v>
      </c>
      <c r="H384" s="20"/>
      <c r="I384" s="980"/>
      <c r="J384" s="981"/>
      <c r="K384" s="648"/>
      <c r="L384" s="981"/>
      <c r="M384" s="981"/>
      <c r="N384" s="27"/>
      <c r="O384" s="27"/>
      <c r="P384" s="27"/>
      <c r="Q384" s="27"/>
      <c r="R384" s="27"/>
      <c r="S384" s="25"/>
      <c r="T384" s="25"/>
      <c r="U384" s="25"/>
      <c r="V384" s="25"/>
      <c r="W384" s="25"/>
    </row>
    <row r="385" spans="1:23" s="3" customFormat="1" ht="21.75" customHeight="1">
      <c r="A385" s="121"/>
      <c r="B385" s="122"/>
      <c r="C385" s="123"/>
      <c r="D385" s="27"/>
      <c r="E385" s="27"/>
      <c r="F385" s="27"/>
      <c r="G385" s="27"/>
      <c r="H385" s="20"/>
      <c r="I385" s="980"/>
      <c r="J385" s="981"/>
      <c r="K385" s="648"/>
      <c r="L385" s="981"/>
      <c r="M385" s="981"/>
      <c r="N385" s="27"/>
      <c r="O385" s="27"/>
      <c r="P385" s="27"/>
      <c r="Q385" s="27"/>
      <c r="R385" s="27"/>
      <c r="S385" s="25"/>
      <c r="T385" s="25"/>
      <c r="U385" s="25"/>
      <c r="V385" s="25"/>
      <c r="W385" s="25"/>
    </row>
    <row r="386" spans="1:23" s="3" customFormat="1" ht="21.75" customHeight="1">
      <c r="A386" s="121"/>
      <c r="B386" s="122"/>
      <c r="C386" s="123"/>
      <c r="D386" s="27"/>
      <c r="E386" s="27"/>
      <c r="F386" s="27"/>
      <c r="G386" s="27"/>
      <c r="H386" s="20"/>
      <c r="I386" s="980"/>
      <c r="J386" s="981"/>
      <c r="K386" s="648"/>
      <c r="L386" s="981"/>
      <c r="M386" s="981"/>
      <c r="N386" s="27"/>
      <c r="O386" s="27"/>
      <c r="P386" s="27"/>
      <c r="Q386" s="27"/>
      <c r="R386" s="27"/>
      <c r="S386" s="25"/>
      <c r="T386" s="25"/>
      <c r="U386" s="25"/>
      <c r="V386" s="25"/>
      <c r="W386" s="25"/>
    </row>
    <row r="387" spans="1:23" s="3" customFormat="1" ht="21.75" customHeight="1">
      <c r="A387" s="121"/>
      <c r="B387" s="122"/>
      <c r="C387" s="123"/>
      <c r="D387" s="27"/>
      <c r="E387" s="27"/>
      <c r="F387" s="27"/>
      <c r="G387" s="27"/>
      <c r="H387" s="20"/>
      <c r="I387" s="980"/>
      <c r="J387" s="981"/>
      <c r="K387" s="648"/>
      <c r="L387" s="981"/>
      <c r="M387" s="981"/>
      <c r="N387" s="27"/>
      <c r="O387" s="27"/>
      <c r="P387" s="27"/>
      <c r="Q387" s="27"/>
      <c r="R387" s="27"/>
      <c r="S387" s="25"/>
      <c r="T387" s="25"/>
      <c r="U387" s="25"/>
      <c r="V387" s="25"/>
      <c r="W387" s="25"/>
    </row>
    <row r="388" spans="1:23" ht="18.75">
      <c r="A388" s="112" t="s">
        <v>79</v>
      </c>
      <c r="B388" s="98"/>
      <c r="C388" s="114"/>
      <c r="D388" s="18"/>
      <c r="E388" s="18"/>
      <c r="F388" s="18"/>
      <c r="G388" s="18"/>
      <c r="H388" s="21"/>
      <c r="I388" s="970"/>
      <c r="J388" s="948"/>
      <c r="K388" s="949"/>
      <c r="L388" s="947"/>
      <c r="M388" s="924"/>
      <c r="N388" s="12"/>
      <c r="O388" s="12"/>
      <c r="P388" s="12"/>
      <c r="Q388" s="12"/>
      <c r="R388" s="12"/>
      <c r="S388" s="16"/>
      <c r="T388" s="16"/>
      <c r="U388" s="16"/>
      <c r="V388" s="16"/>
      <c r="W388" s="16"/>
    </row>
    <row r="389" spans="1:23" ht="18.75">
      <c r="A389" s="112"/>
      <c r="B389" s="98"/>
      <c r="C389" s="114"/>
      <c r="D389" s="18"/>
      <c r="E389" s="18"/>
      <c r="F389" s="18"/>
      <c r="G389" s="18"/>
      <c r="H389" s="21"/>
      <c r="I389" s="970"/>
      <c r="J389" s="948"/>
      <c r="K389" s="949"/>
      <c r="L389" s="947"/>
      <c r="M389" s="924"/>
      <c r="N389" s="12"/>
      <c r="O389" s="12"/>
      <c r="P389" s="12"/>
      <c r="Q389" s="12"/>
      <c r="R389" s="12"/>
      <c r="S389" s="16"/>
      <c r="T389" s="16"/>
      <c r="U389" s="16"/>
      <c r="V389" s="16"/>
      <c r="W389" s="16"/>
    </row>
    <row r="390" spans="1:23" ht="18.75">
      <c r="A390" s="112"/>
      <c r="B390" s="98"/>
      <c r="C390" s="114"/>
      <c r="D390" s="18"/>
      <c r="E390" s="18"/>
      <c r="F390" s="18"/>
      <c r="G390" s="18"/>
      <c r="H390" s="21"/>
      <c r="I390" s="970"/>
      <c r="J390" s="948"/>
      <c r="K390" s="949"/>
      <c r="L390" s="947"/>
      <c r="M390" s="924"/>
      <c r="N390" s="12"/>
      <c r="O390" s="12"/>
      <c r="P390" s="12"/>
      <c r="Q390" s="12"/>
      <c r="R390" s="12"/>
      <c r="S390" s="16"/>
      <c r="T390" s="16"/>
      <c r="U390" s="16"/>
      <c r="V390" s="16"/>
      <c r="W390" s="16"/>
    </row>
    <row r="391" spans="1:23" ht="18.75">
      <c r="A391" s="115" t="s">
        <v>420</v>
      </c>
      <c r="B391" s="113"/>
      <c r="C391" s="116"/>
      <c r="D391" s="19"/>
      <c r="E391" s="19"/>
      <c r="F391" s="19"/>
      <c r="G391" s="19"/>
      <c r="H391" s="17"/>
      <c r="I391" s="970"/>
      <c r="J391" s="953"/>
      <c r="K391" s="966"/>
      <c r="L391" s="924"/>
      <c r="M391" s="924"/>
      <c r="N391" s="12"/>
      <c r="O391" s="12"/>
      <c r="P391" s="12"/>
      <c r="Q391" s="12"/>
      <c r="R391" s="12"/>
      <c r="S391" s="16"/>
      <c r="T391" s="16"/>
      <c r="U391" s="16"/>
      <c r="V391" s="16"/>
      <c r="W391" s="16"/>
    </row>
    <row r="392" spans="1:23" ht="18.75">
      <c r="A392" s="115"/>
      <c r="B392" s="115"/>
      <c r="C392" s="116"/>
      <c r="D392" s="19"/>
      <c r="E392" s="19"/>
      <c r="F392" s="19"/>
      <c r="G392" s="19"/>
      <c r="H392" s="17"/>
      <c r="I392" s="970"/>
      <c r="J392" s="953"/>
      <c r="K392" s="966"/>
      <c r="L392" s="924"/>
      <c r="M392" s="924"/>
      <c r="N392" s="12"/>
      <c r="O392" s="12"/>
      <c r="P392" s="12"/>
      <c r="Q392" s="12"/>
      <c r="R392" s="12"/>
      <c r="S392" s="16"/>
      <c r="T392" s="16"/>
      <c r="U392" s="16"/>
      <c r="V392" s="16"/>
      <c r="W392" s="16"/>
    </row>
    <row r="393" spans="1:23" ht="18.75">
      <c r="A393" s="115"/>
      <c r="B393" s="115"/>
      <c r="C393" s="116"/>
      <c r="D393" s="19"/>
      <c r="E393" s="19"/>
      <c r="F393" s="19"/>
      <c r="G393" s="19"/>
      <c r="H393" s="17"/>
      <c r="I393" s="970"/>
      <c r="J393" s="953"/>
      <c r="K393" s="966"/>
      <c r="L393" s="924"/>
      <c r="M393" s="924"/>
      <c r="N393" s="12"/>
      <c r="O393" s="12"/>
      <c r="P393" s="12"/>
      <c r="Q393" s="12"/>
      <c r="R393" s="12"/>
      <c r="S393" s="16"/>
      <c r="T393" s="16"/>
      <c r="U393" s="16"/>
      <c r="V393" s="16"/>
      <c r="W393" s="16"/>
    </row>
    <row r="394" spans="1:23" ht="18.75">
      <c r="A394" s="124"/>
      <c r="B394" s="75"/>
      <c r="C394" s="125"/>
      <c r="D394" s="10" t="s">
        <v>69</v>
      </c>
      <c r="E394" s="11"/>
      <c r="F394" s="10" t="s">
        <v>139</v>
      </c>
      <c r="G394" s="11"/>
      <c r="H394" s="17"/>
      <c r="I394" s="970"/>
      <c r="J394" s="953"/>
      <c r="K394" s="966"/>
      <c r="L394" s="924"/>
      <c r="M394" s="924"/>
      <c r="N394" s="12"/>
      <c r="O394" s="12"/>
      <c r="P394" s="12"/>
      <c r="Q394" s="12"/>
      <c r="R394" s="12"/>
      <c r="S394" s="16"/>
      <c r="T394" s="16"/>
      <c r="U394" s="16"/>
      <c r="V394" s="16"/>
      <c r="W394" s="16"/>
    </row>
    <row r="395" spans="1:23" ht="13.5" customHeight="1">
      <c r="A395" s="126"/>
      <c r="B395" s="77"/>
      <c r="C395" s="127"/>
      <c r="D395" s="12" t="s">
        <v>72</v>
      </c>
      <c r="E395" s="11" t="s">
        <v>71</v>
      </c>
      <c r="F395" s="12" t="s">
        <v>72</v>
      </c>
      <c r="G395" s="11" t="s">
        <v>71</v>
      </c>
      <c r="H395" s="17"/>
      <c r="I395" s="949"/>
      <c r="J395" s="953"/>
      <c r="K395" s="966"/>
      <c r="L395" s="924"/>
      <c r="M395" s="924"/>
      <c r="N395" s="12"/>
      <c r="O395" s="12"/>
      <c r="P395" s="12"/>
      <c r="Q395" s="12"/>
      <c r="R395" s="12"/>
      <c r="S395" s="16"/>
      <c r="T395" s="16"/>
      <c r="U395" s="16"/>
      <c r="V395" s="16"/>
      <c r="W395" s="16"/>
    </row>
    <row r="396" spans="1:23" ht="27.75" customHeight="1">
      <c r="A396" s="128" t="s">
        <v>74</v>
      </c>
      <c r="B396" s="129" t="s">
        <v>80</v>
      </c>
      <c r="C396" s="130" t="s">
        <v>75</v>
      </c>
      <c r="D396" s="131" t="s">
        <v>76</v>
      </c>
      <c r="E396" s="132" t="s">
        <v>77</v>
      </c>
      <c r="F396" s="131" t="s">
        <v>76</v>
      </c>
      <c r="G396" s="132" t="s">
        <v>77</v>
      </c>
      <c r="H396" s="17"/>
      <c r="I396" s="970"/>
      <c r="J396" s="953"/>
      <c r="K396" s="966"/>
      <c r="L396" s="924"/>
      <c r="M396" s="924"/>
      <c r="N396" s="12"/>
      <c r="O396" s="12"/>
      <c r="P396" s="12"/>
      <c r="Q396" s="12"/>
      <c r="R396" s="12"/>
      <c r="S396" s="16"/>
      <c r="T396" s="16"/>
      <c r="U396" s="16"/>
      <c r="V396" s="16"/>
      <c r="W396" s="16"/>
    </row>
    <row r="397" spans="1:18" s="360" customFormat="1" ht="18.75" customHeight="1">
      <c r="A397" s="80"/>
      <c r="B397" s="80"/>
      <c r="C397" s="80"/>
      <c r="D397" s="400"/>
      <c r="E397" s="637"/>
      <c r="F397" s="637"/>
      <c r="G397" s="637"/>
      <c r="I397" s="656"/>
      <c r="J397" s="656"/>
      <c r="K397" s="656"/>
      <c r="L397" s="656"/>
      <c r="M397" s="656"/>
      <c r="N397" s="982"/>
      <c r="O397" s="982"/>
      <c r="P397" s="982"/>
      <c r="Q397" s="982"/>
      <c r="R397" s="982"/>
    </row>
    <row r="398" spans="1:18" s="360" customFormat="1" ht="18.75" customHeight="1">
      <c r="A398" s="80" t="s">
        <v>736</v>
      </c>
      <c r="B398" s="80" t="s">
        <v>738</v>
      </c>
      <c r="C398" s="117"/>
      <c r="D398" s="81">
        <f>SUM(D399:D400)</f>
        <v>30000</v>
      </c>
      <c r="E398" s="81">
        <f>SUM(E399:E400)</f>
        <v>0</v>
      </c>
      <c r="F398" s="81">
        <f>SUM(F399:F400)</f>
        <v>40000</v>
      </c>
      <c r="G398" s="81">
        <f>SUM(G399:G400)</f>
        <v>0</v>
      </c>
      <c r="I398" s="656"/>
      <c r="J398" s="656"/>
      <c r="K398" s="656"/>
      <c r="L398" s="656"/>
      <c r="M398" s="656"/>
      <c r="N398" s="982"/>
      <c r="O398" s="982"/>
      <c r="P398" s="982"/>
      <c r="Q398" s="982"/>
      <c r="R398" s="982"/>
    </row>
    <row r="399" spans="1:18" s="360" customFormat="1" ht="18.75" customHeight="1">
      <c r="A399" s="638"/>
      <c r="B399" s="638"/>
      <c r="C399" s="377" t="s">
        <v>862</v>
      </c>
      <c r="D399" s="85"/>
      <c r="E399" s="85"/>
      <c r="F399" s="85">
        <v>40000</v>
      </c>
      <c r="G399" s="85"/>
      <c r="I399" s="656"/>
      <c r="J399" s="656"/>
      <c r="K399" s="656"/>
      <c r="L399" s="656"/>
      <c r="M399" s="656"/>
      <c r="N399" s="982"/>
      <c r="O399" s="982"/>
      <c r="P399" s="982"/>
      <c r="Q399" s="982"/>
      <c r="R399" s="982"/>
    </row>
    <row r="400" spans="1:18" s="360" customFormat="1" ht="18.75" customHeight="1">
      <c r="A400" s="638"/>
      <c r="B400" s="638"/>
      <c r="C400" s="377" t="s">
        <v>124</v>
      </c>
      <c r="D400" s="85">
        <v>30000</v>
      </c>
      <c r="E400" s="85"/>
      <c r="F400" s="85"/>
      <c r="G400" s="85"/>
      <c r="I400" s="656"/>
      <c r="J400" s="656"/>
      <c r="K400" s="656"/>
      <c r="L400" s="656"/>
      <c r="M400" s="656"/>
      <c r="N400" s="982"/>
      <c r="O400" s="982"/>
      <c r="P400" s="982"/>
      <c r="Q400" s="982"/>
      <c r="R400" s="982"/>
    </row>
    <row r="401" spans="1:18" s="360" customFormat="1" ht="18.75" customHeight="1">
      <c r="A401" s="80" t="s">
        <v>201</v>
      </c>
      <c r="B401" s="80" t="s">
        <v>734</v>
      </c>
      <c r="C401" s="80" t="s">
        <v>862</v>
      </c>
      <c r="D401" s="400">
        <v>20000</v>
      </c>
      <c r="E401" s="85"/>
      <c r="F401" s="85"/>
      <c r="G401" s="85"/>
      <c r="I401" s="656"/>
      <c r="J401" s="656"/>
      <c r="K401" s="656"/>
      <c r="L401" s="656"/>
      <c r="M401" s="656"/>
      <c r="N401" s="982"/>
      <c r="O401" s="982"/>
      <c r="P401" s="982"/>
      <c r="Q401" s="982"/>
      <c r="R401" s="982"/>
    </row>
    <row r="402" spans="1:18" s="360" customFormat="1" ht="18.75" customHeight="1">
      <c r="A402" s="82" t="s">
        <v>739</v>
      </c>
      <c r="B402" s="638" t="s">
        <v>740</v>
      </c>
      <c r="C402" s="117"/>
      <c r="D402" s="81">
        <f>SUM(D403:D404)</f>
        <v>2176391</v>
      </c>
      <c r="E402" s="85"/>
      <c r="F402" s="85"/>
      <c r="G402" s="85"/>
      <c r="I402" s="656"/>
      <c r="J402" s="656"/>
      <c r="K402" s="656"/>
      <c r="L402" s="656"/>
      <c r="M402" s="656"/>
      <c r="N402" s="982"/>
      <c r="O402" s="982"/>
      <c r="P402" s="982"/>
      <c r="Q402" s="982"/>
      <c r="R402" s="982"/>
    </row>
    <row r="403" spans="1:18" s="360" customFormat="1" ht="18.75" customHeight="1">
      <c r="A403" s="412"/>
      <c r="B403" s="358"/>
      <c r="C403" s="377" t="s">
        <v>741</v>
      </c>
      <c r="D403" s="85">
        <f>2076391</f>
        <v>2076391</v>
      </c>
      <c r="E403" s="85"/>
      <c r="F403" s="85"/>
      <c r="G403" s="85"/>
      <c r="I403" s="656"/>
      <c r="J403" s="656"/>
      <c r="K403" s="656"/>
      <c r="L403" s="656"/>
      <c r="M403" s="656"/>
      <c r="N403" s="982"/>
      <c r="O403" s="982"/>
      <c r="P403" s="982"/>
      <c r="Q403" s="982"/>
      <c r="R403" s="982"/>
    </row>
    <row r="404" spans="1:18" s="360" customFormat="1" ht="18.75" customHeight="1">
      <c r="A404" s="652"/>
      <c r="B404" s="95"/>
      <c r="C404" s="377" t="s">
        <v>649</v>
      </c>
      <c r="D404" s="85">
        <v>100000</v>
      </c>
      <c r="E404" s="85"/>
      <c r="F404" s="85"/>
      <c r="G404" s="85"/>
      <c r="I404" s="656"/>
      <c r="J404" s="656"/>
      <c r="K404" s="656"/>
      <c r="L404" s="656"/>
      <c r="M404" s="656"/>
      <c r="N404" s="982"/>
      <c r="O404" s="982"/>
      <c r="P404" s="982"/>
      <c r="Q404" s="982"/>
      <c r="R404" s="982"/>
    </row>
    <row r="405" spans="1:18" s="32" customFormat="1" ht="19.5" customHeight="1">
      <c r="A405" s="418" t="s">
        <v>698</v>
      </c>
      <c r="B405" s="418"/>
      <c r="C405" s="117"/>
      <c r="D405" s="81">
        <f>D406+D409+D417+D429+D430+D431</f>
        <v>34251</v>
      </c>
      <c r="E405" s="81">
        <f>E406+E409+E417+E429+E430+E431</f>
        <v>0</v>
      </c>
      <c r="F405" s="81">
        <f>F406+F409+F417+F429+F430+F431</f>
        <v>1048370</v>
      </c>
      <c r="G405" s="81">
        <f>G406+G409+G417+G429+G430+G431</f>
        <v>0</v>
      </c>
      <c r="I405" s="650"/>
      <c r="J405" s="650"/>
      <c r="K405" s="650"/>
      <c r="L405" s="650"/>
      <c r="M405" s="650"/>
      <c r="N405" s="964"/>
      <c r="O405" s="964"/>
      <c r="P405" s="964"/>
      <c r="Q405" s="964"/>
      <c r="R405" s="964"/>
    </row>
    <row r="406" spans="1:18" s="360" customFormat="1" ht="19.5" customHeight="1">
      <c r="A406" s="87"/>
      <c r="B406" s="87" t="s">
        <v>668</v>
      </c>
      <c r="C406" s="377"/>
      <c r="D406" s="85"/>
      <c r="E406" s="94"/>
      <c r="F406" s="85">
        <f>SUM(F407:F408)</f>
        <v>42700</v>
      </c>
      <c r="G406" s="94"/>
      <c r="I406" s="656"/>
      <c r="J406" s="656"/>
      <c r="K406" s="656"/>
      <c r="L406" s="656"/>
      <c r="M406" s="656"/>
      <c r="N406" s="982"/>
      <c r="O406" s="982"/>
      <c r="P406" s="982"/>
      <c r="Q406" s="982"/>
      <c r="R406" s="982"/>
    </row>
    <row r="407" spans="1:18" s="360" customFormat="1" ht="19.5" customHeight="1">
      <c r="A407" s="86"/>
      <c r="B407" s="358"/>
      <c r="C407" s="377" t="s">
        <v>358</v>
      </c>
      <c r="D407" s="85"/>
      <c r="E407" s="94"/>
      <c r="F407" s="85">
        <v>30000</v>
      </c>
      <c r="G407" s="94"/>
      <c r="I407" s="656"/>
      <c r="J407" s="656"/>
      <c r="K407" s="656"/>
      <c r="L407" s="656"/>
      <c r="M407" s="656"/>
      <c r="N407" s="982"/>
      <c r="O407" s="982"/>
      <c r="P407" s="982"/>
      <c r="Q407" s="982"/>
      <c r="R407" s="982"/>
    </row>
    <row r="408" spans="1:18" s="360" customFormat="1" ht="19.5" customHeight="1">
      <c r="A408" s="86"/>
      <c r="B408" s="95"/>
      <c r="C408" s="377" t="s">
        <v>359</v>
      </c>
      <c r="D408" s="85"/>
      <c r="E408" s="94"/>
      <c r="F408" s="85">
        <v>12700</v>
      </c>
      <c r="G408" s="94"/>
      <c r="I408" s="656"/>
      <c r="J408" s="656"/>
      <c r="K408" s="656"/>
      <c r="L408" s="656"/>
      <c r="M408" s="656"/>
      <c r="N408" s="982"/>
      <c r="O408" s="982"/>
      <c r="P408" s="982"/>
      <c r="Q408" s="982"/>
      <c r="R408" s="982"/>
    </row>
    <row r="409" spans="1:18" s="360" customFormat="1" ht="18.75" customHeight="1">
      <c r="A409" s="87"/>
      <c r="B409" s="95" t="s">
        <v>198</v>
      </c>
      <c r="C409" s="377"/>
      <c r="D409" s="85">
        <f>SUM(D410:D416)</f>
        <v>16000</v>
      </c>
      <c r="E409" s="365"/>
      <c r="F409" s="85">
        <f>SUM(F410:F416)</f>
        <v>271000</v>
      </c>
      <c r="G409" s="365"/>
      <c r="I409" s="656"/>
      <c r="J409" s="656"/>
      <c r="K409" s="656"/>
      <c r="L409" s="656"/>
      <c r="M409" s="656"/>
      <c r="N409" s="982"/>
      <c r="O409" s="982"/>
      <c r="P409" s="982"/>
      <c r="Q409" s="982"/>
      <c r="R409" s="982"/>
    </row>
    <row r="410" spans="1:18" s="360" customFormat="1" ht="18.75" customHeight="1">
      <c r="A410" s="87"/>
      <c r="B410" s="359"/>
      <c r="C410" s="377" t="s">
        <v>119</v>
      </c>
      <c r="D410" s="85">
        <v>9500</v>
      </c>
      <c r="E410" s="365"/>
      <c r="F410" s="94"/>
      <c r="G410" s="365"/>
      <c r="I410" s="656"/>
      <c r="J410" s="656"/>
      <c r="K410" s="656"/>
      <c r="L410" s="656"/>
      <c r="M410" s="656"/>
      <c r="N410" s="982"/>
      <c r="O410" s="982"/>
      <c r="P410" s="982"/>
      <c r="Q410" s="982"/>
      <c r="R410" s="982"/>
    </row>
    <row r="411" spans="1:18" s="360" customFormat="1" ht="18.75" customHeight="1">
      <c r="A411" s="87"/>
      <c r="B411" s="359"/>
      <c r="C411" s="377" t="s">
        <v>358</v>
      </c>
      <c r="D411" s="85"/>
      <c r="E411" s="365"/>
      <c r="F411" s="94">
        <f>60000+90000+90000</f>
        <v>240000</v>
      </c>
      <c r="G411" s="365"/>
      <c r="I411" s="656"/>
      <c r="J411" s="656"/>
      <c r="K411" s="656"/>
      <c r="L411" s="656"/>
      <c r="M411" s="656"/>
      <c r="N411" s="982"/>
      <c r="O411" s="982"/>
      <c r="P411" s="982"/>
      <c r="Q411" s="982"/>
      <c r="R411" s="982"/>
    </row>
    <row r="412" spans="1:18" s="360" customFormat="1" ht="18.75" customHeight="1">
      <c r="A412" s="87"/>
      <c r="B412" s="359"/>
      <c r="C412" s="377" t="s">
        <v>359</v>
      </c>
      <c r="D412" s="85"/>
      <c r="E412" s="365"/>
      <c r="F412" s="94">
        <v>5000</v>
      </c>
      <c r="G412" s="365"/>
      <c r="I412" s="656"/>
      <c r="J412" s="656"/>
      <c r="K412" s="656"/>
      <c r="L412" s="656"/>
      <c r="M412" s="656"/>
      <c r="N412" s="982"/>
      <c r="O412" s="982"/>
      <c r="P412" s="982"/>
      <c r="Q412" s="982"/>
      <c r="R412" s="982"/>
    </row>
    <row r="413" spans="1:18" s="360" customFormat="1" ht="18.75" customHeight="1">
      <c r="A413" s="87"/>
      <c r="B413" s="359"/>
      <c r="C413" s="377" t="s">
        <v>115</v>
      </c>
      <c r="D413" s="85">
        <v>5000</v>
      </c>
      <c r="E413" s="365"/>
      <c r="F413" s="94"/>
      <c r="G413" s="365"/>
      <c r="I413" s="656"/>
      <c r="J413" s="656"/>
      <c r="K413" s="656"/>
      <c r="L413" s="656"/>
      <c r="M413" s="656"/>
      <c r="N413" s="982"/>
      <c r="O413" s="982"/>
      <c r="P413" s="982"/>
      <c r="Q413" s="982"/>
      <c r="R413" s="982"/>
    </row>
    <row r="414" spans="1:18" s="360" customFormat="1" ht="18.75" customHeight="1">
      <c r="A414" s="87"/>
      <c r="B414" s="359"/>
      <c r="C414" s="377" t="s">
        <v>360</v>
      </c>
      <c r="D414" s="85"/>
      <c r="E414" s="365"/>
      <c r="F414" s="94">
        <f>12000+8500</f>
        <v>20500</v>
      </c>
      <c r="G414" s="365"/>
      <c r="I414" s="656"/>
      <c r="J414" s="656"/>
      <c r="K414" s="656"/>
      <c r="L414" s="656"/>
      <c r="M414" s="656"/>
      <c r="N414" s="982"/>
      <c r="O414" s="982"/>
      <c r="P414" s="982"/>
      <c r="Q414" s="982"/>
      <c r="R414" s="982"/>
    </row>
    <row r="415" spans="1:18" s="360" customFormat="1" ht="18.75" customHeight="1">
      <c r="A415" s="87"/>
      <c r="B415" s="359"/>
      <c r="C415" s="377" t="s">
        <v>344</v>
      </c>
      <c r="D415" s="85"/>
      <c r="E415" s="365"/>
      <c r="F415" s="94">
        <v>5500</v>
      </c>
      <c r="G415" s="365"/>
      <c r="I415" s="656"/>
      <c r="J415" s="656"/>
      <c r="K415" s="656"/>
      <c r="L415" s="656"/>
      <c r="M415" s="656"/>
      <c r="N415" s="982"/>
      <c r="O415" s="982"/>
      <c r="P415" s="982"/>
      <c r="Q415" s="982"/>
      <c r="R415" s="982"/>
    </row>
    <row r="416" spans="1:18" s="360" customFormat="1" ht="18.75" customHeight="1">
      <c r="A416" s="87"/>
      <c r="B416" s="359"/>
      <c r="C416" s="377" t="s">
        <v>746</v>
      </c>
      <c r="D416" s="85">
        <v>1500</v>
      </c>
      <c r="E416" s="365"/>
      <c r="F416" s="94"/>
      <c r="G416" s="365"/>
      <c r="I416" s="656"/>
      <c r="J416" s="656"/>
      <c r="K416" s="656"/>
      <c r="L416" s="656"/>
      <c r="M416" s="656"/>
      <c r="N416" s="982"/>
      <c r="O416" s="982"/>
      <c r="P416" s="982"/>
      <c r="Q416" s="982"/>
      <c r="R416" s="982"/>
    </row>
    <row r="417" spans="1:18" s="360" customFormat="1" ht="18.75" customHeight="1">
      <c r="A417" s="87"/>
      <c r="B417" s="158" t="s">
        <v>193</v>
      </c>
      <c r="C417" s="377"/>
      <c r="D417" s="85">
        <f>SUM(D418:D428)</f>
        <v>16817</v>
      </c>
      <c r="E417" s="85">
        <f>SUM(E418:E428)</f>
        <v>0</v>
      </c>
      <c r="F417" s="85">
        <f>SUM(F418:F428)</f>
        <v>724730</v>
      </c>
      <c r="G417" s="85">
        <f>SUM(G418:G428)</f>
        <v>0</v>
      </c>
      <c r="I417" s="656"/>
      <c r="J417" s="656"/>
      <c r="K417" s="656"/>
      <c r="L417" s="656"/>
      <c r="M417" s="656"/>
      <c r="N417" s="982"/>
      <c r="O417" s="982"/>
      <c r="P417" s="982"/>
      <c r="Q417" s="982"/>
      <c r="R417" s="982"/>
    </row>
    <row r="418" spans="1:18" s="360" customFormat="1" ht="18.75" customHeight="1">
      <c r="A418" s="87"/>
      <c r="B418" s="359"/>
      <c r="C418" s="377" t="s">
        <v>358</v>
      </c>
      <c r="D418" s="85"/>
      <c r="E418" s="94"/>
      <c r="F418" s="94">
        <f>42000+531000</f>
        <v>573000</v>
      </c>
      <c r="G418" s="94"/>
      <c r="I418" s="656"/>
      <c r="J418" s="656"/>
      <c r="K418" s="656"/>
      <c r="L418" s="656"/>
      <c r="M418" s="656"/>
      <c r="N418" s="982"/>
      <c r="O418" s="982"/>
      <c r="P418" s="982"/>
      <c r="Q418" s="982"/>
      <c r="R418" s="982"/>
    </row>
    <row r="419" spans="1:18" s="360" customFormat="1" ht="18.75" customHeight="1">
      <c r="A419" s="87"/>
      <c r="B419" s="359"/>
      <c r="C419" s="377" t="s">
        <v>359</v>
      </c>
      <c r="D419" s="85"/>
      <c r="E419" s="365"/>
      <c r="F419" s="94">
        <f>12730+50000+45000</f>
        <v>107730</v>
      </c>
      <c r="G419" s="365"/>
      <c r="I419" s="656"/>
      <c r="J419" s="656"/>
      <c r="K419" s="656"/>
      <c r="L419" s="656"/>
      <c r="M419" s="656"/>
      <c r="N419" s="982"/>
      <c r="O419" s="982"/>
      <c r="P419" s="982"/>
      <c r="Q419" s="982"/>
      <c r="R419" s="982"/>
    </row>
    <row r="420" spans="1:18" s="360" customFormat="1" ht="18.75" customHeight="1">
      <c r="A420" s="87"/>
      <c r="B420" s="359"/>
      <c r="C420" s="377" t="s">
        <v>114</v>
      </c>
      <c r="D420" s="85">
        <f>1200</f>
        <v>1200</v>
      </c>
      <c r="E420" s="365"/>
      <c r="F420" s="94"/>
      <c r="G420" s="365"/>
      <c r="I420" s="656"/>
      <c r="J420" s="656"/>
      <c r="K420" s="656"/>
      <c r="L420" s="656"/>
      <c r="M420" s="656"/>
      <c r="N420" s="982"/>
      <c r="O420" s="982"/>
      <c r="P420" s="982"/>
      <c r="Q420" s="982"/>
      <c r="R420" s="982"/>
    </row>
    <row r="421" spans="1:18" s="360" customFormat="1" ht="18.75" customHeight="1">
      <c r="A421" s="87"/>
      <c r="B421" s="359"/>
      <c r="C421" s="377" t="s">
        <v>115</v>
      </c>
      <c r="D421" s="85">
        <v>3030</v>
      </c>
      <c r="E421" s="365"/>
      <c r="F421" s="94"/>
      <c r="G421" s="365"/>
      <c r="I421" s="656"/>
      <c r="J421" s="656"/>
      <c r="K421" s="656"/>
      <c r="L421" s="656"/>
      <c r="M421" s="656"/>
      <c r="N421" s="982"/>
      <c r="O421" s="982"/>
      <c r="P421" s="982"/>
      <c r="Q421" s="982"/>
      <c r="R421" s="982"/>
    </row>
    <row r="422" spans="1:18" s="360" customFormat="1" ht="18.75" customHeight="1">
      <c r="A422" s="87"/>
      <c r="B422" s="359"/>
      <c r="C422" s="377" t="s">
        <v>360</v>
      </c>
      <c r="D422" s="85"/>
      <c r="E422" s="365"/>
      <c r="F422" s="94">
        <v>38000</v>
      </c>
      <c r="G422" s="365"/>
      <c r="I422" s="656"/>
      <c r="J422" s="656"/>
      <c r="K422" s="656"/>
      <c r="L422" s="656"/>
      <c r="M422" s="656"/>
      <c r="N422" s="982"/>
      <c r="O422" s="982"/>
      <c r="P422" s="982"/>
      <c r="Q422" s="982"/>
      <c r="R422" s="982"/>
    </row>
    <row r="423" spans="1:18" s="360" customFormat="1" ht="18.75" customHeight="1">
      <c r="A423" s="87"/>
      <c r="B423" s="359"/>
      <c r="C423" s="377" t="s">
        <v>362</v>
      </c>
      <c r="D423" s="85">
        <v>500</v>
      </c>
      <c r="E423" s="365"/>
      <c r="F423" s="94"/>
      <c r="G423" s="365"/>
      <c r="I423" s="656"/>
      <c r="J423" s="656"/>
      <c r="K423" s="656"/>
      <c r="L423" s="656"/>
      <c r="M423" s="656"/>
      <c r="N423" s="982"/>
      <c r="O423" s="982"/>
      <c r="P423" s="982"/>
      <c r="Q423" s="982"/>
      <c r="R423" s="982"/>
    </row>
    <row r="424" spans="1:18" s="360" customFormat="1" ht="18.75" customHeight="1">
      <c r="A424" s="87"/>
      <c r="B424" s="359"/>
      <c r="C424" s="377" t="s">
        <v>862</v>
      </c>
      <c r="D424" s="85"/>
      <c r="E424" s="365"/>
      <c r="F424" s="94">
        <v>6000</v>
      </c>
      <c r="G424" s="365"/>
      <c r="I424" s="656"/>
      <c r="J424" s="656"/>
      <c r="K424" s="656"/>
      <c r="L424" s="656"/>
      <c r="M424" s="656"/>
      <c r="N424" s="982"/>
      <c r="O424" s="982"/>
      <c r="P424" s="982"/>
      <c r="Q424" s="982"/>
      <c r="R424" s="982"/>
    </row>
    <row r="425" spans="1:18" s="360" customFormat="1" ht="18.75" customHeight="1">
      <c r="A425" s="87"/>
      <c r="B425" s="359"/>
      <c r="C425" s="377" t="s">
        <v>361</v>
      </c>
      <c r="D425" s="85">
        <v>587</v>
      </c>
      <c r="E425" s="365"/>
      <c r="F425" s="94"/>
      <c r="G425" s="365"/>
      <c r="I425" s="656"/>
      <c r="J425" s="656"/>
      <c r="K425" s="656"/>
      <c r="L425" s="656"/>
      <c r="M425" s="656"/>
      <c r="N425" s="982"/>
      <c r="O425" s="982"/>
      <c r="P425" s="982"/>
      <c r="Q425" s="982"/>
      <c r="R425" s="982"/>
    </row>
    <row r="426" spans="1:18" s="360" customFormat="1" ht="18.75" customHeight="1">
      <c r="A426" s="87"/>
      <c r="B426" s="359"/>
      <c r="C426" s="377" t="s">
        <v>117</v>
      </c>
      <c r="D426" s="85">
        <v>500</v>
      </c>
      <c r="E426" s="365"/>
      <c r="F426" s="94"/>
      <c r="G426" s="365"/>
      <c r="I426" s="656"/>
      <c r="J426" s="656"/>
      <c r="K426" s="656"/>
      <c r="L426" s="656"/>
      <c r="M426" s="656"/>
      <c r="N426" s="982"/>
      <c r="O426" s="982"/>
      <c r="P426" s="982"/>
      <c r="Q426" s="982"/>
      <c r="R426" s="982"/>
    </row>
    <row r="427" spans="1:18" s="360" customFormat="1" ht="18.75" customHeight="1">
      <c r="A427" s="87"/>
      <c r="B427" s="359"/>
      <c r="C427" s="377" t="s">
        <v>124</v>
      </c>
      <c r="D427" s="85">
        <v>1000</v>
      </c>
      <c r="E427" s="365"/>
      <c r="F427" s="94"/>
      <c r="G427" s="365"/>
      <c r="I427" s="656"/>
      <c r="J427" s="656"/>
      <c r="K427" s="656"/>
      <c r="L427" s="656"/>
      <c r="M427" s="656"/>
      <c r="N427" s="982"/>
      <c r="O427" s="982"/>
      <c r="P427" s="982"/>
      <c r="Q427" s="982"/>
      <c r="R427" s="982"/>
    </row>
    <row r="428" spans="1:18" s="360" customFormat="1" ht="18.75" customHeight="1">
      <c r="A428" s="87"/>
      <c r="B428" s="359"/>
      <c r="C428" s="377" t="s">
        <v>854</v>
      </c>
      <c r="D428" s="85">
        <v>10000</v>
      </c>
      <c r="E428" s="365"/>
      <c r="F428" s="94"/>
      <c r="G428" s="365"/>
      <c r="I428" s="656"/>
      <c r="J428" s="656"/>
      <c r="K428" s="656"/>
      <c r="L428" s="656"/>
      <c r="M428" s="656"/>
      <c r="N428" s="982"/>
      <c r="O428" s="982"/>
      <c r="P428" s="982"/>
      <c r="Q428" s="982"/>
      <c r="R428" s="982"/>
    </row>
    <row r="429" spans="1:18" s="360" customFormat="1" ht="18.75" customHeight="1">
      <c r="A429" s="87"/>
      <c r="B429" s="158" t="s">
        <v>670</v>
      </c>
      <c r="C429" s="377" t="s">
        <v>196</v>
      </c>
      <c r="D429" s="85"/>
      <c r="E429" s="420"/>
      <c r="F429" s="94">
        <v>2140</v>
      </c>
      <c r="G429" s="420"/>
      <c r="I429" s="656"/>
      <c r="J429" s="656"/>
      <c r="K429" s="656"/>
      <c r="L429" s="656"/>
      <c r="M429" s="656"/>
      <c r="N429" s="982"/>
      <c r="O429" s="982"/>
      <c r="P429" s="982"/>
      <c r="Q429" s="982"/>
      <c r="R429" s="982"/>
    </row>
    <row r="430" spans="1:18" s="360" customFormat="1" ht="18.75" customHeight="1">
      <c r="A430" s="87"/>
      <c r="B430" s="158" t="s">
        <v>791</v>
      </c>
      <c r="C430" s="377" t="s">
        <v>358</v>
      </c>
      <c r="D430" s="85"/>
      <c r="E430" s="420"/>
      <c r="F430" s="94">
        <v>7800</v>
      </c>
      <c r="G430" s="420"/>
      <c r="I430" s="656"/>
      <c r="J430" s="656"/>
      <c r="K430" s="656"/>
      <c r="L430" s="656"/>
      <c r="M430" s="656"/>
      <c r="N430" s="982"/>
      <c r="O430" s="982"/>
      <c r="P430" s="982"/>
      <c r="Q430" s="982"/>
      <c r="R430" s="982"/>
    </row>
    <row r="431" spans="1:18" s="360" customFormat="1" ht="18.75" customHeight="1">
      <c r="A431" s="87"/>
      <c r="B431" s="377" t="s">
        <v>64</v>
      </c>
      <c r="C431" s="158"/>
      <c r="D431" s="85">
        <f>SUM(D432:D433)</f>
        <v>1434</v>
      </c>
      <c r="E431" s="85">
        <f>SUM(E432:E433)</f>
        <v>0</v>
      </c>
      <c r="F431" s="85">
        <f>SUM(F432:F433)</f>
        <v>0</v>
      </c>
      <c r="G431" s="85">
        <f>SUM(G432:G433)</f>
        <v>0</v>
      </c>
      <c r="I431" s="656"/>
      <c r="J431" s="656"/>
      <c r="K431" s="656"/>
      <c r="L431" s="656"/>
      <c r="M431" s="656"/>
      <c r="N431" s="982"/>
      <c r="O431" s="982"/>
      <c r="P431" s="982"/>
      <c r="Q431" s="982"/>
      <c r="R431" s="982"/>
    </row>
    <row r="432" spans="1:18" s="360" customFormat="1" ht="18.75" customHeight="1">
      <c r="A432" s="87"/>
      <c r="B432" s="377"/>
      <c r="C432" s="158" t="s">
        <v>196</v>
      </c>
      <c r="D432" s="85">
        <v>774</v>
      </c>
      <c r="E432" s="365"/>
      <c r="F432" s="420"/>
      <c r="G432" s="365"/>
      <c r="I432" s="656"/>
      <c r="J432" s="656"/>
      <c r="K432" s="656"/>
      <c r="L432" s="656"/>
      <c r="M432" s="656"/>
      <c r="N432" s="982"/>
      <c r="O432" s="982"/>
      <c r="P432" s="982"/>
      <c r="Q432" s="982"/>
      <c r="R432" s="982"/>
    </row>
    <row r="433" spans="1:18" s="360" customFormat="1" ht="18.75" customHeight="1">
      <c r="A433" s="95"/>
      <c r="B433" s="475"/>
      <c r="C433" s="84" t="s">
        <v>862</v>
      </c>
      <c r="D433" s="85">
        <v>660</v>
      </c>
      <c r="E433" s="365"/>
      <c r="F433" s="420"/>
      <c r="G433" s="365"/>
      <c r="I433" s="656"/>
      <c r="J433" s="656"/>
      <c r="K433" s="656"/>
      <c r="L433" s="656"/>
      <c r="M433" s="656"/>
      <c r="N433" s="982"/>
      <c r="O433" s="982"/>
      <c r="P433" s="982"/>
      <c r="Q433" s="982"/>
      <c r="R433" s="982"/>
    </row>
    <row r="434" spans="1:18" s="32" customFormat="1" ht="18.75" customHeight="1">
      <c r="A434" s="82" t="s">
        <v>199</v>
      </c>
      <c r="B434" s="82"/>
      <c r="C434" s="83"/>
      <c r="D434" s="81">
        <f>D435+D443</f>
        <v>307</v>
      </c>
      <c r="E434" s="81">
        <f>E435+E443</f>
        <v>0</v>
      </c>
      <c r="F434" s="81">
        <f>F435+F443</f>
        <v>58372</v>
      </c>
      <c r="G434" s="81">
        <f>G435+G443</f>
        <v>0</v>
      </c>
      <c r="I434" s="650"/>
      <c r="J434" s="650"/>
      <c r="K434" s="650"/>
      <c r="L434" s="650"/>
      <c r="M434" s="650"/>
      <c r="N434" s="964"/>
      <c r="O434" s="964"/>
      <c r="P434" s="964"/>
      <c r="Q434" s="964"/>
      <c r="R434" s="964"/>
    </row>
    <row r="435" spans="1:18" s="360" customFormat="1" ht="18.75" customHeight="1">
      <c r="A435" s="358"/>
      <c r="B435" s="84" t="s">
        <v>200</v>
      </c>
      <c r="C435" s="475"/>
      <c r="D435" s="85">
        <f>SUM(D436:D442)</f>
        <v>307</v>
      </c>
      <c r="E435" s="85">
        <f>SUM(E436:E442)</f>
        <v>0</v>
      </c>
      <c r="F435" s="85">
        <f>SUM(F436:F442)</f>
        <v>12372</v>
      </c>
      <c r="G435" s="85">
        <f>SUM(G436:G442)</f>
        <v>0</v>
      </c>
      <c r="I435" s="656"/>
      <c r="J435" s="656"/>
      <c r="K435" s="656"/>
      <c r="L435" s="656"/>
      <c r="M435" s="656"/>
      <c r="N435" s="982"/>
      <c r="O435" s="982"/>
      <c r="P435" s="982"/>
      <c r="Q435" s="982"/>
      <c r="R435" s="982"/>
    </row>
    <row r="436" spans="1:18" s="360" customFormat="1" ht="18.75" customHeight="1">
      <c r="A436" s="87"/>
      <c r="B436" s="359"/>
      <c r="C436" s="475" t="s">
        <v>119</v>
      </c>
      <c r="D436" s="85">
        <v>307</v>
      </c>
      <c r="E436" s="365"/>
      <c r="F436" s="94"/>
      <c r="G436" s="365"/>
      <c r="I436" s="656"/>
      <c r="J436" s="656"/>
      <c r="K436" s="656"/>
      <c r="L436" s="656"/>
      <c r="M436" s="656"/>
      <c r="N436" s="982"/>
      <c r="O436" s="982"/>
      <c r="P436" s="982"/>
      <c r="Q436" s="982"/>
      <c r="R436" s="982"/>
    </row>
    <row r="437" spans="1:18" s="360" customFormat="1" ht="18.75" customHeight="1">
      <c r="A437" s="87"/>
      <c r="B437" s="359"/>
      <c r="C437" s="84" t="s">
        <v>358</v>
      </c>
      <c r="D437" s="85"/>
      <c r="E437" s="365"/>
      <c r="F437" s="420">
        <f>3734+511+3302</f>
        <v>7547</v>
      </c>
      <c r="G437" s="365"/>
      <c r="I437" s="656"/>
      <c r="J437" s="656"/>
      <c r="K437" s="656"/>
      <c r="L437" s="656"/>
      <c r="M437" s="656"/>
      <c r="N437" s="982"/>
      <c r="O437" s="982"/>
      <c r="P437" s="982"/>
      <c r="Q437" s="982"/>
      <c r="R437" s="982"/>
    </row>
    <row r="438" spans="1:18" s="360" customFormat="1" ht="18.75" customHeight="1">
      <c r="A438" s="87"/>
      <c r="B438" s="359"/>
      <c r="C438" s="84" t="s">
        <v>359</v>
      </c>
      <c r="D438" s="85"/>
      <c r="E438" s="365"/>
      <c r="F438" s="420">
        <f>709+773</f>
        <v>1482</v>
      </c>
      <c r="G438" s="365"/>
      <c r="I438" s="656"/>
      <c r="J438" s="656"/>
      <c r="K438" s="656"/>
      <c r="L438" s="656"/>
      <c r="M438" s="656"/>
      <c r="N438" s="982"/>
      <c r="O438" s="982"/>
      <c r="P438" s="982"/>
      <c r="Q438" s="982"/>
      <c r="R438" s="982"/>
    </row>
    <row r="439" spans="1:18" s="360" customFormat="1" ht="18.75" customHeight="1">
      <c r="A439" s="87"/>
      <c r="B439" s="359"/>
      <c r="C439" s="84" t="s">
        <v>114</v>
      </c>
      <c r="D439" s="85"/>
      <c r="E439" s="365"/>
      <c r="F439" s="420">
        <f>101+12</f>
        <v>113</v>
      </c>
      <c r="G439" s="365"/>
      <c r="I439" s="656"/>
      <c r="J439" s="656"/>
      <c r="K439" s="656"/>
      <c r="L439" s="656"/>
      <c r="M439" s="656"/>
      <c r="N439" s="982"/>
      <c r="O439" s="982"/>
      <c r="P439" s="982"/>
      <c r="Q439" s="982"/>
      <c r="R439" s="982"/>
    </row>
    <row r="440" spans="1:18" s="360" customFormat="1" ht="18.75" customHeight="1">
      <c r="A440" s="87"/>
      <c r="B440" s="359"/>
      <c r="C440" s="377" t="s">
        <v>360</v>
      </c>
      <c r="D440" s="85"/>
      <c r="E440" s="365"/>
      <c r="F440" s="420">
        <v>500</v>
      </c>
      <c r="G440" s="365"/>
      <c r="I440" s="656"/>
      <c r="J440" s="656"/>
      <c r="K440" s="656"/>
      <c r="L440" s="656"/>
      <c r="M440" s="656"/>
      <c r="N440" s="982"/>
      <c r="O440" s="982"/>
      <c r="P440" s="982"/>
      <c r="Q440" s="982"/>
      <c r="R440" s="982"/>
    </row>
    <row r="441" spans="1:18" s="360" customFormat="1" ht="18.75" customHeight="1">
      <c r="A441" s="87"/>
      <c r="B441" s="359"/>
      <c r="C441" s="377" t="s">
        <v>344</v>
      </c>
      <c r="D441" s="85"/>
      <c r="E441" s="365"/>
      <c r="F441" s="420">
        <v>1500</v>
      </c>
      <c r="G441" s="365"/>
      <c r="I441" s="656"/>
      <c r="J441" s="656"/>
      <c r="K441" s="656"/>
      <c r="L441" s="656"/>
      <c r="M441" s="656"/>
      <c r="N441" s="982"/>
      <c r="O441" s="982"/>
      <c r="P441" s="982"/>
      <c r="Q441" s="982"/>
      <c r="R441" s="982"/>
    </row>
    <row r="442" spans="1:18" s="360" customFormat="1" ht="18.75" customHeight="1">
      <c r="A442" s="87"/>
      <c r="B442" s="359"/>
      <c r="C442" s="377" t="s">
        <v>854</v>
      </c>
      <c r="D442" s="671"/>
      <c r="E442" s="365"/>
      <c r="F442" s="420">
        <f>1230</f>
        <v>1230</v>
      </c>
      <c r="G442" s="365"/>
      <c r="I442" s="656"/>
      <c r="J442" s="656"/>
      <c r="K442" s="656"/>
      <c r="L442" s="656"/>
      <c r="M442" s="656"/>
      <c r="N442" s="982"/>
      <c r="O442" s="982"/>
      <c r="P442" s="982"/>
      <c r="Q442" s="982"/>
      <c r="R442" s="982"/>
    </row>
    <row r="443" spans="1:18" s="360" customFormat="1" ht="18.75" customHeight="1">
      <c r="A443" s="86"/>
      <c r="B443" s="666" t="s">
        <v>669</v>
      </c>
      <c r="C443" s="158"/>
      <c r="D443" s="483"/>
      <c r="E443" s="365"/>
      <c r="F443" s="420">
        <f>SUM(F444:F445)</f>
        <v>46000</v>
      </c>
      <c r="G443" s="365"/>
      <c r="I443" s="656"/>
      <c r="J443" s="656"/>
      <c r="K443" s="656"/>
      <c r="L443" s="656"/>
      <c r="M443" s="656"/>
      <c r="N443" s="982"/>
      <c r="O443" s="982"/>
      <c r="P443" s="982"/>
      <c r="Q443" s="982"/>
      <c r="R443" s="982"/>
    </row>
    <row r="444" spans="1:18" s="360" customFormat="1" ht="18.75" customHeight="1">
      <c r="A444" s="86"/>
      <c r="B444" s="122"/>
      <c r="C444" s="158" t="s">
        <v>358</v>
      </c>
      <c r="D444" s="483"/>
      <c r="E444" s="365"/>
      <c r="F444" s="420">
        <v>11000</v>
      </c>
      <c r="G444" s="365"/>
      <c r="I444" s="656"/>
      <c r="J444" s="656"/>
      <c r="K444" s="656"/>
      <c r="L444" s="656"/>
      <c r="M444" s="656"/>
      <c r="N444" s="982"/>
      <c r="O444" s="982"/>
      <c r="P444" s="982"/>
      <c r="Q444" s="982"/>
      <c r="R444" s="982"/>
    </row>
    <row r="445" spans="1:18" s="360" customFormat="1" ht="18.75" customHeight="1">
      <c r="A445" s="86"/>
      <c r="B445" s="122"/>
      <c r="C445" s="158" t="s">
        <v>849</v>
      </c>
      <c r="D445" s="94"/>
      <c r="E445" s="365"/>
      <c r="F445" s="420">
        <v>35000</v>
      </c>
      <c r="G445" s="365"/>
      <c r="I445" s="656"/>
      <c r="J445" s="656"/>
      <c r="K445" s="656"/>
      <c r="L445" s="656"/>
      <c r="M445" s="656"/>
      <c r="N445" s="982"/>
      <c r="O445" s="982"/>
      <c r="P445" s="982"/>
      <c r="Q445" s="982"/>
      <c r="R445" s="982"/>
    </row>
    <row r="446" spans="1:23" s="3" customFormat="1" ht="21.75" customHeight="1">
      <c r="A446" s="641" t="s">
        <v>78</v>
      </c>
      <c r="B446" s="119"/>
      <c r="C446" s="84"/>
      <c r="D446" s="31">
        <f>D398+D401+D402+D405+D434</f>
        <v>2260949</v>
      </c>
      <c r="E446" s="31">
        <f>E398+E401+E402+E405+E434</f>
        <v>0</v>
      </c>
      <c r="F446" s="31">
        <f>F398+F401+F402+F405+F434</f>
        <v>1146742</v>
      </c>
      <c r="G446" s="31">
        <f>G398+G401+G402+G405+G434</f>
        <v>0</v>
      </c>
      <c r="H446" s="20"/>
      <c r="I446" s="980"/>
      <c r="J446" s="648"/>
      <c r="K446" s="648"/>
      <c r="L446" s="981"/>
      <c r="M446" s="981"/>
      <c r="N446" s="27"/>
      <c r="O446" s="27"/>
      <c r="P446" s="27"/>
      <c r="Q446" s="27"/>
      <c r="R446" s="27"/>
      <c r="S446" s="25"/>
      <c r="T446" s="25"/>
      <c r="U446" s="25"/>
      <c r="V446" s="25"/>
      <c r="W446" s="25"/>
    </row>
    <row r="447" spans="1:23" s="3" customFormat="1" ht="21.75" customHeight="1">
      <c r="A447" s="121"/>
      <c r="B447" s="122"/>
      <c r="C447" s="122"/>
      <c r="D447" s="27"/>
      <c r="E447" s="27"/>
      <c r="F447" s="27"/>
      <c r="G447" s="27"/>
      <c r="H447" s="20"/>
      <c r="I447" s="980"/>
      <c r="J447" s="648"/>
      <c r="K447" s="648"/>
      <c r="L447" s="981"/>
      <c r="M447" s="981"/>
      <c r="N447" s="27"/>
      <c r="O447" s="27"/>
      <c r="P447" s="27"/>
      <c r="Q447" s="27"/>
      <c r="R447" s="27"/>
      <c r="S447" s="25"/>
      <c r="T447" s="25"/>
      <c r="U447" s="25"/>
      <c r="V447" s="25"/>
      <c r="W447" s="25"/>
    </row>
    <row r="448" spans="1:18" s="32" customFormat="1" ht="20.25" customHeight="1">
      <c r="A448" s="133" t="s">
        <v>421</v>
      </c>
      <c r="B448" s="98"/>
      <c r="C448" s="99"/>
      <c r="D448" s="16"/>
      <c r="E448" s="16"/>
      <c r="F448" s="27"/>
      <c r="G448" s="27"/>
      <c r="H448" s="20"/>
      <c r="I448" s="650"/>
      <c r="J448" s="650"/>
      <c r="K448" s="650"/>
      <c r="L448" s="650"/>
      <c r="M448" s="650"/>
      <c r="N448" s="964"/>
      <c r="O448" s="964"/>
      <c r="P448" s="964"/>
      <c r="Q448" s="964"/>
      <c r="R448" s="964"/>
    </row>
    <row r="449" spans="1:18" s="32" customFormat="1" ht="20.25" customHeight="1">
      <c r="A449" s="134" t="s">
        <v>702</v>
      </c>
      <c r="B449" s="98"/>
      <c r="C449" s="135"/>
      <c r="D449" s="22"/>
      <c r="E449" s="16"/>
      <c r="F449" s="27"/>
      <c r="G449" s="27"/>
      <c r="H449" s="20"/>
      <c r="I449" s="650"/>
      <c r="J449" s="650"/>
      <c r="K449" s="650"/>
      <c r="L449" s="650"/>
      <c r="M449" s="650"/>
      <c r="N449" s="964"/>
      <c r="O449" s="964"/>
      <c r="P449" s="964"/>
      <c r="Q449" s="964"/>
      <c r="R449" s="964"/>
    </row>
    <row r="450" spans="1:18" s="32" customFormat="1" ht="20.25" customHeight="1">
      <c r="A450" s="134"/>
      <c r="B450" s="98"/>
      <c r="C450" s="135"/>
      <c r="D450" s="22"/>
      <c r="E450" s="16"/>
      <c r="F450" s="27"/>
      <c r="G450" s="27"/>
      <c r="H450" s="20"/>
      <c r="I450" s="650"/>
      <c r="J450" s="650"/>
      <c r="K450" s="650"/>
      <c r="L450" s="650"/>
      <c r="M450" s="650"/>
      <c r="N450" s="964"/>
      <c r="O450" s="964"/>
      <c r="P450" s="964"/>
      <c r="Q450" s="964"/>
      <c r="R450" s="964"/>
    </row>
    <row r="451" spans="1:18" s="32" customFormat="1" ht="20.25" customHeight="1">
      <c r="A451" s="138"/>
      <c r="B451" s="122"/>
      <c r="C451" s="122"/>
      <c r="D451" s="34"/>
      <c r="E451" s="34"/>
      <c r="F451" s="34"/>
      <c r="G451" s="27"/>
      <c r="H451" s="36"/>
      <c r="I451" s="650"/>
      <c r="J451" s="650"/>
      <c r="K451" s="650"/>
      <c r="L451" s="650"/>
      <c r="M451" s="650"/>
      <c r="N451" s="964"/>
      <c r="O451" s="964"/>
      <c r="P451" s="964"/>
      <c r="Q451" s="964"/>
      <c r="R451" s="964"/>
    </row>
    <row r="452" spans="1:18" s="32" customFormat="1" ht="20.25" customHeight="1">
      <c r="A452" s="136" t="s">
        <v>140</v>
      </c>
      <c r="B452" s="137"/>
      <c r="C452" s="122"/>
      <c r="D452" s="34"/>
      <c r="E452" s="34"/>
      <c r="F452" s="34"/>
      <c r="G452" s="34"/>
      <c r="H452" s="35"/>
      <c r="I452" s="650"/>
      <c r="J452" s="650"/>
      <c r="K452" s="650"/>
      <c r="L452" s="650"/>
      <c r="M452" s="650"/>
      <c r="N452" s="964"/>
      <c r="O452" s="964"/>
      <c r="P452" s="964"/>
      <c r="Q452" s="964"/>
      <c r="R452" s="964"/>
    </row>
    <row r="453" spans="1:18" s="32" customFormat="1" ht="20.25" customHeight="1">
      <c r="A453" s="136"/>
      <c r="B453" s="137"/>
      <c r="C453" s="122"/>
      <c r="D453" s="34"/>
      <c r="E453" s="34"/>
      <c r="F453" s="34"/>
      <c r="G453" s="34"/>
      <c r="H453" s="35"/>
      <c r="I453" s="650"/>
      <c r="J453" s="650"/>
      <c r="K453" s="650"/>
      <c r="L453" s="650"/>
      <c r="M453" s="650"/>
      <c r="N453" s="964"/>
      <c r="O453" s="964"/>
      <c r="P453" s="964"/>
      <c r="Q453" s="964"/>
      <c r="R453" s="964"/>
    </row>
    <row r="454" spans="1:18" s="32" customFormat="1" ht="20.25" customHeight="1">
      <c r="A454" s="136" t="s">
        <v>379</v>
      </c>
      <c r="B454" s="137"/>
      <c r="C454" s="122"/>
      <c r="D454" s="34"/>
      <c r="E454" s="34"/>
      <c r="F454" s="34"/>
      <c r="G454" s="34"/>
      <c r="H454" s="25">
        <f>H456+H461+H466+H476+H480</f>
        <v>491715.3</v>
      </c>
      <c r="I454" s="650"/>
      <c r="J454" s="650"/>
      <c r="K454" s="650"/>
      <c r="L454" s="650"/>
      <c r="M454" s="650"/>
      <c r="N454" s="964"/>
      <c r="O454" s="964"/>
      <c r="P454" s="964"/>
      <c r="Q454" s="964"/>
      <c r="R454" s="964"/>
    </row>
    <row r="455" spans="1:18" s="360" customFormat="1" ht="15.75" customHeight="1">
      <c r="A455" s="115" t="s">
        <v>71</v>
      </c>
      <c r="B455" s="137"/>
      <c r="C455" s="122"/>
      <c r="D455" s="34"/>
      <c r="E455" s="34"/>
      <c r="F455" s="34"/>
      <c r="G455" s="34"/>
      <c r="H455" s="35"/>
      <c r="I455" s="656"/>
      <c r="J455" s="656"/>
      <c r="K455" s="656"/>
      <c r="L455" s="656"/>
      <c r="M455" s="656"/>
      <c r="N455" s="982"/>
      <c r="O455" s="982"/>
      <c r="P455" s="982"/>
      <c r="Q455" s="982"/>
      <c r="R455" s="982"/>
    </row>
    <row r="456" spans="1:18" s="32" customFormat="1" ht="18" customHeight="1">
      <c r="A456" s="101" t="s">
        <v>380</v>
      </c>
      <c r="B456" s="672"/>
      <c r="C456" s="90"/>
      <c r="D456" s="27"/>
      <c r="E456" s="27"/>
      <c r="F456" s="27"/>
      <c r="G456" s="27"/>
      <c r="H456" s="25">
        <f>H459</f>
        <v>348614</v>
      </c>
      <c r="I456" s="650"/>
      <c r="J456" s="650"/>
      <c r="K456" s="650"/>
      <c r="L456" s="650"/>
      <c r="M456" s="650"/>
      <c r="N456" s="964"/>
      <c r="O456" s="964"/>
      <c r="P456" s="964"/>
      <c r="Q456" s="964"/>
      <c r="R456" s="964"/>
    </row>
    <row r="457" spans="1:18" s="360" customFormat="1" ht="15.75" customHeight="1">
      <c r="A457" s="115" t="s">
        <v>71</v>
      </c>
      <c r="B457" s="137"/>
      <c r="C457" s="122"/>
      <c r="D457" s="34"/>
      <c r="E457" s="34"/>
      <c r="F457" s="34"/>
      <c r="G457" s="34"/>
      <c r="H457" s="35"/>
      <c r="I457" s="656"/>
      <c r="J457" s="656"/>
      <c r="K457" s="656"/>
      <c r="L457" s="656"/>
      <c r="M457" s="656"/>
      <c r="N457" s="982"/>
      <c r="O457" s="982"/>
      <c r="P457" s="982"/>
      <c r="Q457" s="982"/>
      <c r="R457" s="982"/>
    </row>
    <row r="458" spans="1:18" s="360" customFormat="1" ht="17.25" customHeight="1">
      <c r="A458" s="115"/>
      <c r="B458" s="137" t="s">
        <v>381</v>
      </c>
      <c r="C458" s="122"/>
      <c r="D458" s="34"/>
      <c r="E458" s="34"/>
      <c r="F458" s="34"/>
      <c r="G458" s="34"/>
      <c r="H458" s="35"/>
      <c r="I458" s="656"/>
      <c r="J458" s="656"/>
      <c r="K458" s="656"/>
      <c r="L458" s="656"/>
      <c r="M458" s="656"/>
      <c r="N458" s="982"/>
      <c r="O458" s="982"/>
      <c r="P458" s="982"/>
      <c r="Q458" s="982"/>
      <c r="R458" s="982"/>
    </row>
    <row r="459" spans="1:18" s="360" customFormat="1" ht="15.75" customHeight="1">
      <c r="A459" s="115"/>
      <c r="B459" s="137" t="s">
        <v>382</v>
      </c>
      <c r="C459" s="122"/>
      <c r="D459" s="34"/>
      <c r="E459" s="34"/>
      <c r="F459" s="34"/>
      <c r="G459" s="34"/>
      <c r="H459" s="35">
        <f>302000-13386+60000</f>
        <v>348614</v>
      </c>
      <c r="I459" s="656"/>
      <c r="J459" s="656"/>
      <c r="K459" s="656"/>
      <c r="L459" s="656"/>
      <c r="M459" s="656"/>
      <c r="N459" s="982"/>
      <c r="O459" s="982"/>
      <c r="P459" s="982"/>
      <c r="Q459" s="982"/>
      <c r="R459" s="982"/>
    </row>
    <row r="460" spans="1:18" s="360" customFormat="1" ht="20.25" customHeight="1">
      <c r="A460" s="115"/>
      <c r="B460" s="137"/>
      <c r="C460" s="122"/>
      <c r="D460" s="34"/>
      <c r="E460" s="34"/>
      <c r="F460" s="34"/>
      <c r="G460" s="34"/>
      <c r="H460" s="35"/>
      <c r="I460" s="656"/>
      <c r="J460" s="656"/>
      <c r="K460" s="656"/>
      <c r="L460" s="656"/>
      <c r="M460" s="656"/>
      <c r="N460" s="982"/>
      <c r="O460" s="982"/>
      <c r="P460" s="982"/>
      <c r="Q460" s="982"/>
      <c r="R460" s="982"/>
    </row>
    <row r="461" spans="1:18" s="32" customFormat="1" ht="20.25" customHeight="1">
      <c r="A461" s="101" t="s">
        <v>386</v>
      </c>
      <c r="B461" s="672"/>
      <c r="C461" s="90"/>
      <c r="D461" s="27"/>
      <c r="E461" s="27"/>
      <c r="F461" s="27"/>
      <c r="G461" s="27"/>
      <c r="H461" s="25">
        <f>H464</f>
        <v>50707.86</v>
      </c>
      <c r="I461" s="650"/>
      <c r="J461" s="650"/>
      <c r="K461" s="650"/>
      <c r="L461" s="650"/>
      <c r="M461" s="650"/>
      <c r="N461" s="964"/>
      <c r="O461" s="964"/>
      <c r="P461" s="964"/>
      <c r="Q461" s="964"/>
      <c r="R461" s="964"/>
    </row>
    <row r="462" spans="1:18" s="360" customFormat="1" ht="20.25" customHeight="1">
      <c r="A462" s="115" t="s">
        <v>71</v>
      </c>
      <c r="B462" s="137"/>
      <c r="C462" s="122"/>
      <c r="D462" s="34"/>
      <c r="E462" s="34"/>
      <c r="F462" s="34"/>
      <c r="G462" s="34"/>
      <c r="H462" s="35"/>
      <c r="I462" s="656"/>
      <c r="J462" s="656"/>
      <c r="K462" s="656"/>
      <c r="L462" s="656"/>
      <c r="M462" s="656"/>
      <c r="N462" s="982"/>
      <c r="O462" s="982"/>
      <c r="P462" s="982"/>
      <c r="Q462" s="982"/>
      <c r="R462" s="982"/>
    </row>
    <row r="463" spans="1:18" s="360" customFormat="1" ht="20.25" customHeight="1">
      <c r="A463" s="115"/>
      <c r="B463" s="137" t="s">
        <v>384</v>
      </c>
      <c r="C463" s="122"/>
      <c r="D463" s="34"/>
      <c r="E463" s="34"/>
      <c r="F463" s="34"/>
      <c r="G463" s="34"/>
      <c r="H463" s="35"/>
      <c r="I463" s="656"/>
      <c r="J463" s="656"/>
      <c r="K463" s="656"/>
      <c r="L463" s="656"/>
      <c r="M463" s="656"/>
      <c r="N463" s="982"/>
      <c r="O463" s="982"/>
      <c r="P463" s="982"/>
      <c r="Q463" s="982"/>
      <c r="R463" s="982"/>
    </row>
    <row r="464" spans="1:18" s="360" customFormat="1" ht="20.25" customHeight="1">
      <c r="A464" s="115"/>
      <c r="B464" s="137" t="s">
        <v>385</v>
      </c>
      <c r="C464" s="122"/>
      <c r="D464" s="34"/>
      <c r="E464" s="34"/>
      <c r="F464" s="34"/>
      <c r="G464" s="34"/>
      <c r="H464" s="35">
        <f>13386+31000+6321.86</f>
        <v>50707.86</v>
      </c>
      <c r="I464" s="656"/>
      <c r="J464" s="656"/>
      <c r="K464" s="656"/>
      <c r="L464" s="656"/>
      <c r="M464" s="656"/>
      <c r="N464" s="982"/>
      <c r="O464" s="982"/>
      <c r="P464" s="982"/>
      <c r="Q464" s="982"/>
      <c r="R464" s="982"/>
    </row>
    <row r="465" spans="1:18" s="360" customFormat="1" ht="20.25" customHeight="1">
      <c r="A465" s="115"/>
      <c r="B465" s="137"/>
      <c r="C465" s="122"/>
      <c r="D465" s="34"/>
      <c r="E465" s="34"/>
      <c r="F465" s="34"/>
      <c r="G465" s="34"/>
      <c r="H465" s="35"/>
      <c r="I465" s="656"/>
      <c r="J465" s="656"/>
      <c r="K465" s="656"/>
      <c r="L465" s="656"/>
      <c r="M465" s="656"/>
      <c r="N465" s="982"/>
      <c r="O465" s="982"/>
      <c r="P465" s="982"/>
      <c r="Q465" s="982"/>
      <c r="R465" s="982"/>
    </row>
    <row r="466" spans="1:18" s="32" customFormat="1" ht="20.25" customHeight="1">
      <c r="A466" s="101" t="s">
        <v>403</v>
      </c>
      <c r="B466" s="672"/>
      <c r="C466" s="90"/>
      <c r="D466" s="27"/>
      <c r="E466" s="27"/>
      <c r="F466" s="27"/>
      <c r="G466" s="27"/>
      <c r="H466" s="25">
        <f>H468+H471</f>
        <v>4465</v>
      </c>
      <c r="I466" s="650"/>
      <c r="J466" s="650"/>
      <c r="K466" s="650"/>
      <c r="L466" s="650"/>
      <c r="M466" s="650"/>
      <c r="N466" s="964"/>
      <c r="O466" s="964"/>
      <c r="P466" s="964"/>
      <c r="Q466" s="964"/>
      <c r="R466" s="964"/>
    </row>
    <row r="467" spans="1:18" s="360" customFormat="1" ht="20.25" customHeight="1">
      <c r="A467" s="115" t="s">
        <v>71</v>
      </c>
      <c r="B467" s="137"/>
      <c r="C467" s="122"/>
      <c r="D467" s="34"/>
      <c r="E467" s="34"/>
      <c r="F467" s="34"/>
      <c r="G467" s="34"/>
      <c r="H467" s="35"/>
      <c r="I467" s="656"/>
      <c r="J467" s="656"/>
      <c r="K467" s="656"/>
      <c r="L467" s="656"/>
      <c r="M467" s="656"/>
      <c r="N467" s="982"/>
      <c r="O467" s="982"/>
      <c r="P467" s="982"/>
      <c r="Q467" s="982"/>
      <c r="R467" s="982"/>
    </row>
    <row r="468" spans="1:18" s="360" customFormat="1" ht="20.25" customHeight="1">
      <c r="A468" s="115" t="s">
        <v>72</v>
      </c>
      <c r="B468" s="700" t="s">
        <v>398</v>
      </c>
      <c r="C468" s="701"/>
      <c r="D468" s="702"/>
      <c r="E468" s="702"/>
      <c r="F468" s="702"/>
      <c r="G468" s="702"/>
      <c r="H468" s="36">
        <f>H469</f>
        <v>427</v>
      </c>
      <c r="I468" s="656"/>
      <c r="J468" s="656"/>
      <c r="K468" s="656"/>
      <c r="L468" s="656"/>
      <c r="M468" s="656"/>
      <c r="N468" s="982"/>
      <c r="O468" s="982"/>
      <c r="P468" s="982"/>
      <c r="Q468" s="982"/>
      <c r="R468" s="982"/>
    </row>
    <row r="469" spans="1:18" s="360" customFormat="1" ht="20.25" customHeight="1">
      <c r="A469" s="115"/>
      <c r="B469" s="137" t="s">
        <v>269</v>
      </c>
      <c r="C469" s="122"/>
      <c r="D469" s="34"/>
      <c r="E469" s="34"/>
      <c r="F469" s="34"/>
      <c r="G469" s="34"/>
      <c r="H469" s="35">
        <v>427</v>
      </c>
      <c r="I469" s="656"/>
      <c r="J469" s="656"/>
      <c r="K469" s="656"/>
      <c r="L469" s="656"/>
      <c r="M469" s="656"/>
      <c r="N469" s="982"/>
      <c r="O469" s="982"/>
      <c r="P469" s="982"/>
      <c r="Q469" s="982"/>
      <c r="R469" s="982"/>
    </row>
    <row r="470" spans="1:18" s="360" customFormat="1" ht="20.25" customHeight="1">
      <c r="A470" s="115"/>
      <c r="B470" s="137"/>
      <c r="C470" s="122"/>
      <c r="D470" s="34"/>
      <c r="E470" s="34"/>
      <c r="F470" s="34"/>
      <c r="G470" s="34"/>
      <c r="H470" s="35"/>
      <c r="I470" s="656"/>
      <c r="J470" s="656"/>
      <c r="K470" s="656"/>
      <c r="L470" s="656"/>
      <c r="M470" s="656"/>
      <c r="N470" s="982"/>
      <c r="O470" s="982"/>
      <c r="P470" s="982"/>
      <c r="Q470" s="982"/>
      <c r="R470" s="982"/>
    </row>
    <row r="471" spans="1:18" s="360" customFormat="1" ht="20.25" customHeight="1">
      <c r="A471" s="115"/>
      <c r="B471" s="700" t="s">
        <v>402</v>
      </c>
      <c r="C471" s="701"/>
      <c r="D471" s="702"/>
      <c r="E471" s="702"/>
      <c r="F471" s="702"/>
      <c r="G471" s="702"/>
      <c r="H471" s="36">
        <f>H474</f>
        <v>4038</v>
      </c>
      <c r="I471" s="656"/>
      <c r="J471" s="656"/>
      <c r="K471" s="656"/>
      <c r="L471" s="656"/>
      <c r="M471" s="656"/>
      <c r="N471" s="982"/>
      <c r="O471" s="982"/>
      <c r="P471" s="982"/>
      <c r="Q471" s="982"/>
      <c r="R471" s="982"/>
    </row>
    <row r="472" spans="1:18" s="360" customFormat="1" ht="20.25" customHeight="1">
      <c r="A472" s="115"/>
      <c r="B472" s="137" t="s">
        <v>399</v>
      </c>
      <c r="C472" s="122"/>
      <c r="D472" s="34"/>
      <c r="E472" s="34"/>
      <c r="F472" s="34"/>
      <c r="G472" s="34"/>
      <c r="H472" s="35"/>
      <c r="I472" s="656"/>
      <c r="J472" s="656"/>
      <c r="K472" s="656"/>
      <c r="L472" s="656"/>
      <c r="M472" s="656"/>
      <c r="N472" s="982"/>
      <c r="O472" s="982"/>
      <c r="P472" s="982"/>
      <c r="Q472" s="982"/>
      <c r="R472" s="982"/>
    </row>
    <row r="473" spans="1:18" s="360" customFormat="1" ht="20.25" customHeight="1">
      <c r="A473" s="115"/>
      <c r="B473" s="137" t="s">
        <v>400</v>
      </c>
      <c r="C473" s="122"/>
      <c r="D473" s="34"/>
      <c r="E473" s="34"/>
      <c r="F473" s="34"/>
      <c r="G473" s="34"/>
      <c r="H473" s="35"/>
      <c r="I473" s="656"/>
      <c r="J473" s="656"/>
      <c r="K473" s="656"/>
      <c r="L473" s="656"/>
      <c r="M473" s="656"/>
      <c r="N473" s="982"/>
      <c r="O473" s="982"/>
      <c r="P473" s="982"/>
      <c r="Q473" s="982"/>
      <c r="R473" s="982"/>
    </row>
    <row r="474" spans="1:18" s="360" customFormat="1" ht="20.25" customHeight="1">
      <c r="A474" s="115"/>
      <c r="B474" s="137" t="s">
        <v>401</v>
      </c>
      <c r="C474" s="122"/>
      <c r="D474" s="34"/>
      <c r="E474" s="34"/>
      <c r="F474" s="34"/>
      <c r="G474" s="34"/>
      <c r="H474" s="35">
        <v>4038</v>
      </c>
      <c r="I474" s="656"/>
      <c r="J474" s="656"/>
      <c r="K474" s="656"/>
      <c r="L474" s="656"/>
      <c r="M474" s="656"/>
      <c r="N474" s="982"/>
      <c r="O474" s="982"/>
      <c r="P474" s="982"/>
      <c r="Q474" s="982"/>
      <c r="R474" s="982"/>
    </row>
    <row r="475" spans="1:18" s="360" customFormat="1" ht="20.25" customHeight="1">
      <c r="A475" s="115"/>
      <c r="B475" s="137"/>
      <c r="C475" s="122"/>
      <c r="D475" s="34"/>
      <c r="E475" s="34"/>
      <c r="F475" s="34"/>
      <c r="G475" s="34"/>
      <c r="H475" s="35"/>
      <c r="I475" s="656"/>
      <c r="J475" s="656"/>
      <c r="K475" s="656"/>
      <c r="L475" s="656"/>
      <c r="M475" s="656"/>
      <c r="N475" s="982"/>
      <c r="O475" s="982"/>
      <c r="P475" s="982"/>
      <c r="Q475" s="982"/>
      <c r="R475" s="982"/>
    </row>
    <row r="476" spans="1:18" s="360" customFormat="1" ht="20.25" customHeight="1">
      <c r="A476" s="101" t="s">
        <v>394</v>
      </c>
      <c r="B476" s="140"/>
      <c r="C476" s="141"/>
      <c r="D476" s="22"/>
      <c r="E476" s="16"/>
      <c r="F476" s="27"/>
      <c r="G476" s="34"/>
      <c r="H476" s="25">
        <f>H478</f>
        <v>70000</v>
      </c>
      <c r="I476" s="656"/>
      <c r="J476" s="656"/>
      <c r="K476" s="656"/>
      <c r="L476" s="656"/>
      <c r="M476" s="656"/>
      <c r="N476" s="982"/>
      <c r="O476" s="982"/>
      <c r="P476" s="982"/>
      <c r="Q476" s="982"/>
      <c r="R476" s="982"/>
    </row>
    <row r="477" spans="1:18" s="360" customFormat="1" ht="15" customHeight="1">
      <c r="A477" s="50" t="s">
        <v>71</v>
      </c>
      <c r="B477" s="140"/>
      <c r="C477" s="141"/>
      <c r="D477" s="22"/>
      <c r="E477" s="16"/>
      <c r="F477" s="27"/>
      <c r="G477" s="34"/>
      <c r="H477" s="25"/>
      <c r="I477" s="656"/>
      <c r="J477" s="656"/>
      <c r="K477" s="656"/>
      <c r="L477" s="656"/>
      <c r="M477" s="656"/>
      <c r="N477" s="982"/>
      <c r="O477" s="982"/>
      <c r="P477" s="982"/>
      <c r="Q477" s="982"/>
      <c r="R477" s="982"/>
    </row>
    <row r="478" spans="1:18" s="360" customFormat="1" ht="20.25" customHeight="1">
      <c r="A478" s="50"/>
      <c r="B478" s="140" t="s">
        <v>274</v>
      </c>
      <c r="C478" s="141"/>
      <c r="D478" s="22"/>
      <c r="E478" s="16"/>
      <c r="F478" s="27"/>
      <c r="G478" s="34"/>
      <c r="H478" s="35">
        <v>70000</v>
      </c>
      <c r="I478" s="656"/>
      <c r="J478" s="656"/>
      <c r="K478" s="656"/>
      <c r="L478" s="656"/>
      <c r="M478" s="656"/>
      <c r="N478" s="982"/>
      <c r="O478" s="982"/>
      <c r="P478" s="982"/>
      <c r="Q478" s="982"/>
      <c r="R478" s="982"/>
    </row>
    <row r="479" spans="1:18" s="360" customFormat="1" ht="20.25" customHeight="1">
      <c r="A479" s="115"/>
      <c r="B479" s="137"/>
      <c r="C479" s="122"/>
      <c r="D479" s="34"/>
      <c r="E479" s="34"/>
      <c r="F479" s="34"/>
      <c r="G479" s="34"/>
      <c r="H479" s="35"/>
      <c r="I479" s="656"/>
      <c r="J479" s="656"/>
      <c r="K479" s="656"/>
      <c r="L479" s="656"/>
      <c r="M479" s="656"/>
      <c r="N479" s="982"/>
      <c r="O479" s="982"/>
      <c r="P479" s="982"/>
      <c r="Q479" s="982"/>
      <c r="R479" s="982"/>
    </row>
    <row r="480" spans="1:18" s="32" customFormat="1" ht="20.25" customHeight="1">
      <c r="A480" s="101" t="s">
        <v>440</v>
      </c>
      <c r="B480" s="672"/>
      <c r="C480" s="90"/>
      <c r="D480" s="27"/>
      <c r="E480" s="27"/>
      <c r="F480" s="27"/>
      <c r="G480" s="27"/>
      <c r="H480" s="25">
        <f>H482+H483</f>
        <v>17928.44</v>
      </c>
      <c r="I480" s="650"/>
      <c r="J480" s="650"/>
      <c r="K480" s="650"/>
      <c r="L480" s="650"/>
      <c r="M480" s="650"/>
      <c r="N480" s="964"/>
      <c r="O480" s="964"/>
      <c r="P480" s="964"/>
      <c r="Q480" s="964"/>
      <c r="R480" s="964"/>
    </row>
    <row r="481" spans="1:18" s="360" customFormat="1" ht="20.25" customHeight="1">
      <c r="A481" s="115" t="s">
        <v>71</v>
      </c>
      <c r="B481" s="137"/>
      <c r="C481" s="122"/>
      <c r="D481" s="34"/>
      <c r="E481" s="34"/>
      <c r="F481" s="34"/>
      <c r="G481" s="34"/>
      <c r="H481" s="35"/>
      <c r="I481" s="656"/>
      <c r="J481" s="656"/>
      <c r="K481" s="656"/>
      <c r="L481" s="656"/>
      <c r="M481" s="656"/>
      <c r="N481" s="982"/>
      <c r="O481" s="982"/>
      <c r="P481" s="982"/>
      <c r="Q481" s="982"/>
      <c r="R481" s="982"/>
    </row>
    <row r="482" spans="1:18" s="360" customFormat="1" ht="20.25" customHeight="1">
      <c r="A482" s="115"/>
      <c r="B482" s="137" t="s">
        <v>444</v>
      </c>
      <c r="C482" s="122"/>
      <c r="D482" s="34"/>
      <c r="E482" s="34"/>
      <c r="F482" s="34"/>
      <c r="G482" s="34"/>
      <c r="H482" s="35">
        <v>15239.17</v>
      </c>
      <c r="I482" s="656"/>
      <c r="J482" s="656"/>
      <c r="K482" s="656"/>
      <c r="L482" s="656"/>
      <c r="M482" s="656"/>
      <c r="N482" s="982"/>
      <c r="O482" s="982"/>
      <c r="P482" s="982"/>
      <c r="Q482" s="982"/>
      <c r="R482" s="982"/>
    </row>
    <row r="483" spans="1:18" s="360" customFormat="1" ht="20.25" customHeight="1">
      <c r="A483" s="115"/>
      <c r="B483" s="137" t="s">
        <v>445</v>
      </c>
      <c r="C483" s="122"/>
      <c r="D483" s="34"/>
      <c r="E483" s="34"/>
      <c r="F483" s="34"/>
      <c r="G483" s="34"/>
      <c r="H483" s="35">
        <v>2689.27</v>
      </c>
      <c r="I483" s="656"/>
      <c r="J483" s="656"/>
      <c r="K483" s="656"/>
      <c r="L483" s="656"/>
      <c r="M483" s="656"/>
      <c r="N483" s="982"/>
      <c r="O483" s="982"/>
      <c r="P483" s="982"/>
      <c r="Q483" s="982"/>
      <c r="R483" s="982"/>
    </row>
    <row r="484" spans="1:18" s="360" customFormat="1" ht="20.25" customHeight="1">
      <c r="A484" s="115"/>
      <c r="B484" s="137" t="s">
        <v>446</v>
      </c>
      <c r="C484" s="122"/>
      <c r="D484" s="34"/>
      <c r="E484" s="34"/>
      <c r="F484" s="34"/>
      <c r="G484" s="34"/>
      <c r="H484" s="35"/>
      <c r="I484" s="656"/>
      <c r="J484" s="656"/>
      <c r="K484" s="656"/>
      <c r="L484" s="656"/>
      <c r="M484" s="656"/>
      <c r="N484" s="982"/>
      <c r="O484" s="982"/>
      <c r="P484" s="982"/>
      <c r="Q484" s="982"/>
      <c r="R484" s="982"/>
    </row>
    <row r="485" spans="1:18" s="360" customFormat="1" ht="20.25" customHeight="1">
      <c r="A485" s="115"/>
      <c r="B485" s="137" t="s">
        <v>447</v>
      </c>
      <c r="C485" s="122"/>
      <c r="D485" s="34"/>
      <c r="E485" s="34"/>
      <c r="F485" s="34"/>
      <c r="G485" s="34"/>
      <c r="H485" s="35"/>
      <c r="I485" s="656"/>
      <c r="J485" s="656"/>
      <c r="K485" s="656"/>
      <c r="L485" s="656"/>
      <c r="M485" s="656"/>
      <c r="N485" s="982"/>
      <c r="O485" s="982"/>
      <c r="P485" s="982"/>
      <c r="Q485" s="982"/>
      <c r="R485" s="982"/>
    </row>
    <row r="486" spans="1:18" s="360" customFormat="1" ht="20.25" customHeight="1">
      <c r="A486" s="115"/>
      <c r="B486" s="137"/>
      <c r="C486" s="122"/>
      <c r="D486" s="34"/>
      <c r="E486" s="34"/>
      <c r="F486" s="34"/>
      <c r="G486" s="34"/>
      <c r="H486" s="35"/>
      <c r="I486" s="656"/>
      <c r="J486" s="656"/>
      <c r="K486" s="656"/>
      <c r="L486" s="656"/>
      <c r="M486" s="656"/>
      <c r="N486" s="982"/>
      <c r="O486" s="982"/>
      <c r="P486" s="982"/>
      <c r="Q486" s="982"/>
      <c r="R486" s="982"/>
    </row>
    <row r="487" spans="1:18" s="360" customFormat="1" ht="20.25" customHeight="1">
      <c r="A487" s="115"/>
      <c r="B487" s="137"/>
      <c r="C487" s="122"/>
      <c r="D487" s="34"/>
      <c r="E487" s="34"/>
      <c r="F487" s="34"/>
      <c r="G487" s="34"/>
      <c r="H487" s="35"/>
      <c r="I487" s="656"/>
      <c r="J487" s="656"/>
      <c r="K487" s="656"/>
      <c r="L487" s="656"/>
      <c r="M487" s="656"/>
      <c r="N487" s="982"/>
      <c r="O487" s="982"/>
      <c r="P487" s="982"/>
      <c r="Q487" s="982"/>
      <c r="R487" s="982"/>
    </row>
    <row r="488" spans="1:18" s="32" customFormat="1" ht="20.25" customHeight="1">
      <c r="A488" s="136" t="s">
        <v>82</v>
      </c>
      <c r="B488" s="137"/>
      <c r="C488" s="139"/>
      <c r="D488" s="34"/>
      <c r="E488" s="34"/>
      <c r="F488" s="34"/>
      <c r="G488" s="34"/>
      <c r="H488" s="36">
        <f>H490+H497+H505+H509+H514+H518+H522</f>
        <v>661481.73</v>
      </c>
      <c r="I488" s="650"/>
      <c r="J488" s="650"/>
      <c r="K488" s="650"/>
      <c r="L488" s="650"/>
      <c r="M488" s="650"/>
      <c r="N488" s="964"/>
      <c r="O488" s="964"/>
      <c r="P488" s="964"/>
      <c r="Q488" s="964"/>
      <c r="R488" s="964"/>
    </row>
    <row r="489" spans="1:18" s="32" customFormat="1" ht="15" customHeight="1">
      <c r="A489" s="50" t="s">
        <v>71</v>
      </c>
      <c r="B489" s="140"/>
      <c r="C489" s="141"/>
      <c r="D489" s="22"/>
      <c r="E489" s="16"/>
      <c r="F489" s="27"/>
      <c r="G489" s="34"/>
      <c r="H489" s="25"/>
      <c r="I489" s="650"/>
      <c r="J489" s="650"/>
      <c r="K489" s="650"/>
      <c r="L489" s="650"/>
      <c r="M489" s="650"/>
      <c r="N489" s="964"/>
      <c r="O489" s="964"/>
      <c r="P489" s="964"/>
      <c r="Q489" s="964"/>
      <c r="R489" s="964"/>
    </row>
    <row r="490" spans="1:18" s="32" customFormat="1" ht="15" customHeight="1">
      <c r="A490" s="101" t="s">
        <v>383</v>
      </c>
      <c r="B490" s="672"/>
      <c r="C490" s="90"/>
      <c r="D490" s="673"/>
      <c r="E490" s="15"/>
      <c r="F490" s="27"/>
      <c r="G490" s="34"/>
      <c r="H490" s="25">
        <f>H493+H495</f>
        <v>333000</v>
      </c>
      <c r="I490" s="650"/>
      <c r="J490" s="650"/>
      <c r="K490" s="650"/>
      <c r="L490" s="650"/>
      <c r="M490" s="650"/>
      <c r="N490" s="964"/>
      <c r="O490" s="964"/>
      <c r="P490" s="964"/>
      <c r="Q490" s="964"/>
      <c r="R490" s="964"/>
    </row>
    <row r="491" spans="1:18" s="32" customFormat="1" ht="15" customHeight="1">
      <c r="A491" s="115" t="s">
        <v>71</v>
      </c>
      <c r="B491" s="137"/>
      <c r="C491" s="122"/>
      <c r="D491" s="22"/>
      <c r="E491" s="16"/>
      <c r="F491" s="27"/>
      <c r="G491" s="34"/>
      <c r="H491" s="25"/>
      <c r="I491" s="650"/>
      <c r="J491" s="650"/>
      <c r="K491" s="650"/>
      <c r="L491" s="650"/>
      <c r="M491" s="650"/>
      <c r="N491" s="964"/>
      <c r="O491" s="964"/>
      <c r="P491" s="964"/>
      <c r="Q491" s="964"/>
      <c r="R491" s="964"/>
    </row>
    <row r="492" spans="1:18" s="32" customFormat="1" ht="15" customHeight="1">
      <c r="A492" s="115"/>
      <c r="B492" s="137" t="s">
        <v>381</v>
      </c>
      <c r="C492" s="122"/>
      <c r="D492" s="22"/>
      <c r="E492" s="16"/>
      <c r="F492" s="27"/>
      <c r="G492" s="34"/>
      <c r="H492" s="25"/>
      <c r="I492" s="650"/>
      <c r="J492" s="650"/>
      <c r="K492" s="650"/>
      <c r="L492" s="650"/>
      <c r="M492" s="650"/>
      <c r="N492" s="964"/>
      <c r="O492" s="964"/>
      <c r="P492" s="964"/>
      <c r="Q492" s="964"/>
      <c r="R492" s="964"/>
    </row>
    <row r="493" spans="1:18" s="32" customFormat="1" ht="15" customHeight="1">
      <c r="A493" s="115"/>
      <c r="B493" s="137" t="s">
        <v>382</v>
      </c>
      <c r="C493" s="122"/>
      <c r="D493" s="22"/>
      <c r="E493" s="16"/>
      <c r="F493" s="27"/>
      <c r="G493" s="34"/>
      <c r="H493" s="35">
        <v>302000</v>
      </c>
      <c r="I493" s="650"/>
      <c r="J493" s="650"/>
      <c r="K493" s="650"/>
      <c r="L493" s="650"/>
      <c r="M493" s="650"/>
      <c r="N493" s="964"/>
      <c r="O493" s="964"/>
      <c r="P493" s="964"/>
      <c r="Q493" s="964"/>
      <c r="R493" s="964"/>
    </row>
    <row r="494" spans="1:18" s="32" customFormat="1" ht="15" customHeight="1">
      <c r="A494" s="115"/>
      <c r="B494" s="137"/>
      <c r="C494" s="122"/>
      <c r="D494" s="22"/>
      <c r="E494" s="16"/>
      <c r="F494" s="27"/>
      <c r="G494" s="34"/>
      <c r="H494" s="35"/>
      <c r="I494" s="650"/>
      <c r="J494" s="650"/>
      <c r="K494" s="650"/>
      <c r="L494" s="650"/>
      <c r="M494" s="650"/>
      <c r="N494" s="964"/>
      <c r="O494" s="964"/>
      <c r="P494" s="964"/>
      <c r="Q494" s="964"/>
      <c r="R494" s="964"/>
    </row>
    <row r="495" spans="1:18" s="32" customFormat="1" ht="15" customHeight="1">
      <c r="A495" s="115"/>
      <c r="B495" s="137" t="s">
        <v>825</v>
      </c>
      <c r="C495" s="122"/>
      <c r="D495" s="22"/>
      <c r="E495" s="16"/>
      <c r="F495" s="27"/>
      <c r="G495" s="34"/>
      <c r="H495" s="35">
        <v>31000</v>
      </c>
      <c r="I495" s="650"/>
      <c r="J495" s="650"/>
      <c r="K495" s="650"/>
      <c r="L495" s="650"/>
      <c r="M495" s="650"/>
      <c r="N495" s="964"/>
      <c r="O495" s="964"/>
      <c r="P495" s="964"/>
      <c r="Q495" s="964"/>
      <c r="R495" s="964"/>
    </row>
    <row r="496" spans="1:18" s="32" customFormat="1" ht="15" customHeight="1">
      <c r="A496" s="115"/>
      <c r="B496" s="137"/>
      <c r="C496" s="122"/>
      <c r="D496" s="22"/>
      <c r="E496" s="16"/>
      <c r="F496" s="27"/>
      <c r="G496" s="34"/>
      <c r="H496" s="35"/>
      <c r="I496" s="650"/>
      <c r="J496" s="650"/>
      <c r="K496" s="650"/>
      <c r="L496" s="650"/>
      <c r="M496" s="650"/>
      <c r="N496" s="964"/>
      <c r="O496" s="964"/>
      <c r="P496" s="964"/>
      <c r="Q496" s="964"/>
      <c r="R496" s="964"/>
    </row>
    <row r="497" spans="1:18" s="32" customFormat="1" ht="20.25" customHeight="1">
      <c r="A497" s="101" t="s">
        <v>391</v>
      </c>
      <c r="B497" s="140"/>
      <c r="C497" s="141"/>
      <c r="D497" s="22"/>
      <c r="E497" s="16"/>
      <c r="F497" s="27"/>
      <c r="G497" s="34"/>
      <c r="H497" s="25">
        <f>H499+H502</f>
        <v>40381.73</v>
      </c>
      <c r="I497" s="650"/>
      <c r="J497" s="650"/>
      <c r="K497" s="650"/>
      <c r="L497" s="650"/>
      <c r="M497" s="650"/>
      <c r="N497" s="964"/>
      <c r="O497" s="964"/>
      <c r="P497" s="964"/>
      <c r="Q497" s="964"/>
      <c r="R497" s="964"/>
    </row>
    <row r="498" spans="1:18" s="32" customFormat="1" ht="20.25" customHeight="1">
      <c r="A498" s="50" t="s">
        <v>71</v>
      </c>
      <c r="B498" s="140"/>
      <c r="C498" s="141"/>
      <c r="D498" s="22"/>
      <c r="E498" s="16"/>
      <c r="F498" s="27"/>
      <c r="G498" s="34"/>
      <c r="H498" s="35"/>
      <c r="I498" s="650"/>
      <c r="J498" s="650"/>
      <c r="K498" s="650"/>
      <c r="L498" s="650"/>
      <c r="M498" s="650"/>
      <c r="N498" s="964"/>
      <c r="O498" s="964"/>
      <c r="P498" s="964"/>
      <c r="Q498" s="964"/>
      <c r="R498" s="964"/>
    </row>
    <row r="499" spans="1:18" s="32" customFormat="1" ht="16.5" customHeight="1">
      <c r="A499" s="50"/>
      <c r="B499" s="101" t="s">
        <v>389</v>
      </c>
      <c r="C499" s="141"/>
      <c r="D499" s="22"/>
      <c r="E499" s="16"/>
      <c r="F499" s="27"/>
      <c r="G499" s="34"/>
      <c r="H499" s="35">
        <f>H500</f>
        <v>34059.87</v>
      </c>
      <c r="I499" s="650"/>
      <c r="J499" s="650"/>
      <c r="K499" s="650"/>
      <c r="L499" s="650"/>
      <c r="M499" s="650"/>
      <c r="N499" s="964"/>
      <c r="O499" s="964"/>
      <c r="P499" s="964"/>
      <c r="Q499" s="964"/>
      <c r="R499" s="964"/>
    </row>
    <row r="500" spans="1:18" s="32" customFormat="1" ht="20.25" customHeight="1">
      <c r="A500" s="50"/>
      <c r="B500" s="140" t="s">
        <v>259</v>
      </c>
      <c r="C500" s="141"/>
      <c r="D500" s="22"/>
      <c r="E500" s="16"/>
      <c r="F500" s="27"/>
      <c r="G500" s="34"/>
      <c r="H500" s="35">
        <f>4059.87+30000</f>
        <v>34059.87</v>
      </c>
      <c r="I500" s="650"/>
      <c r="J500" s="650"/>
      <c r="K500" s="650"/>
      <c r="L500" s="650"/>
      <c r="M500" s="650"/>
      <c r="N500" s="964"/>
      <c r="O500" s="964"/>
      <c r="P500" s="964"/>
      <c r="Q500" s="964"/>
      <c r="R500" s="964"/>
    </row>
    <row r="501" spans="1:18" s="32" customFormat="1" ht="15" customHeight="1">
      <c r="A501" s="50"/>
      <c r="B501" s="140"/>
      <c r="C501" s="141"/>
      <c r="D501" s="22"/>
      <c r="E501" s="16"/>
      <c r="F501" s="27"/>
      <c r="G501" s="34"/>
      <c r="H501" s="35"/>
      <c r="I501" s="650"/>
      <c r="J501" s="650"/>
      <c r="K501" s="650"/>
      <c r="L501" s="650"/>
      <c r="M501" s="650"/>
      <c r="N501" s="964"/>
      <c r="O501" s="964"/>
      <c r="P501" s="964"/>
      <c r="Q501" s="964"/>
      <c r="R501" s="964"/>
    </row>
    <row r="502" spans="1:18" s="32" customFormat="1" ht="20.25" customHeight="1">
      <c r="A502" s="50"/>
      <c r="B502" s="101" t="s">
        <v>390</v>
      </c>
      <c r="C502" s="141"/>
      <c r="D502" s="22"/>
      <c r="E502" s="16"/>
      <c r="F502" s="27"/>
      <c r="G502" s="34"/>
      <c r="H502" s="35">
        <f>H503</f>
        <v>6321.86</v>
      </c>
      <c r="I502" s="650"/>
      <c r="J502" s="650"/>
      <c r="K502" s="650"/>
      <c r="L502" s="650"/>
      <c r="M502" s="650"/>
      <c r="N502" s="964"/>
      <c r="O502" s="964"/>
      <c r="P502" s="964"/>
      <c r="Q502" s="964"/>
      <c r="R502" s="964"/>
    </row>
    <row r="503" spans="1:18" s="32" customFormat="1" ht="20.25" customHeight="1">
      <c r="A503" s="50"/>
      <c r="B503" s="140" t="s">
        <v>262</v>
      </c>
      <c r="C503" s="141"/>
      <c r="D503" s="22"/>
      <c r="E503" s="16"/>
      <c r="F503" s="27"/>
      <c r="G503" s="34"/>
      <c r="H503" s="35">
        <v>6321.86</v>
      </c>
      <c r="I503" s="650"/>
      <c r="J503" s="650"/>
      <c r="K503" s="650"/>
      <c r="L503" s="650"/>
      <c r="M503" s="650"/>
      <c r="N503" s="964"/>
      <c r="O503" s="964"/>
      <c r="P503" s="964"/>
      <c r="Q503" s="964"/>
      <c r="R503" s="964"/>
    </row>
    <row r="504" spans="1:18" s="32" customFormat="1" ht="15" customHeight="1">
      <c r="A504" s="50"/>
      <c r="B504" s="140"/>
      <c r="C504" s="141"/>
      <c r="D504" s="22"/>
      <c r="E504" s="16"/>
      <c r="F504" s="27"/>
      <c r="G504" s="34"/>
      <c r="H504" s="35"/>
      <c r="I504" s="650"/>
      <c r="J504" s="650"/>
      <c r="K504" s="650"/>
      <c r="L504" s="650"/>
      <c r="M504" s="650"/>
      <c r="N504" s="964"/>
      <c r="O504" s="964"/>
      <c r="P504" s="964"/>
      <c r="Q504" s="964"/>
      <c r="R504" s="964"/>
    </row>
    <row r="505" spans="1:18" s="32" customFormat="1" ht="20.25" customHeight="1">
      <c r="A505" s="101" t="s">
        <v>392</v>
      </c>
      <c r="B505" s="140"/>
      <c r="C505" s="141"/>
      <c r="D505" s="22"/>
      <c r="E505" s="16"/>
      <c r="F505" s="27"/>
      <c r="G505" s="27"/>
      <c r="H505" s="25">
        <f>H507</f>
        <v>130000</v>
      </c>
      <c r="I505" s="650"/>
      <c r="J505" s="650"/>
      <c r="K505" s="650"/>
      <c r="L505" s="650"/>
      <c r="M505" s="650"/>
      <c r="N505" s="964"/>
      <c r="O505" s="964"/>
      <c r="P505" s="964"/>
      <c r="Q505" s="964"/>
      <c r="R505" s="964"/>
    </row>
    <row r="506" spans="1:18" s="32" customFormat="1" ht="15" customHeight="1">
      <c r="A506" s="50" t="s">
        <v>71</v>
      </c>
      <c r="B506" s="140"/>
      <c r="C506" s="141"/>
      <c r="D506" s="22"/>
      <c r="E506" s="16"/>
      <c r="F506" s="27"/>
      <c r="G506" s="27"/>
      <c r="H506" s="35"/>
      <c r="I506" s="650"/>
      <c r="J506" s="650"/>
      <c r="K506" s="650"/>
      <c r="L506" s="650"/>
      <c r="M506" s="650"/>
      <c r="N506" s="964"/>
      <c r="O506" s="964"/>
      <c r="P506" s="964"/>
      <c r="Q506" s="964"/>
      <c r="R506" s="964"/>
    </row>
    <row r="507" spans="1:18" s="32" customFormat="1" ht="20.25" customHeight="1">
      <c r="A507" s="101"/>
      <c r="B507" s="140" t="s">
        <v>393</v>
      </c>
      <c r="C507" s="141"/>
      <c r="D507" s="22"/>
      <c r="E507" s="16"/>
      <c r="F507" s="27"/>
      <c r="G507" s="27"/>
      <c r="H507" s="35">
        <v>130000</v>
      </c>
      <c r="I507" s="650"/>
      <c r="J507" s="650"/>
      <c r="K507" s="650"/>
      <c r="L507" s="650"/>
      <c r="M507" s="650"/>
      <c r="N507" s="964"/>
      <c r="O507" s="964"/>
      <c r="P507" s="964"/>
      <c r="Q507" s="964"/>
      <c r="R507" s="964"/>
    </row>
    <row r="508" spans="1:18" s="32" customFormat="1" ht="20.25" customHeight="1">
      <c r="A508" s="101"/>
      <c r="B508" s="140"/>
      <c r="C508" s="141"/>
      <c r="D508" s="22"/>
      <c r="E508" s="16"/>
      <c r="F508" s="27"/>
      <c r="G508" s="27"/>
      <c r="H508" s="35"/>
      <c r="I508" s="650"/>
      <c r="J508" s="650"/>
      <c r="K508" s="650"/>
      <c r="L508" s="650"/>
      <c r="M508" s="650"/>
      <c r="N508" s="964"/>
      <c r="O508" s="964"/>
      <c r="P508" s="964"/>
      <c r="Q508" s="964"/>
      <c r="R508" s="964"/>
    </row>
    <row r="509" spans="1:18" s="32" customFormat="1" ht="20.25" customHeight="1">
      <c r="A509" s="101" t="s">
        <v>404</v>
      </c>
      <c r="B509" s="140"/>
      <c r="C509" s="141"/>
      <c r="D509" s="22"/>
      <c r="E509" s="16"/>
      <c r="F509" s="27"/>
      <c r="G509" s="27"/>
      <c r="H509" s="25">
        <f>H512</f>
        <v>44600</v>
      </c>
      <c r="I509" s="650"/>
      <c r="J509" s="650"/>
      <c r="K509" s="650"/>
      <c r="L509" s="650"/>
      <c r="M509" s="650"/>
      <c r="N509" s="964"/>
      <c r="O509" s="964"/>
      <c r="P509" s="964"/>
      <c r="Q509" s="964"/>
      <c r="R509" s="964"/>
    </row>
    <row r="510" spans="1:18" s="32" customFormat="1" ht="20.25" customHeight="1">
      <c r="A510" s="101" t="s">
        <v>71</v>
      </c>
      <c r="B510" s="140"/>
      <c r="C510" s="141"/>
      <c r="D510" s="22"/>
      <c r="E510" s="16"/>
      <c r="F510" s="27"/>
      <c r="G510" s="27"/>
      <c r="H510" s="35"/>
      <c r="I510" s="650"/>
      <c r="J510" s="650"/>
      <c r="K510" s="650"/>
      <c r="L510" s="650"/>
      <c r="M510" s="650"/>
      <c r="N510" s="964"/>
      <c r="O510" s="964"/>
      <c r="P510" s="964"/>
      <c r="Q510" s="964"/>
      <c r="R510" s="964"/>
    </row>
    <row r="511" spans="1:18" s="32" customFormat="1" ht="20.25" customHeight="1">
      <c r="A511" s="50"/>
      <c r="B511" s="140" t="s">
        <v>560</v>
      </c>
      <c r="C511" s="141"/>
      <c r="D511" s="22"/>
      <c r="E511" s="16"/>
      <c r="F511" s="27"/>
      <c r="G511" s="27"/>
      <c r="H511" s="35"/>
      <c r="I511" s="650"/>
      <c r="J511" s="650"/>
      <c r="K511" s="650"/>
      <c r="L511" s="650"/>
      <c r="M511" s="650"/>
      <c r="N511" s="964"/>
      <c r="O511" s="964"/>
      <c r="P511" s="964"/>
      <c r="Q511" s="964"/>
      <c r="R511" s="964"/>
    </row>
    <row r="512" spans="1:18" s="32" customFormat="1" ht="20.25" customHeight="1">
      <c r="A512" s="50"/>
      <c r="B512" s="140" t="s">
        <v>561</v>
      </c>
      <c r="C512" s="141"/>
      <c r="D512" s="22"/>
      <c r="E512" s="16"/>
      <c r="F512" s="27"/>
      <c r="G512" s="27"/>
      <c r="H512" s="35">
        <v>44600</v>
      </c>
      <c r="I512" s="650"/>
      <c r="J512" s="650"/>
      <c r="K512" s="650"/>
      <c r="L512" s="650"/>
      <c r="M512" s="650"/>
      <c r="N512" s="964"/>
      <c r="O512" s="964"/>
      <c r="P512" s="964"/>
      <c r="Q512" s="964"/>
      <c r="R512" s="964"/>
    </row>
    <row r="513" spans="1:18" s="32" customFormat="1" ht="20.25" customHeight="1">
      <c r="A513" s="50"/>
      <c r="B513" s="140"/>
      <c r="C513" s="141"/>
      <c r="D513" s="22"/>
      <c r="E513" s="16"/>
      <c r="F513" s="27"/>
      <c r="G513" s="27"/>
      <c r="H513" s="35"/>
      <c r="I513" s="650"/>
      <c r="J513" s="650"/>
      <c r="K513" s="650"/>
      <c r="L513" s="650"/>
      <c r="M513" s="650"/>
      <c r="N513" s="964"/>
      <c r="O513" s="964"/>
      <c r="P513" s="964"/>
      <c r="Q513" s="964"/>
      <c r="R513" s="964"/>
    </row>
    <row r="514" spans="1:18" s="32" customFormat="1" ht="20.25" customHeight="1">
      <c r="A514" s="101" t="s">
        <v>407</v>
      </c>
      <c r="B514" s="140"/>
      <c r="C514" s="141"/>
      <c r="D514" s="22"/>
      <c r="E514" s="16"/>
      <c r="F514" s="27"/>
      <c r="G514" s="27"/>
      <c r="H514" s="25">
        <f>H517</f>
        <v>100000</v>
      </c>
      <c r="I514" s="650"/>
      <c r="J514" s="650"/>
      <c r="K514" s="650"/>
      <c r="L514" s="650"/>
      <c r="M514" s="650"/>
      <c r="N514" s="964"/>
      <c r="O514" s="964"/>
      <c r="P514" s="964"/>
      <c r="Q514" s="964"/>
      <c r="R514" s="964"/>
    </row>
    <row r="515" spans="1:18" s="32" customFormat="1" ht="20.25" customHeight="1">
      <c r="A515" s="101" t="s">
        <v>71</v>
      </c>
      <c r="B515" s="140"/>
      <c r="C515" s="141"/>
      <c r="D515" s="22"/>
      <c r="E515" s="16"/>
      <c r="F515" s="27"/>
      <c r="G515" s="27"/>
      <c r="H515" s="35"/>
      <c r="I515" s="650"/>
      <c r="J515" s="650"/>
      <c r="K515" s="650"/>
      <c r="L515" s="650"/>
      <c r="M515" s="650"/>
      <c r="N515" s="964"/>
      <c r="O515" s="964"/>
      <c r="P515" s="964"/>
      <c r="Q515" s="964"/>
      <c r="R515" s="964"/>
    </row>
    <row r="516" spans="1:18" s="32" customFormat="1" ht="20.25" customHeight="1">
      <c r="A516" s="50"/>
      <c r="B516" s="140" t="s">
        <v>441</v>
      </c>
      <c r="C516" s="141"/>
      <c r="D516" s="22"/>
      <c r="E516" s="16"/>
      <c r="F516" s="27"/>
      <c r="G516" s="27"/>
      <c r="H516" s="35"/>
      <c r="I516" s="650"/>
      <c r="J516" s="650"/>
      <c r="K516" s="650"/>
      <c r="L516" s="650"/>
      <c r="M516" s="650"/>
      <c r="N516" s="964"/>
      <c r="O516" s="964"/>
      <c r="P516" s="964"/>
      <c r="Q516" s="964"/>
      <c r="R516" s="964"/>
    </row>
    <row r="517" spans="1:18" s="32" customFormat="1" ht="20.25" customHeight="1">
      <c r="A517" s="50"/>
      <c r="B517" s="140" t="s">
        <v>442</v>
      </c>
      <c r="C517" s="141"/>
      <c r="D517" s="22"/>
      <c r="E517" s="16"/>
      <c r="F517" s="27"/>
      <c r="G517" s="27"/>
      <c r="H517" s="35">
        <v>100000</v>
      </c>
      <c r="I517" s="650"/>
      <c r="J517" s="650"/>
      <c r="K517" s="650"/>
      <c r="L517" s="650"/>
      <c r="M517" s="650"/>
      <c r="N517" s="964"/>
      <c r="O517" s="964"/>
      <c r="P517" s="964"/>
      <c r="Q517" s="964"/>
      <c r="R517" s="964"/>
    </row>
    <row r="518" spans="1:18" s="32" customFormat="1" ht="20.25" customHeight="1">
      <c r="A518" s="101" t="s">
        <v>405</v>
      </c>
      <c r="B518" s="140"/>
      <c r="C518" s="141"/>
      <c r="D518" s="22"/>
      <c r="E518" s="16"/>
      <c r="F518" s="27"/>
      <c r="G518" s="27"/>
      <c r="H518" s="25">
        <f>H520</f>
        <v>8500</v>
      </c>
      <c r="I518" s="650"/>
      <c r="J518" s="650"/>
      <c r="K518" s="650"/>
      <c r="L518" s="650"/>
      <c r="M518" s="650"/>
      <c r="N518" s="964"/>
      <c r="O518" s="964"/>
      <c r="P518" s="964"/>
      <c r="Q518" s="964"/>
      <c r="R518" s="964"/>
    </row>
    <row r="519" spans="1:18" s="32" customFormat="1" ht="20.25" customHeight="1">
      <c r="A519" s="101" t="s">
        <v>71</v>
      </c>
      <c r="B519" s="140"/>
      <c r="C519" s="141"/>
      <c r="D519" s="22"/>
      <c r="E519" s="16"/>
      <c r="F519" s="27"/>
      <c r="G519" s="27"/>
      <c r="H519" s="35"/>
      <c r="I519" s="650"/>
      <c r="J519" s="650"/>
      <c r="K519" s="650"/>
      <c r="L519" s="650"/>
      <c r="M519" s="650"/>
      <c r="N519" s="964"/>
      <c r="O519" s="964"/>
      <c r="P519" s="964"/>
      <c r="Q519" s="964"/>
      <c r="R519" s="964"/>
    </row>
    <row r="520" spans="1:18" s="32" customFormat="1" ht="20.25" customHeight="1">
      <c r="A520" s="50"/>
      <c r="B520" s="140" t="s">
        <v>438</v>
      </c>
      <c r="C520" s="141"/>
      <c r="D520" s="22"/>
      <c r="E520" s="16"/>
      <c r="F520" s="27"/>
      <c r="G520" s="27"/>
      <c r="H520" s="35">
        <v>8500</v>
      </c>
      <c r="I520" s="650"/>
      <c r="J520" s="650"/>
      <c r="K520" s="650"/>
      <c r="L520" s="650"/>
      <c r="M520" s="650"/>
      <c r="N520" s="964"/>
      <c r="O520" s="964"/>
      <c r="P520" s="964"/>
      <c r="Q520" s="964"/>
      <c r="R520" s="964"/>
    </row>
    <row r="521" spans="1:18" s="32" customFormat="1" ht="20.25" customHeight="1">
      <c r="A521" s="50"/>
      <c r="B521" s="140"/>
      <c r="C521" s="141"/>
      <c r="D521" s="22"/>
      <c r="E521" s="16"/>
      <c r="F521" s="27"/>
      <c r="G521" s="27"/>
      <c r="H521" s="35"/>
      <c r="I521" s="650"/>
      <c r="J521" s="650"/>
      <c r="K521" s="650"/>
      <c r="L521" s="650"/>
      <c r="M521" s="650"/>
      <c r="N521" s="964"/>
      <c r="O521" s="964"/>
      <c r="P521" s="964"/>
      <c r="Q521" s="964"/>
      <c r="R521" s="964"/>
    </row>
    <row r="522" spans="1:18" s="32" customFormat="1" ht="20.25" customHeight="1">
      <c r="A522" s="101" t="s">
        <v>406</v>
      </c>
      <c r="B522" s="140"/>
      <c r="C522" s="141"/>
      <c r="D522" s="22"/>
      <c r="E522" s="16"/>
      <c r="F522" s="27"/>
      <c r="G522" s="27"/>
      <c r="H522" s="25">
        <f>H524</f>
        <v>5000</v>
      </c>
      <c r="I522" s="650"/>
      <c r="J522" s="650"/>
      <c r="K522" s="650"/>
      <c r="L522" s="650"/>
      <c r="M522" s="650"/>
      <c r="N522" s="964"/>
      <c r="O522" s="964"/>
      <c r="P522" s="964"/>
      <c r="Q522" s="964"/>
      <c r="R522" s="964"/>
    </row>
    <row r="523" spans="1:18" s="32" customFormat="1" ht="20.25" customHeight="1">
      <c r="A523" s="101" t="s">
        <v>71</v>
      </c>
      <c r="B523" s="140"/>
      <c r="C523" s="141"/>
      <c r="D523" s="22"/>
      <c r="E523" s="16"/>
      <c r="F523" s="27"/>
      <c r="G523" s="27"/>
      <c r="H523" s="35"/>
      <c r="I523" s="650"/>
      <c r="J523" s="650"/>
      <c r="K523" s="650"/>
      <c r="L523" s="650"/>
      <c r="M523" s="650"/>
      <c r="N523" s="964"/>
      <c r="O523" s="964"/>
      <c r="P523" s="964"/>
      <c r="Q523" s="964"/>
      <c r="R523" s="964"/>
    </row>
    <row r="524" spans="1:18" s="32" customFormat="1" ht="20.25" customHeight="1">
      <c r="A524" s="101"/>
      <c r="B524" s="140" t="s">
        <v>123</v>
      </c>
      <c r="C524" s="141"/>
      <c r="D524" s="22"/>
      <c r="E524" s="16"/>
      <c r="F524" s="27"/>
      <c r="G524" s="27"/>
      <c r="H524" s="35">
        <v>5000</v>
      </c>
      <c r="I524" s="650"/>
      <c r="J524" s="650"/>
      <c r="K524" s="650"/>
      <c r="L524" s="650"/>
      <c r="M524" s="650"/>
      <c r="N524" s="964"/>
      <c r="O524" s="964"/>
      <c r="P524" s="964"/>
      <c r="Q524" s="964"/>
      <c r="R524" s="964"/>
    </row>
    <row r="525" spans="1:18" s="32" customFormat="1" ht="20.25" customHeight="1">
      <c r="A525" s="50"/>
      <c r="B525" s="140"/>
      <c r="C525" s="141"/>
      <c r="D525" s="22"/>
      <c r="E525" s="16"/>
      <c r="F525" s="27"/>
      <c r="G525" s="27"/>
      <c r="H525" s="35"/>
      <c r="I525" s="650"/>
      <c r="J525" s="650"/>
      <c r="K525" s="650"/>
      <c r="L525" s="650"/>
      <c r="M525" s="650"/>
      <c r="N525" s="964"/>
      <c r="O525" s="964"/>
      <c r="P525" s="964"/>
      <c r="Q525" s="964"/>
      <c r="R525" s="964"/>
    </row>
    <row r="526" spans="1:18" s="32" customFormat="1" ht="20.25" customHeight="1">
      <c r="A526" s="50"/>
      <c r="B526" s="140"/>
      <c r="C526" s="141"/>
      <c r="D526" s="22"/>
      <c r="E526" s="16"/>
      <c r="F526" s="27"/>
      <c r="G526" s="34"/>
      <c r="H526" s="35"/>
      <c r="I526" s="650"/>
      <c r="J526" s="650"/>
      <c r="K526" s="650"/>
      <c r="L526" s="650"/>
      <c r="M526" s="650"/>
      <c r="N526" s="964"/>
      <c r="O526" s="964"/>
      <c r="P526" s="964"/>
      <c r="Q526" s="964"/>
      <c r="R526" s="964"/>
    </row>
    <row r="527" spans="1:18" s="32" customFormat="1" ht="20.25" customHeight="1">
      <c r="A527" s="136" t="s">
        <v>395</v>
      </c>
      <c r="B527" s="140"/>
      <c r="C527" s="141"/>
      <c r="D527" s="22"/>
      <c r="E527" s="16"/>
      <c r="F527" s="27"/>
      <c r="G527" s="34"/>
      <c r="H527" s="35"/>
      <c r="I527" s="650"/>
      <c r="J527" s="650"/>
      <c r="K527" s="650"/>
      <c r="L527" s="650"/>
      <c r="M527" s="650"/>
      <c r="N527" s="964"/>
      <c r="O527" s="964"/>
      <c r="P527" s="964"/>
      <c r="Q527" s="964"/>
      <c r="R527" s="964"/>
    </row>
    <row r="528" spans="1:18" s="32" customFormat="1" ht="20.25" customHeight="1">
      <c r="A528" s="136"/>
      <c r="B528" s="140"/>
      <c r="C528" s="141"/>
      <c r="D528" s="22"/>
      <c r="E528" s="16"/>
      <c r="F528" s="27"/>
      <c r="G528" s="34"/>
      <c r="H528" s="35"/>
      <c r="I528" s="650"/>
      <c r="J528" s="650"/>
      <c r="K528" s="650"/>
      <c r="L528" s="650"/>
      <c r="M528" s="650"/>
      <c r="N528" s="964"/>
      <c r="O528" s="964"/>
      <c r="P528" s="964"/>
      <c r="Q528" s="964"/>
      <c r="R528" s="964"/>
    </row>
    <row r="529" spans="1:18" s="32" customFormat="1" ht="20.25" customHeight="1">
      <c r="A529" s="136" t="s">
        <v>379</v>
      </c>
      <c r="B529" s="140"/>
      <c r="C529" s="141"/>
      <c r="D529" s="22"/>
      <c r="E529" s="16"/>
      <c r="F529" s="27"/>
      <c r="G529" s="34"/>
      <c r="H529" s="25">
        <f>H531</f>
        <v>100000</v>
      </c>
      <c r="I529" s="650"/>
      <c r="J529" s="650"/>
      <c r="K529" s="650"/>
      <c r="L529" s="650"/>
      <c r="M529" s="650"/>
      <c r="N529" s="964"/>
      <c r="O529" s="964"/>
      <c r="P529" s="964"/>
      <c r="Q529" s="964"/>
      <c r="R529" s="964"/>
    </row>
    <row r="530" spans="1:18" s="32" customFormat="1" ht="20.25" customHeight="1">
      <c r="A530" s="115" t="s">
        <v>71</v>
      </c>
      <c r="B530" s="140"/>
      <c r="C530" s="141"/>
      <c r="D530" s="22"/>
      <c r="E530" s="16"/>
      <c r="F530" s="27"/>
      <c r="G530" s="34"/>
      <c r="H530" s="35"/>
      <c r="I530" s="650"/>
      <c r="J530" s="650"/>
      <c r="K530" s="650"/>
      <c r="L530" s="650"/>
      <c r="M530" s="650"/>
      <c r="N530" s="964"/>
      <c r="O530" s="964"/>
      <c r="P530" s="964"/>
      <c r="Q530" s="964"/>
      <c r="R530" s="964"/>
    </row>
    <row r="531" spans="1:18" s="32" customFormat="1" ht="20.25" customHeight="1">
      <c r="A531" s="101" t="s">
        <v>394</v>
      </c>
      <c r="B531" s="140"/>
      <c r="C531" s="141"/>
      <c r="D531" s="22"/>
      <c r="E531" s="16"/>
      <c r="F531" s="27"/>
      <c r="G531" s="34"/>
      <c r="H531" s="25">
        <f>H533</f>
        <v>100000</v>
      </c>
      <c r="I531" s="650"/>
      <c r="J531" s="650"/>
      <c r="K531" s="650"/>
      <c r="L531" s="650"/>
      <c r="M531" s="650"/>
      <c r="N531" s="964"/>
      <c r="O531" s="964"/>
      <c r="P531" s="964"/>
      <c r="Q531" s="964"/>
      <c r="R531" s="964"/>
    </row>
    <row r="532" spans="1:18" s="32" customFormat="1" ht="20.25" customHeight="1">
      <c r="A532" s="50" t="s">
        <v>71</v>
      </c>
      <c r="B532" s="140"/>
      <c r="C532" s="141"/>
      <c r="D532" s="22"/>
      <c r="E532" s="16"/>
      <c r="F532" s="27"/>
      <c r="G532" s="34"/>
      <c r="H532" s="35"/>
      <c r="I532" s="650"/>
      <c r="J532" s="650"/>
      <c r="K532" s="650"/>
      <c r="L532" s="650"/>
      <c r="M532" s="650"/>
      <c r="N532" s="964"/>
      <c r="O532" s="964"/>
      <c r="P532" s="964"/>
      <c r="Q532" s="964"/>
      <c r="R532" s="964"/>
    </row>
    <row r="533" spans="1:18" s="32" customFormat="1" ht="20.25" customHeight="1">
      <c r="A533" s="50"/>
      <c r="B533" s="140" t="s">
        <v>274</v>
      </c>
      <c r="C533" s="141"/>
      <c r="D533" s="22"/>
      <c r="E533" s="16"/>
      <c r="F533" s="27"/>
      <c r="G533" s="34"/>
      <c r="H533" s="35">
        <v>100000</v>
      </c>
      <c r="I533" s="650"/>
      <c r="J533" s="650"/>
      <c r="K533" s="650"/>
      <c r="L533" s="650"/>
      <c r="M533" s="650"/>
      <c r="N533" s="964"/>
      <c r="O533" s="964"/>
      <c r="P533" s="964"/>
      <c r="Q533" s="964"/>
      <c r="R533" s="964"/>
    </row>
    <row r="534" spans="1:18" s="32" customFormat="1" ht="20.25" customHeight="1">
      <c r="A534" s="50"/>
      <c r="B534" s="140"/>
      <c r="C534" s="141"/>
      <c r="D534" s="22"/>
      <c r="E534" s="16"/>
      <c r="F534" s="27"/>
      <c r="G534" s="34"/>
      <c r="H534" s="35"/>
      <c r="I534" s="650"/>
      <c r="J534" s="650"/>
      <c r="K534" s="650"/>
      <c r="L534" s="650"/>
      <c r="M534" s="650"/>
      <c r="N534" s="964"/>
      <c r="O534" s="964"/>
      <c r="P534" s="964"/>
      <c r="Q534" s="964"/>
      <c r="R534" s="964"/>
    </row>
    <row r="535" spans="1:23" s="3" customFormat="1" ht="17.25" customHeight="1">
      <c r="A535" s="142" t="s">
        <v>143</v>
      </c>
      <c r="B535" s="142"/>
      <c r="C535" s="135"/>
      <c r="D535" s="22"/>
      <c r="E535" s="16"/>
      <c r="F535" s="34"/>
      <c r="G535" s="34"/>
      <c r="H535" s="35"/>
      <c r="I535" s="980"/>
      <c r="J535" s="983"/>
      <c r="K535" s="648"/>
      <c r="L535" s="983"/>
      <c r="M535" s="983"/>
      <c r="N535" s="34"/>
      <c r="O535" s="34"/>
      <c r="P535" s="34"/>
      <c r="Q535" s="34"/>
      <c r="R535" s="34"/>
      <c r="S535" s="35"/>
      <c r="T535" s="35"/>
      <c r="U535" s="35"/>
      <c r="V535" s="35"/>
      <c r="W535" s="35"/>
    </row>
    <row r="536" spans="1:23" s="3" customFormat="1" ht="17.25" customHeight="1">
      <c r="A536" s="142" t="s">
        <v>144</v>
      </c>
      <c r="B536" s="142"/>
      <c r="C536" s="135"/>
      <c r="D536" s="22"/>
      <c r="E536" s="16"/>
      <c r="F536" s="34"/>
      <c r="G536" s="34"/>
      <c r="H536" s="35"/>
      <c r="I536" s="980"/>
      <c r="J536" s="983"/>
      <c r="K536" s="648"/>
      <c r="L536" s="983"/>
      <c r="M536" s="983"/>
      <c r="N536" s="34"/>
      <c r="O536" s="34"/>
      <c r="P536" s="34"/>
      <c r="Q536" s="34"/>
      <c r="R536" s="34"/>
      <c r="S536" s="35"/>
      <c r="T536" s="35"/>
      <c r="U536" s="35"/>
      <c r="V536" s="35"/>
      <c r="W536" s="35"/>
    </row>
    <row r="537" spans="1:23" s="3" customFormat="1" ht="17.25" customHeight="1">
      <c r="A537" s="142"/>
      <c r="B537" s="142"/>
      <c r="C537" s="135"/>
      <c r="D537" s="22"/>
      <c r="E537" s="16"/>
      <c r="F537" s="34"/>
      <c r="G537" s="34"/>
      <c r="H537" s="35"/>
      <c r="I537" s="980"/>
      <c r="J537" s="983"/>
      <c r="K537" s="648"/>
      <c r="L537" s="983"/>
      <c r="M537" s="983"/>
      <c r="N537" s="34"/>
      <c r="O537" s="34"/>
      <c r="P537" s="34"/>
      <c r="Q537" s="34"/>
      <c r="R537" s="34"/>
      <c r="S537" s="35"/>
      <c r="T537" s="35"/>
      <c r="U537" s="35"/>
      <c r="V537" s="35"/>
      <c r="W537" s="35"/>
    </row>
    <row r="538" spans="1:23" s="3" customFormat="1" ht="17.25" customHeight="1">
      <c r="A538" s="142" t="s">
        <v>566</v>
      </c>
      <c r="B538" s="142"/>
      <c r="C538" s="135"/>
      <c r="D538" s="22"/>
      <c r="E538" s="16"/>
      <c r="F538" s="34"/>
      <c r="G538" s="34"/>
      <c r="H538" s="35"/>
      <c r="I538" s="980"/>
      <c r="J538" s="983"/>
      <c r="K538" s="648"/>
      <c r="L538" s="983"/>
      <c r="M538" s="983"/>
      <c r="N538" s="34"/>
      <c r="O538" s="34"/>
      <c r="P538" s="34"/>
      <c r="Q538" s="34"/>
      <c r="R538" s="34"/>
      <c r="S538" s="35"/>
      <c r="T538" s="35"/>
      <c r="U538" s="35"/>
      <c r="V538" s="35"/>
      <c r="W538" s="35"/>
    </row>
    <row r="539" spans="1:23" s="3" customFormat="1" ht="17.25" customHeight="1">
      <c r="A539" s="662" t="s">
        <v>564</v>
      </c>
      <c r="B539" s="662"/>
      <c r="C539" s="663"/>
      <c r="D539" s="664"/>
      <c r="E539" s="381"/>
      <c r="F539" s="665"/>
      <c r="G539" s="34"/>
      <c r="H539" s="35"/>
      <c r="I539" s="980"/>
      <c r="J539" s="983"/>
      <c r="K539" s="648"/>
      <c r="L539" s="983"/>
      <c r="M539" s="983"/>
      <c r="N539" s="34"/>
      <c r="O539" s="34"/>
      <c r="P539" s="34"/>
      <c r="Q539" s="34"/>
      <c r="R539" s="34"/>
      <c r="S539" s="35"/>
      <c r="T539" s="35"/>
      <c r="U539" s="35"/>
      <c r="V539" s="35"/>
      <c r="W539" s="35"/>
    </row>
    <row r="540" spans="1:23" s="3" customFormat="1" ht="17.25" customHeight="1">
      <c r="A540" s="662" t="s">
        <v>751</v>
      </c>
      <c r="B540" s="662"/>
      <c r="C540" s="663"/>
      <c r="D540" s="664"/>
      <c r="E540" s="381"/>
      <c r="F540" s="665"/>
      <c r="G540" s="34"/>
      <c r="H540" s="35"/>
      <c r="I540" s="980"/>
      <c r="J540" s="983"/>
      <c r="K540" s="648"/>
      <c r="L540" s="983"/>
      <c r="M540" s="983"/>
      <c r="N540" s="34"/>
      <c r="O540" s="34"/>
      <c r="P540" s="34"/>
      <c r="Q540" s="34"/>
      <c r="R540" s="34"/>
      <c r="S540" s="35"/>
      <c r="T540" s="35"/>
      <c r="U540" s="35"/>
      <c r="V540" s="35"/>
      <c r="W540" s="35"/>
    </row>
    <row r="541" spans="1:23" s="3" customFormat="1" ht="17.25" customHeight="1">
      <c r="A541" s="142" t="s">
        <v>565</v>
      </c>
      <c r="B541" s="142"/>
      <c r="C541" s="135"/>
      <c r="D541" s="22"/>
      <c r="E541" s="16"/>
      <c r="F541" s="34"/>
      <c r="G541" s="34"/>
      <c r="H541" s="35"/>
      <c r="I541" s="980"/>
      <c r="J541" s="983"/>
      <c r="K541" s="648"/>
      <c r="L541" s="983"/>
      <c r="M541" s="983"/>
      <c r="N541" s="34"/>
      <c r="O541" s="34"/>
      <c r="P541" s="34"/>
      <c r="Q541" s="34"/>
      <c r="R541" s="34"/>
      <c r="S541" s="35"/>
      <c r="T541" s="35"/>
      <c r="U541" s="35"/>
      <c r="V541" s="35"/>
      <c r="W541" s="35"/>
    </row>
    <row r="542" spans="1:23" s="3" customFormat="1" ht="17.25" customHeight="1">
      <c r="A542" s="142"/>
      <c r="B542" s="142"/>
      <c r="C542" s="135"/>
      <c r="D542" s="22"/>
      <c r="E542" s="16"/>
      <c r="F542" s="34"/>
      <c r="G542" s="34"/>
      <c r="H542" s="35"/>
      <c r="I542" s="980"/>
      <c r="J542" s="983"/>
      <c r="K542" s="648"/>
      <c r="L542" s="983"/>
      <c r="M542" s="983"/>
      <c r="N542" s="34"/>
      <c r="O542" s="34"/>
      <c r="P542" s="34"/>
      <c r="Q542" s="34"/>
      <c r="R542" s="34"/>
      <c r="S542" s="35"/>
      <c r="T542" s="35"/>
      <c r="U542" s="35"/>
      <c r="V542" s="35"/>
      <c r="W542" s="35"/>
    </row>
    <row r="543" spans="1:23" s="3" customFormat="1" ht="17.25" customHeight="1">
      <c r="A543" s="142"/>
      <c r="B543" s="142"/>
      <c r="C543" s="135"/>
      <c r="D543" s="22"/>
      <c r="E543" s="16"/>
      <c r="F543" s="34"/>
      <c r="G543" s="34"/>
      <c r="H543" s="35"/>
      <c r="I543" s="980"/>
      <c r="J543" s="983"/>
      <c r="K543" s="648"/>
      <c r="L543" s="983"/>
      <c r="M543" s="983"/>
      <c r="N543" s="34"/>
      <c r="O543" s="34"/>
      <c r="P543" s="34"/>
      <c r="Q543" s="34"/>
      <c r="R543" s="34"/>
      <c r="S543" s="35"/>
      <c r="T543" s="35"/>
      <c r="U543" s="35"/>
      <c r="V543" s="35"/>
      <c r="W543" s="35"/>
    </row>
    <row r="544" spans="1:23" s="3" customFormat="1" ht="17.25" customHeight="1">
      <c r="A544" s="142" t="s">
        <v>567</v>
      </c>
      <c r="B544" s="142"/>
      <c r="C544" s="135"/>
      <c r="D544" s="22"/>
      <c r="E544" s="16"/>
      <c r="F544" s="34"/>
      <c r="G544" s="34"/>
      <c r="H544" s="35"/>
      <c r="I544" s="980"/>
      <c r="J544" s="983"/>
      <c r="K544" s="648"/>
      <c r="L544" s="983"/>
      <c r="M544" s="983"/>
      <c r="N544" s="34"/>
      <c r="O544" s="34"/>
      <c r="P544" s="34"/>
      <c r="Q544" s="34"/>
      <c r="R544" s="34"/>
      <c r="S544" s="35"/>
      <c r="T544" s="35"/>
      <c r="U544" s="35"/>
      <c r="V544" s="35"/>
      <c r="W544" s="35"/>
    </row>
    <row r="545" spans="1:23" s="3" customFormat="1" ht="17.25" customHeight="1">
      <c r="A545" s="662" t="s">
        <v>750</v>
      </c>
      <c r="B545" s="662"/>
      <c r="C545" s="663"/>
      <c r="D545" s="664"/>
      <c r="E545" s="381"/>
      <c r="F545" s="665"/>
      <c r="G545" s="665"/>
      <c r="H545" s="35"/>
      <c r="I545" s="980"/>
      <c r="J545" s="983"/>
      <c r="K545" s="648"/>
      <c r="L545" s="983"/>
      <c r="M545" s="983"/>
      <c r="N545" s="34"/>
      <c r="O545" s="34"/>
      <c r="P545" s="34"/>
      <c r="Q545" s="34"/>
      <c r="R545" s="34"/>
      <c r="S545" s="35"/>
      <c r="T545" s="35"/>
      <c r="U545" s="35"/>
      <c r="V545" s="35"/>
      <c r="W545" s="35"/>
    </row>
    <row r="546" spans="1:23" s="3" customFormat="1" ht="17.25" customHeight="1">
      <c r="A546" s="662" t="s">
        <v>751</v>
      </c>
      <c r="B546" s="662"/>
      <c r="C546" s="663"/>
      <c r="D546" s="664"/>
      <c r="E546" s="381"/>
      <c r="F546" s="665"/>
      <c r="G546" s="34"/>
      <c r="H546" s="35"/>
      <c r="I546" s="980"/>
      <c r="J546" s="983"/>
      <c r="K546" s="648"/>
      <c r="L546" s="983"/>
      <c r="M546" s="983"/>
      <c r="N546" s="34"/>
      <c r="O546" s="34"/>
      <c r="P546" s="34"/>
      <c r="Q546" s="34"/>
      <c r="R546" s="34"/>
      <c r="S546" s="35"/>
      <c r="T546" s="35"/>
      <c r="U546" s="35"/>
      <c r="V546" s="35"/>
      <c r="W546" s="35"/>
    </row>
    <row r="547" spans="1:23" s="3" customFormat="1" ht="17.25" customHeight="1">
      <c r="A547" s="142" t="s">
        <v>568</v>
      </c>
      <c r="B547" s="142"/>
      <c r="C547" s="135"/>
      <c r="D547" s="22"/>
      <c r="E547" s="16"/>
      <c r="F547" s="34"/>
      <c r="G547" s="34"/>
      <c r="H547" s="35"/>
      <c r="I547" s="980"/>
      <c r="J547" s="983"/>
      <c r="K547" s="648"/>
      <c r="L547" s="983"/>
      <c r="M547" s="983"/>
      <c r="N547" s="34"/>
      <c r="O547" s="34"/>
      <c r="P547" s="34"/>
      <c r="Q547" s="34"/>
      <c r="R547" s="34"/>
      <c r="S547" s="35"/>
      <c r="T547" s="35"/>
      <c r="U547" s="35"/>
      <c r="V547" s="35"/>
      <c r="W547" s="35"/>
    </row>
    <row r="548" spans="1:23" s="3" customFormat="1" ht="17.25" customHeight="1">
      <c r="A548" s="142"/>
      <c r="B548" s="142"/>
      <c r="C548" s="135"/>
      <c r="D548" s="22"/>
      <c r="E548" s="16"/>
      <c r="F548" s="34"/>
      <c r="G548" s="34"/>
      <c r="H548" s="35"/>
      <c r="I548" s="980"/>
      <c r="J548" s="983"/>
      <c r="K548" s="648"/>
      <c r="L548" s="983"/>
      <c r="M548" s="983"/>
      <c r="N548" s="34"/>
      <c r="O548" s="34"/>
      <c r="P548" s="34"/>
      <c r="Q548" s="34"/>
      <c r="R548" s="34"/>
      <c r="S548" s="35"/>
      <c r="T548" s="35"/>
      <c r="U548" s="35"/>
      <c r="V548" s="35"/>
      <c r="W548" s="35"/>
    </row>
    <row r="549" spans="1:23" s="3" customFormat="1" ht="17.25" customHeight="1">
      <c r="A549" s="142"/>
      <c r="B549" s="142"/>
      <c r="C549" s="135"/>
      <c r="D549" s="22"/>
      <c r="E549" s="16"/>
      <c r="F549" s="34"/>
      <c r="G549" s="34"/>
      <c r="H549" s="35"/>
      <c r="I549" s="980"/>
      <c r="J549" s="983"/>
      <c r="K549" s="648"/>
      <c r="L549" s="983"/>
      <c r="M549" s="983"/>
      <c r="N549" s="34"/>
      <c r="O549" s="34"/>
      <c r="P549" s="34"/>
      <c r="Q549" s="34"/>
      <c r="R549" s="34"/>
      <c r="S549" s="35"/>
      <c r="T549" s="35"/>
      <c r="U549" s="35"/>
      <c r="V549" s="35"/>
      <c r="W549" s="35"/>
    </row>
    <row r="550" spans="1:23" s="3" customFormat="1" ht="17.25" customHeight="1">
      <c r="A550" s="921" t="s">
        <v>569</v>
      </c>
      <c r="B550" s="380"/>
      <c r="C550" s="380"/>
      <c r="D550" s="381"/>
      <c r="E550" s="381"/>
      <c r="F550" s="34"/>
      <c r="G550" s="34"/>
      <c r="H550" s="35"/>
      <c r="I550" s="980"/>
      <c r="J550" s="983"/>
      <c r="K550" s="648"/>
      <c r="L550" s="983"/>
      <c r="M550" s="983"/>
      <c r="N550" s="34"/>
      <c r="O550" s="34"/>
      <c r="P550" s="34"/>
      <c r="Q550" s="34"/>
      <c r="R550" s="34"/>
      <c r="S550" s="35"/>
      <c r="T550" s="35"/>
      <c r="U550" s="35"/>
      <c r="V550" s="35"/>
      <c r="W550" s="35"/>
    </row>
    <row r="551" spans="1:23" s="3" customFormat="1" ht="17.25" customHeight="1">
      <c r="A551" s="922" t="s">
        <v>562</v>
      </c>
      <c r="B551" s="380"/>
      <c r="C551" s="380"/>
      <c r="D551" s="381"/>
      <c r="E551" s="381"/>
      <c r="F551" s="34"/>
      <c r="G551" s="34"/>
      <c r="H551" s="35"/>
      <c r="I551" s="980"/>
      <c r="J551" s="983"/>
      <c r="K551" s="648"/>
      <c r="L551" s="983"/>
      <c r="M551" s="983"/>
      <c r="N551" s="34"/>
      <c r="O551" s="34"/>
      <c r="P551" s="34"/>
      <c r="Q551" s="34"/>
      <c r="R551" s="34"/>
      <c r="S551" s="35"/>
      <c r="T551" s="35"/>
      <c r="U551" s="35"/>
      <c r="V551" s="35"/>
      <c r="W551" s="35"/>
    </row>
    <row r="552" spans="1:23" s="3" customFormat="1" ht="17.25" customHeight="1">
      <c r="A552" s="921" t="s">
        <v>563</v>
      </c>
      <c r="B552" s="97"/>
      <c r="C552" s="47"/>
      <c r="D552" s="16"/>
      <c r="E552" s="16"/>
      <c r="F552" s="34"/>
      <c r="G552" s="34"/>
      <c r="H552" s="35"/>
      <c r="I552" s="980"/>
      <c r="J552" s="983"/>
      <c r="K552" s="648"/>
      <c r="L552" s="983"/>
      <c r="M552" s="983"/>
      <c r="N552" s="34"/>
      <c r="O552" s="34"/>
      <c r="P552" s="34"/>
      <c r="Q552" s="34"/>
      <c r="R552" s="34"/>
      <c r="S552" s="35"/>
      <c r="T552" s="35"/>
      <c r="U552" s="35"/>
      <c r="V552" s="35"/>
      <c r="W552" s="35"/>
    </row>
    <row r="553" spans="1:23" s="3" customFormat="1" ht="17.25" customHeight="1">
      <c r="A553" s="921"/>
      <c r="B553" s="47"/>
      <c r="C553" s="47"/>
      <c r="D553" s="16"/>
      <c r="E553" s="16"/>
      <c r="F553" s="34"/>
      <c r="G553" s="34"/>
      <c r="H553" s="35"/>
      <c r="I553" s="980"/>
      <c r="J553" s="983"/>
      <c r="K553" s="648"/>
      <c r="L553" s="983"/>
      <c r="M553" s="983"/>
      <c r="N553" s="34"/>
      <c r="O553" s="34"/>
      <c r="P553" s="34"/>
      <c r="Q553" s="34"/>
      <c r="R553" s="34"/>
      <c r="S553" s="35"/>
      <c r="T553" s="35"/>
      <c r="U553" s="35"/>
      <c r="V553" s="35"/>
      <c r="W553" s="35"/>
    </row>
    <row r="554" spans="1:23" s="3" customFormat="1" ht="17.25" customHeight="1">
      <c r="A554" s="923"/>
      <c r="B554" s="47"/>
      <c r="C554" s="47"/>
      <c r="D554" s="381"/>
      <c r="E554" s="381"/>
      <c r="F554" s="381"/>
      <c r="G554" s="381"/>
      <c r="H554" s="382"/>
      <c r="I554" s="980"/>
      <c r="J554" s="983"/>
      <c r="K554" s="648"/>
      <c r="L554" s="983"/>
      <c r="M554" s="983"/>
      <c r="N554" s="34"/>
      <c r="O554" s="34"/>
      <c r="P554" s="34"/>
      <c r="Q554" s="34"/>
      <c r="R554" s="34"/>
      <c r="S554" s="35"/>
      <c r="T554" s="35"/>
      <c r="U554" s="35"/>
      <c r="V554" s="35"/>
      <c r="W554" s="35"/>
    </row>
    <row r="555" spans="1:23" s="3" customFormat="1" ht="17.25" customHeight="1">
      <c r="A555" s="921" t="s">
        <v>570</v>
      </c>
      <c r="B555" s="380"/>
      <c r="C555" s="380"/>
      <c r="D555" s="381"/>
      <c r="E555" s="381"/>
      <c r="F555" s="381"/>
      <c r="G555" s="381"/>
      <c r="H555" s="382"/>
      <c r="I555" s="980"/>
      <c r="J555" s="983"/>
      <c r="K555" s="648"/>
      <c r="L555" s="983"/>
      <c r="M555" s="983"/>
      <c r="N555" s="34"/>
      <c r="O555" s="34"/>
      <c r="P555" s="34"/>
      <c r="Q555" s="34"/>
      <c r="R555" s="34"/>
      <c r="S555" s="35"/>
      <c r="T555" s="35"/>
      <c r="U555" s="35"/>
      <c r="V555" s="35"/>
      <c r="W555" s="35"/>
    </row>
    <row r="556" spans="1:23" s="3" customFormat="1" ht="17.25" customHeight="1">
      <c r="A556" s="922" t="s">
        <v>562</v>
      </c>
      <c r="B556" s="380"/>
      <c r="C556" s="380"/>
      <c r="D556" s="381"/>
      <c r="E556" s="381"/>
      <c r="F556" s="381"/>
      <c r="G556" s="381"/>
      <c r="H556" s="382"/>
      <c r="I556" s="980"/>
      <c r="J556" s="983"/>
      <c r="K556" s="648"/>
      <c r="L556" s="983"/>
      <c r="M556" s="983"/>
      <c r="N556" s="34"/>
      <c r="O556" s="34"/>
      <c r="P556" s="34"/>
      <c r="Q556" s="34"/>
      <c r="R556" s="34"/>
      <c r="S556" s="35"/>
      <c r="T556" s="35"/>
      <c r="U556" s="35"/>
      <c r="V556" s="35"/>
      <c r="W556" s="35"/>
    </row>
    <row r="557" spans="1:23" s="3" customFormat="1" ht="17.25" customHeight="1">
      <c r="A557" s="921" t="s">
        <v>571</v>
      </c>
      <c r="B557" s="97"/>
      <c r="C557" s="47"/>
      <c r="D557" s="381"/>
      <c r="E557" s="381"/>
      <c r="F557" s="381"/>
      <c r="G557" s="381"/>
      <c r="H557" s="382"/>
      <c r="I557" s="980"/>
      <c r="J557" s="983"/>
      <c r="K557" s="648"/>
      <c r="L557" s="983"/>
      <c r="M557" s="983"/>
      <c r="N557" s="34"/>
      <c r="O557" s="34"/>
      <c r="P557" s="34"/>
      <c r="Q557" s="34"/>
      <c r="R557" s="34"/>
      <c r="S557" s="35"/>
      <c r="T557" s="35"/>
      <c r="U557" s="35"/>
      <c r="V557" s="35"/>
      <c r="W557" s="35"/>
    </row>
    <row r="558" spans="1:23" s="3" customFormat="1" ht="17.25" customHeight="1">
      <c r="A558" s="378"/>
      <c r="B558" s="379"/>
      <c r="C558" s="380"/>
      <c r="D558" s="381"/>
      <c r="E558" s="381"/>
      <c r="F558" s="381"/>
      <c r="G558" s="381"/>
      <c r="H558" s="382"/>
      <c r="I558" s="980"/>
      <c r="J558" s="983"/>
      <c r="K558" s="648"/>
      <c r="L558" s="983"/>
      <c r="M558" s="983"/>
      <c r="N558" s="34"/>
      <c r="O558" s="34"/>
      <c r="P558" s="34"/>
      <c r="Q558" s="34"/>
      <c r="R558" s="34"/>
      <c r="S558" s="35"/>
      <c r="T558" s="35"/>
      <c r="U558" s="35"/>
      <c r="V558" s="35"/>
      <c r="W558" s="35"/>
    </row>
    <row r="559" spans="1:23" s="3" customFormat="1" ht="17.25" customHeight="1">
      <c r="A559" s="378"/>
      <c r="B559" s="379"/>
      <c r="C559" s="380"/>
      <c r="D559" s="381"/>
      <c r="E559" s="381"/>
      <c r="F559" s="381"/>
      <c r="G559" s="381"/>
      <c r="H559" s="382"/>
      <c r="I559" s="980"/>
      <c r="J559" s="983"/>
      <c r="K559" s="648"/>
      <c r="L559" s="983"/>
      <c r="M559" s="983"/>
      <c r="N559" s="34"/>
      <c r="O559" s="34"/>
      <c r="P559" s="34"/>
      <c r="Q559" s="34"/>
      <c r="R559" s="34"/>
      <c r="S559" s="35"/>
      <c r="T559" s="35"/>
      <c r="U559" s="35"/>
      <c r="V559" s="35"/>
      <c r="W559" s="35"/>
    </row>
    <row r="560" spans="1:23" ht="18.75">
      <c r="A560" s="408" t="s">
        <v>572</v>
      </c>
      <c r="B560" s="383"/>
      <c r="C560" s="383"/>
      <c r="D560" s="19"/>
      <c r="E560" s="19"/>
      <c r="F560" s="19"/>
      <c r="G560" s="111"/>
      <c r="H560" s="17"/>
      <c r="I560" s="970"/>
      <c r="J560" s="953"/>
      <c r="K560" s="966"/>
      <c r="L560" s="924"/>
      <c r="M560" s="924"/>
      <c r="N560" s="12"/>
      <c r="O560" s="12"/>
      <c r="P560" s="12"/>
      <c r="Q560" s="967"/>
      <c r="R560" s="967"/>
      <c r="S560" s="100"/>
      <c r="T560" s="100"/>
      <c r="U560" s="100"/>
      <c r="V560" s="100"/>
      <c r="W560" s="100"/>
    </row>
    <row r="561" spans="1:23" ht="18.75">
      <c r="A561" s="408"/>
      <c r="B561" s="383"/>
      <c r="C561" s="383"/>
      <c r="D561" s="19"/>
      <c r="E561" s="19"/>
      <c r="F561" s="19"/>
      <c r="G561" s="111"/>
      <c r="H561" s="17"/>
      <c r="I561" s="970"/>
      <c r="J561" s="953"/>
      <c r="K561" s="966"/>
      <c r="L561" s="924"/>
      <c r="M561" s="924"/>
      <c r="N561" s="12"/>
      <c r="O561" s="12"/>
      <c r="P561" s="12"/>
      <c r="Q561" s="967"/>
      <c r="R561" s="967"/>
      <c r="S561" s="100"/>
      <c r="T561" s="100"/>
      <c r="U561" s="100"/>
      <c r="V561" s="100"/>
      <c r="W561" s="100"/>
    </row>
    <row r="562" spans="1:23" ht="18.75">
      <c r="A562" s="408"/>
      <c r="B562" s="383"/>
      <c r="C562" s="383"/>
      <c r="D562" s="19"/>
      <c r="E562" s="19"/>
      <c r="F562" s="19"/>
      <c r="G562" s="111"/>
      <c r="H562" s="17"/>
      <c r="I562" s="970"/>
      <c r="J562" s="953"/>
      <c r="K562" s="966"/>
      <c r="L562" s="924"/>
      <c r="M562" s="924"/>
      <c r="N562" s="12"/>
      <c r="O562" s="12"/>
      <c r="P562" s="12"/>
      <c r="Q562" s="967"/>
      <c r="R562" s="967"/>
      <c r="S562" s="100"/>
      <c r="T562" s="100"/>
      <c r="U562" s="100"/>
      <c r="V562" s="100"/>
      <c r="W562" s="100"/>
    </row>
    <row r="563" spans="1:23" ht="16.5">
      <c r="A563" s="115" t="s">
        <v>556</v>
      </c>
      <c r="B563" s="115"/>
      <c r="C563" s="116"/>
      <c r="D563" s="19"/>
      <c r="E563" s="16"/>
      <c r="F563" s="19"/>
      <c r="G563" s="111"/>
      <c r="H563" s="105">
        <v>133445.27</v>
      </c>
      <c r="I563" s="970"/>
      <c r="J563" s="953"/>
      <c r="K563" s="966"/>
      <c r="L563" s="924"/>
      <c r="M563" s="924"/>
      <c r="N563" s="12"/>
      <c r="O563" s="12"/>
      <c r="P563" s="12"/>
      <c r="Q563" s="967"/>
      <c r="R563" s="967"/>
      <c r="S563" s="100"/>
      <c r="T563" s="100"/>
      <c r="U563" s="100"/>
      <c r="V563" s="100"/>
      <c r="W563" s="100"/>
    </row>
    <row r="564" spans="1:23" ht="16.5">
      <c r="A564" s="115" t="s">
        <v>145</v>
      </c>
      <c r="B564" s="115"/>
      <c r="C564" s="116"/>
      <c r="D564" s="19"/>
      <c r="E564" s="16"/>
      <c r="F564" s="19"/>
      <c r="G564" s="111"/>
      <c r="H564" s="105">
        <f>H563+39302.95</f>
        <v>172748.21999999997</v>
      </c>
      <c r="I564" s="970"/>
      <c r="J564" s="953"/>
      <c r="K564" s="966"/>
      <c r="L564" s="924"/>
      <c r="M564" s="924"/>
      <c r="N564" s="12"/>
      <c r="O564" s="12"/>
      <c r="P564" s="12"/>
      <c r="Q564" s="967"/>
      <c r="R564" s="967"/>
      <c r="S564" s="100"/>
      <c r="T564" s="100"/>
      <c r="U564" s="100"/>
      <c r="V564" s="100"/>
      <c r="W564" s="100"/>
    </row>
    <row r="565" spans="1:23" ht="16.5">
      <c r="A565" s="115" t="s">
        <v>369</v>
      </c>
      <c r="B565" s="115"/>
      <c r="C565" s="116"/>
      <c r="D565" s="19"/>
      <c r="E565" s="16"/>
      <c r="F565" s="19"/>
      <c r="G565" s="111"/>
      <c r="H565" s="105"/>
      <c r="I565" s="970"/>
      <c r="J565" s="953"/>
      <c r="K565" s="966"/>
      <c r="L565" s="924"/>
      <c r="M565" s="924"/>
      <c r="N565" s="12"/>
      <c r="O565" s="12"/>
      <c r="P565" s="12"/>
      <c r="Q565" s="967"/>
      <c r="R565" s="967"/>
      <c r="S565" s="100"/>
      <c r="T565" s="100"/>
      <c r="U565" s="100"/>
      <c r="V565" s="100"/>
      <c r="W565" s="100"/>
    </row>
    <row r="566" spans="1:23" ht="16.5">
      <c r="A566" s="115"/>
      <c r="B566" s="115" t="s">
        <v>146</v>
      </c>
      <c r="C566" s="409"/>
      <c r="D566" s="410"/>
      <c r="E566" s="16"/>
      <c r="F566" s="19"/>
      <c r="G566" s="111"/>
      <c r="H566" s="105">
        <v>58515.69</v>
      </c>
      <c r="I566" s="970"/>
      <c r="J566" s="953"/>
      <c r="K566" s="966"/>
      <c r="L566" s="924"/>
      <c r="M566" s="924"/>
      <c r="N566" s="12"/>
      <c r="O566" s="12"/>
      <c r="P566" s="12"/>
      <c r="Q566" s="967"/>
      <c r="R566" s="967"/>
      <c r="S566" s="100"/>
      <c r="T566" s="100"/>
      <c r="U566" s="100"/>
      <c r="V566" s="100"/>
      <c r="W566" s="100"/>
    </row>
    <row r="567" spans="1:23" ht="16.5">
      <c r="A567" s="115"/>
      <c r="B567" s="115" t="s">
        <v>147</v>
      </c>
      <c r="C567" s="409"/>
      <c r="D567" s="410"/>
      <c r="E567" s="16"/>
      <c r="F567" s="19"/>
      <c r="G567" s="111"/>
      <c r="H567" s="105">
        <f>H566-13000-3100+37171.34+18231.61</f>
        <v>97818.64</v>
      </c>
      <c r="I567" s="970"/>
      <c r="J567" s="953"/>
      <c r="K567" s="966"/>
      <c r="L567" s="924"/>
      <c r="M567" s="924"/>
      <c r="N567" s="12"/>
      <c r="O567" s="12"/>
      <c r="P567" s="12"/>
      <c r="Q567" s="967"/>
      <c r="R567" s="967"/>
      <c r="S567" s="100"/>
      <c r="T567" s="100"/>
      <c r="U567" s="100"/>
      <c r="V567" s="100"/>
      <c r="W567" s="100"/>
    </row>
    <row r="568" spans="1:23" ht="16.5">
      <c r="A568" s="115"/>
      <c r="B568" s="115"/>
      <c r="C568" s="409"/>
      <c r="D568" s="410"/>
      <c r="E568" s="16"/>
      <c r="F568" s="19"/>
      <c r="G568" s="111"/>
      <c r="H568" s="105"/>
      <c r="I568" s="970"/>
      <c r="J568" s="953"/>
      <c r="K568" s="966"/>
      <c r="L568" s="924"/>
      <c r="M568" s="924"/>
      <c r="N568" s="12"/>
      <c r="O568" s="12"/>
      <c r="P568" s="12"/>
      <c r="Q568" s="967"/>
      <c r="R568" s="967"/>
      <c r="S568" s="100"/>
      <c r="T568" s="100"/>
      <c r="U568" s="100"/>
      <c r="V568" s="100"/>
      <c r="W568" s="100"/>
    </row>
    <row r="569" spans="1:23" ht="16.5">
      <c r="A569" s="115"/>
      <c r="B569" s="115"/>
      <c r="C569" s="409"/>
      <c r="D569" s="410"/>
      <c r="E569" s="16"/>
      <c r="F569" s="16"/>
      <c r="G569" s="105"/>
      <c r="H569" s="105"/>
      <c r="I569" s="970"/>
      <c r="J569" s="953"/>
      <c r="K569" s="966"/>
      <c r="L569" s="924"/>
      <c r="M569" s="924"/>
      <c r="N569" s="12"/>
      <c r="O569" s="12"/>
      <c r="P569" s="12"/>
      <c r="Q569" s="967"/>
      <c r="R569" s="967"/>
      <c r="S569" s="100"/>
      <c r="T569" s="100"/>
      <c r="U569" s="100"/>
      <c r="V569" s="100"/>
      <c r="W569" s="100"/>
    </row>
    <row r="570" spans="1:23" ht="16.5">
      <c r="A570" s="115" t="s">
        <v>865</v>
      </c>
      <c r="B570" s="115"/>
      <c r="C570" s="116"/>
      <c r="D570" s="19"/>
      <c r="E570" s="16"/>
      <c r="F570" s="16"/>
      <c r="G570" s="105"/>
      <c r="H570" s="105">
        <f>H574+H577</f>
        <v>2931127.41</v>
      </c>
      <c r="I570" s="970"/>
      <c r="J570" s="953"/>
      <c r="K570" s="966"/>
      <c r="L570" s="924"/>
      <c r="M570" s="924"/>
      <c r="N570" s="12"/>
      <c r="O570" s="12"/>
      <c r="P570" s="12"/>
      <c r="Q570" s="967"/>
      <c r="R570" s="967"/>
      <c r="S570" s="100"/>
      <c r="T570" s="100"/>
      <c r="U570" s="100"/>
      <c r="V570" s="100"/>
      <c r="W570" s="100"/>
    </row>
    <row r="571" spans="1:23" ht="16.5">
      <c r="A571" s="115" t="s">
        <v>145</v>
      </c>
      <c r="B571" s="115"/>
      <c r="C571" s="116"/>
      <c r="D571" s="19"/>
      <c r="E571" s="16"/>
      <c r="F571" s="16"/>
      <c r="G571" s="105"/>
      <c r="H571" s="105">
        <f>H575+H578</f>
        <v>341714.4099999999</v>
      </c>
      <c r="I571" s="970"/>
      <c r="J571" s="953"/>
      <c r="K571" s="966"/>
      <c r="L571" s="924"/>
      <c r="M571" s="924"/>
      <c r="N571" s="12"/>
      <c r="O571" s="12"/>
      <c r="P571" s="12"/>
      <c r="Q571" s="967"/>
      <c r="R571" s="967"/>
      <c r="S571" s="100"/>
      <c r="T571" s="100"/>
      <c r="U571" s="100"/>
      <c r="V571" s="100"/>
      <c r="W571" s="100"/>
    </row>
    <row r="572" spans="1:23" ht="16.5">
      <c r="A572" s="115" t="s">
        <v>369</v>
      </c>
      <c r="B572" s="115"/>
      <c r="C572" s="116"/>
      <c r="D572" s="19"/>
      <c r="E572" s="16"/>
      <c r="F572" s="16"/>
      <c r="G572" s="105"/>
      <c r="H572" s="105"/>
      <c r="I572" s="970"/>
      <c r="J572" s="953"/>
      <c r="K572" s="966"/>
      <c r="L572" s="924"/>
      <c r="M572" s="924"/>
      <c r="N572" s="12"/>
      <c r="O572" s="12"/>
      <c r="P572" s="12"/>
      <c r="Q572" s="967"/>
      <c r="R572" s="967"/>
      <c r="S572" s="100"/>
      <c r="T572" s="100"/>
      <c r="U572" s="100"/>
      <c r="V572" s="100"/>
      <c r="W572" s="100"/>
    </row>
    <row r="573" spans="1:23" ht="16.5">
      <c r="A573" s="115"/>
      <c r="B573" s="115"/>
      <c r="C573" s="116"/>
      <c r="D573" s="19"/>
      <c r="E573" s="16"/>
      <c r="F573" s="16"/>
      <c r="G573" s="105"/>
      <c r="H573" s="105"/>
      <c r="I573" s="970"/>
      <c r="J573" s="953"/>
      <c r="K573" s="966"/>
      <c r="L573" s="924"/>
      <c r="M573" s="924"/>
      <c r="N573" s="12"/>
      <c r="O573" s="12"/>
      <c r="P573" s="12"/>
      <c r="Q573" s="967"/>
      <c r="R573" s="967"/>
      <c r="S573" s="100"/>
      <c r="T573" s="100"/>
      <c r="U573" s="100"/>
      <c r="V573" s="100"/>
      <c r="W573" s="100"/>
    </row>
    <row r="574" spans="1:23" ht="16.5">
      <c r="A574" s="115"/>
      <c r="B574" s="115" t="s">
        <v>146</v>
      </c>
      <c r="C574" s="409"/>
      <c r="D574" s="410"/>
      <c r="E574" s="16"/>
      <c r="F574" s="16"/>
      <c r="G574" s="105"/>
      <c r="H574" s="105">
        <v>653258.99</v>
      </c>
      <c r="I574" s="970"/>
      <c r="J574" s="953"/>
      <c r="K574" s="966"/>
      <c r="L574" s="924"/>
      <c r="M574" s="924"/>
      <c r="N574" s="12"/>
      <c r="O574" s="12"/>
      <c r="P574" s="12"/>
      <c r="Q574" s="967"/>
      <c r="R574" s="967"/>
      <c r="S574" s="100"/>
      <c r="T574" s="100"/>
      <c r="U574" s="100"/>
      <c r="V574" s="100"/>
      <c r="W574" s="100"/>
    </row>
    <row r="575" spans="1:23" ht="16.5">
      <c r="A575" s="115"/>
      <c r="B575" s="115" t="s">
        <v>147</v>
      </c>
      <c r="C575" s="409"/>
      <c r="D575" s="410"/>
      <c r="E575" s="16"/>
      <c r="F575" s="16"/>
      <c r="G575" s="105"/>
      <c r="H575" s="105">
        <f>H574-800-467622-44600</f>
        <v>140236.99</v>
      </c>
      <c r="I575" s="970"/>
      <c r="J575" s="953"/>
      <c r="K575" s="966"/>
      <c r="L575" s="924"/>
      <c r="M575" s="924"/>
      <c r="N575" s="12"/>
      <c r="O575" s="12"/>
      <c r="P575" s="12"/>
      <c r="Q575" s="967"/>
      <c r="R575" s="967"/>
      <c r="S575" s="100"/>
      <c r="T575" s="100"/>
      <c r="U575" s="100"/>
      <c r="V575" s="100"/>
      <c r="W575" s="100"/>
    </row>
    <row r="576" spans="1:23" ht="16.5">
      <c r="A576" s="115"/>
      <c r="B576" s="115"/>
      <c r="C576" s="409"/>
      <c r="D576" s="410"/>
      <c r="E576" s="16"/>
      <c r="F576" s="16"/>
      <c r="G576" s="105"/>
      <c r="H576" s="105"/>
      <c r="I576" s="970"/>
      <c r="J576" s="953"/>
      <c r="K576" s="966"/>
      <c r="L576" s="924"/>
      <c r="M576" s="924"/>
      <c r="N576" s="12"/>
      <c r="O576" s="12"/>
      <c r="P576" s="12"/>
      <c r="Q576" s="967"/>
      <c r="R576" s="967"/>
      <c r="S576" s="100"/>
      <c r="T576" s="100"/>
      <c r="U576" s="100"/>
      <c r="V576" s="100"/>
      <c r="W576" s="100"/>
    </row>
    <row r="577" spans="1:23" ht="16.5">
      <c r="A577" s="115"/>
      <c r="B577" s="115" t="s">
        <v>557</v>
      </c>
      <c r="C577" s="409"/>
      <c r="D577" s="144"/>
      <c r="E577" s="16"/>
      <c r="F577" s="16"/>
      <c r="G577" s="105"/>
      <c r="H577" s="105">
        <v>2277868.42</v>
      </c>
      <c r="I577" s="970"/>
      <c r="J577" s="953"/>
      <c r="K577" s="966"/>
      <c r="L577" s="924"/>
      <c r="M577" s="924"/>
      <c r="N577" s="12"/>
      <c r="O577" s="12"/>
      <c r="P577" s="12"/>
      <c r="Q577" s="967"/>
      <c r="R577" s="967"/>
      <c r="S577" s="100"/>
      <c r="T577" s="100"/>
      <c r="U577" s="100"/>
      <c r="V577" s="100"/>
      <c r="W577" s="100"/>
    </row>
    <row r="578" spans="1:23" ht="16.5">
      <c r="A578" s="115"/>
      <c r="B578" s="115" t="s">
        <v>147</v>
      </c>
      <c r="C578" s="409"/>
      <c r="D578" s="144"/>
      <c r="E578" s="16"/>
      <c r="F578" s="16"/>
      <c r="G578" s="105"/>
      <c r="H578" s="105">
        <f>H577-2076391</f>
        <v>201477.41999999993</v>
      </c>
      <c r="I578" s="970"/>
      <c r="J578" s="953"/>
      <c r="K578" s="966"/>
      <c r="L578" s="924"/>
      <c r="M578" s="924"/>
      <c r="N578" s="12"/>
      <c r="O578" s="12"/>
      <c r="P578" s="12"/>
      <c r="Q578" s="967"/>
      <c r="R578" s="967"/>
      <c r="S578" s="100"/>
      <c r="T578" s="100"/>
      <c r="U578" s="100"/>
      <c r="V578" s="100"/>
      <c r="W578" s="100"/>
    </row>
    <row r="579" spans="1:23" ht="16.5">
      <c r="A579" s="115"/>
      <c r="B579" s="115"/>
      <c r="C579" s="409"/>
      <c r="D579" s="144"/>
      <c r="E579" s="16"/>
      <c r="F579" s="16"/>
      <c r="G579" s="105"/>
      <c r="H579" s="105"/>
      <c r="I579" s="970"/>
      <c r="J579" s="953"/>
      <c r="K579" s="966"/>
      <c r="L579" s="924"/>
      <c r="M579" s="924"/>
      <c r="N579" s="12"/>
      <c r="O579" s="12"/>
      <c r="P579" s="12"/>
      <c r="Q579" s="967"/>
      <c r="R579" s="967"/>
      <c r="S579" s="100"/>
      <c r="T579" s="100"/>
      <c r="U579" s="100"/>
      <c r="V579" s="100"/>
      <c r="W579" s="100"/>
    </row>
    <row r="580" spans="1:23" ht="15.75" customHeight="1">
      <c r="A580" s="115"/>
      <c r="B580" s="115"/>
      <c r="C580" s="409"/>
      <c r="D580" s="410"/>
      <c r="E580" s="16"/>
      <c r="F580" s="16"/>
      <c r="G580" s="105"/>
      <c r="H580" s="105"/>
      <c r="I580" s="970"/>
      <c r="J580" s="953"/>
      <c r="K580" s="966"/>
      <c r="L580" s="924"/>
      <c r="M580" s="924"/>
      <c r="N580" s="12"/>
      <c r="O580" s="12"/>
      <c r="P580" s="12"/>
      <c r="Q580" s="967"/>
      <c r="R580" s="967"/>
      <c r="S580" s="100"/>
      <c r="T580" s="100"/>
      <c r="U580" s="100"/>
      <c r="V580" s="100"/>
      <c r="W580" s="100"/>
    </row>
    <row r="581" spans="1:23" ht="16.5">
      <c r="A581" s="383" t="s">
        <v>558</v>
      </c>
      <c r="B581" s="115"/>
      <c r="C581" s="409"/>
      <c r="D581" s="19"/>
      <c r="E581" s="19"/>
      <c r="F581" s="19"/>
      <c r="G581" s="105"/>
      <c r="H581" s="105">
        <f>H584+H587</f>
        <v>226840.22</v>
      </c>
      <c r="I581" s="970"/>
      <c r="J581" s="953"/>
      <c r="K581" s="966"/>
      <c r="L581" s="924"/>
      <c r="M581" s="924"/>
      <c r="N581" s="12"/>
      <c r="O581" s="12"/>
      <c r="P581" s="12"/>
      <c r="Q581" s="967"/>
      <c r="R581" s="967"/>
      <c r="S581" s="100"/>
      <c r="T581" s="100"/>
      <c r="U581" s="100"/>
      <c r="V581" s="100"/>
      <c r="W581" s="100"/>
    </row>
    <row r="582" spans="1:23" ht="16.5">
      <c r="A582" s="115" t="s">
        <v>145</v>
      </c>
      <c r="B582" s="115"/>
      <c r="C582" s="409"/>
      <c r="D582" s="19"/>
      <c r="E582" s="16"/>
      <c r="F582" s="16"/>
      <c r="G582" s="105"/>
      <c r="H582" s="105">
        <f>H585+H588</f>
        <v>56840.22</v>
      </c>
      <c r="I582" s="970"/>
      <c r="J582" s="953"/>
      <c r="K582" s="966"/>
      <c r="L582" s="924"/>
      <c r="M582" s="924"/>
      <c r="N582" s="12"/>
      <c r="O582" s="12"/>
      <c r="P582" s="12"/>
      <c r="Q582" s="967"/>
      <c r="R582" s="967"/>
      <c r="S582" s="100"/>
      <c r="T582" s="100"/>
      <c r="U582" s="100"/>
      <c r="V582" s="100"/>
      <c r="W582" s="100"/>
    </row>
    <row r="583" spans="1:23" ht="16.5">
      <c r="A583" s="115"/>
      <c r="B583" s="115" t="s">
        <v>71</v>
      </c>
      <c r="C583" s="409"/>
      <c r="D583" s="19"/>
      <c r="E583" s="16"/>
      <c r="F583" s="16"/>
      <c r="G583" s="105"/>
      <c r="H583" s="105"/>
      <c r="I583" s="970"/>
      <c r="J583" s="953"/>
      <c r="K583" s="966"/>
      <c r="L583" s="924"/>
      <c r="M583" s="924"/>
      <c r="N583" s="12"/>
      <c r="O583" s="12"/>
      <c r="P583" s="12"/>
      <c r="Q583" s="967"/>
      <c r="R583" s="967"/>
      <c r="S583" s="100"/>
      <c r="T583" s="100"/>
      <c r="U583" s="100"/>
      <c r="V583" s="100"/>
      <c r="W583" s="100"/>
    </row>
    <row r="584" spans="1:23" ht="16.5">
      <c r="A584" s="115"/>
      <c r="B584" s="115" t="s">
        <v>146</v>
      </c>
      <c r="C584" s="409"/>
      <c r="D584" s="410"/>
      <c r="E584" s="16"/>
      <c r="F584" s="16"/>
      <c r="G584" s="105"/>
      <c r="H584" s="105">
        <v>92502</v>
      </c>
      <c r="I584" s="970"/>
      <c r="J584" s="953"/>
      <c r="K584" s="966"/>
      <c r="L584" s="924"/>
      <c r="M584" s="924"/>
      <c r="N584" s="12"/>
      <c r="O584" s="12"/>
      <c r="P584" s="12"/>
      <c r="Q584" s="967"/>
      <c r="R584" s="967"/>
      <c r="S584" s="100"/>
      <c r="T584" s="100"/>
      <c r="U584" s="100"/>
      <c r="V584" s="100"/>
      <c r="W584" s="100"/>
    </row>
    <row r="585" spans="1:23" ht="16.5">
      <c r="A585" s="115"/>
      <c r="B585" s="115" t="s">
        <v>147</v>
      </c>
      <c r="C585" s="409"/>
      <c r="D585" s="410"/>
      <c r="E585" s="16"/>
      <c r="F585" s="16"/>
      <c r="G585" s="105"/>
      <c r="H585" s="105">
        <f>H584-70000</f>
        <v>22502</v>
      </c>
      <c r="I585" s="970"/>
      <c r="J585" s="953"/>
      <c r="K585" s="966"/>
      <c r="L585" s="924"/>
      <c r="M585" s="924"/>
      <c r="N585" s="12"/>
      <c r="O585" s="12"/>
      <c r="P585" s="12"/>
      <c r="Q585" s="967"/>
      <c r="R585" s="967"/>
      <c r="S585" s="100"/>
      <c r="T585" s="100"/>
      <c r="U585" s="100"/>
      <c r="V585" s="100"/>
      <c r="W585" s="100"/>
    </row>
    <row r="586" spans="1:23" ht="16.5">
      <c r="A586" s="115"/>
      <c r="B586" s="115"/>
      <c r="C586" s="116"/>
      <c r="D586" s="19"/>
      <c r="E586" s="16"/>
      <c r="F586" s="16"/>
      <c r="G586" s="105"/>
      <c r="H586" s="105"/>
      <c r="I586" s="970"/>
      <c r="J586" s="953"/>
      <c r="K586" s="966"/>
      <c r="L586" s="924"/>
      <c r="M586" s="924"/>
      <c r="N586" s="12"/>
      <c r="O586" s="12"/>
      <c r="P586" s="12"/>
      <c r="Q586" s="967"/>
      <c r="R586" s="967"/>
      <c r="S586" s="100"/>
      <c r="T586" s="100"/>
      <c r="U586" s="100"/>
      <c r="V586" s="100"/>
      <c r="W586" s="100"/>
    </row>
    <row r="587" spans="1:23" ht="16.5">
      <c r="A587" s="115"/>
      <c r="B587" s="115" t="s">
        <v>557</v>
      </c>
      <c r="C587" s="409"/>
      <c r="D587" s="144"/>
      <c r="E587" s="16"/>
      <c r="F587" s="16"/>
      <c r="G587" s="105"/>
      <c r="H587" s="105">
        <v>134338.22</v>
      </c>
      <c r="I587" s="970"/>
      <c r="J587" s="953"/>
      <c r="K587" s="966"/>
      <c r="L587" s="924"/>
      <c r="M587" s="924"/>
      <c r="N587" s="12"/>
      <c r="O587" s="12"/>
      <c r="P587" s="12"/>
      <c r="Q587" s="967"/>
      <c r="R587" s="967"/>
      <c r="S587" s="100"/>
      <c r="T587" s="100"/>
      <c r="U587" s="100"/>
      <c r="V587" s="100"/>
      <c r="W587" s="100"/>
    </row>
    <row r="588" spans="1:23" ht="16.5">
      <c r="A588" s="115"/>
      <c r="B588" s="115" t="s">
        <v>147</v>
      </c>
      <c r="C588" s="409"/>
      <c r="D588" s="144"/>
      <c r="E588" s="16"/>
      <c r="F588" s="16"/>
      <c r="G588" s="105"/>
      <c r="H588" s="105">
        <f>H587-100000</f>
        <v>34338.22</v>
      </c>
      <c r="I588" s="970"/>
      <c r="J588" s="953"/>
      <c r="K588" s="966"/>
      <c r="L588" s="924"/>
      <c r="M588" s="924"/>
      <c r="N588" s="12"/>
      <c r="O588" s="12"/>
      <c r="P588" s="12"/>
      <c r="Q588" s="967"/>
      <c r="R588" s="967"/>
      <c r="S588" s="100"/>
      <c r="T588" s="100"/>
      <c r="U588" s="100"/>
      <c r="V588" s="100"/>
      <c r="W588" s="100"/>
    </row>
    <row r="589" spans="1:23" ht="16.5">
      <c r="A589" s="115"/>
      <c r="B589" s="115"/>
      <c r="C589" s="409"/>
      <c r="D589" s="410"/>
      <c r="E589" s="16"/>
      <c r="F589" s="16"/>
      <c r="G589" s="105"/>
      <c r="H589" s="105"/>
      <c r="I589" s="970"/>
      <c r="J589" s="953"/>
      <c r="K589" s="966"/>
      <c r="L589" s="924"/>
      <c r="M589" s="924"/>
      <c r="N589" s="12"/>
      <c r="O589" s="12"/>
      <c r="P589" s="12"/>
      <c r="Q589" s="967"/>
      <c r="R589" s="967"/>
      <c r="S589" s="100"/>
      <c r="T589" s="100"/>
      <c r="U589" s="100"/>
      <c r="V589" s="100"/>
      <c r="W589" s="100"/>
    </row>
    <row r="590" spans="1:13" ht="16.5" customHeight="1">
      <c r="A590" s="72" t="s">
        <v>148</v>
      </c>
      <c r="B590" s="72"/>
      <c r="C590" s="145"/>
      <c r="D590" s="146"/>
      <c r="E590" s="146"/>
      <c r="F590" s="147"/>
      <c r="G590" s="146"/>
      <c r="H590" s="105"/>
      <c r="I590" s="955"/>
      <c r="J590" s="984"/>
      <c r="K590" s="985"/>
      <c r="L590" s="608"/>
      <c r="M590" s="608"/>
    </row>
    <row r="591" spans="1:13" ht="16.5" customHeight="1">
      <c r="A591" s="72"/>
      <c r="B591" s="72"/>
      <c r="C591" s="145"/>
      <c r="D591" s="146"/>
      <c r="E591" s="146"/>
      <c r="F591" s="147"/>
      <c r="G591" s="146"/>
      <c r="H591" s="105"/>
      <c r="I591" s="955"/>
      <c r="J591" s="984"/>
      <c r="K591" s="985"/>
      <c r="L591" s="608"/>
      <c r="M591" s="608"/>
    </row>
    <row r="592" spans="1:13" ht="16.5" customHeight="1">
      <c r="A592" s="72"/>
      <c r="B592" s="72"/>
      <c r="C592" s="145"/>
      <c r="D592" s="146"/>
      <c r="E592" s="146"/>
      <c r="F592" s="147"/>
      <c r="G592" s="146"/>
      <c r="H592" s="105"/>
      <c r="I592" s="955"/>
      <c r="J592" s="984"/>
      <c r="K592" s="985"/>
      <c r="L592" s="608"/>
      <c r="M592" s="608"/>
    </row>
    <row r="593" spans="1:13" ht="16.5" customHeight="1">
      <c r="A593" s="72" t="s">
        <v>422</v>
      </c>
      <c r="B593" s="72"/>
      <c r="C593" s="145"/>
      <c r="D593" s="146"/>
      <c r="E593" s="146"/>
      <c r="F593" s="147"/>
      <c r="G593" s="146"/>
      <c r="H593" s="105"/>
      <c r="I593" s="955"/>
      <c r="J593" s="984"/>
      <c r="K593" s="985"/>
      <c r="L593" s="608"/>
      <c r="M593" s="608"/>
    </row>
    <row r="594" spans="1:13" ht="16.5" customHeight="1">
      <c r="A594" s="28" t="s">
        <v>415</v>
      </c>
      <c r="B594" s="28"/>
      <c r="C594" s="47"/>
      <c r="I594" s="955"/>
      <c r="J594" s="984"/>
      <c r="K594" s="985"/>
      <c r="L594" s="608"/>
      <c r="M594" s="608"/>
    </row>
    <row r="595" spans="1:13" ht="16.5" customHeight="1">
      <c r="A595" s="703" t="s">
        <v>409</v>
      </c>
      <c r="B595" s="28"/>
      <c r="C595" s="47"/>
      <c r="I595" s="955"/>
      <c r="J595" s="984"/>
      <c r="K595" s="985"/>
      <c r="L595" s="608"/>
      <c r="M595" s="608"/>
    </row>
    <row r="596" spans="1:13" ht="16.5" customHeight="1">
      <c r="A596" s="703" t="s">
        <v>416</v>
      </c>
      <c r="B596" s="28"/>
      <c r="C596" s="47"/>
      <c r="I596" s="955"/>
      <c r="J596" s="984"/>
      <c r="K596" s="985"/>
      <c r="L596" s="608"/>
      <c r="M596" s="608"/>
    </row>
    <row r="597" spans="1:13" ht="16.5" customHeight="1">
      <c r="A597" s="703"/>
      <c r="B597" s="28"/>
      <c r="C597" s="47"/>
      <c r="I597" s="955"/>
      <c r="J597" s="984"/>
      <c r="K597" s="985"/>
      <c r="L597" s="608"/>
      <c r="M597" s="608"/>
    </row>
    <row r="598" spans="1:13" ht="15" customHeight="1">
      <c r="A598" s="703"/>
      <c r="B598" s="28"/>
      <c r="C598" s="47"/>
      <c r="I598" s="955"/>
      <c r="J598" s="984"/>
      <c r="K598" s="985"/>
      <c r="L598" s="608"/>
      <c r="M598" s="608"/>
    </row>
    <row r="599" spans="1:13" ht="16.5" customHeight="1">
      <c r="A599" s="63" t="s">
        <v>140</v>
      </c>
      <c r="B599" s="28"/>
      <c r="C599" s="47"/>
      <c r="I599" s="955"/>
      <c r="J599" s="984"/>
      <c r="K599" s="985"/>
      <c r="L599" s="608"/>
      <c r="M599" s="608"/>
    </row>
    <row r="600" spans="1:13" ht="16.5" customHeight="1">
      <c r="A600" s="63"/>
      <c r="B600" s="28"/>
      <c r="C600" s="47"/>
      <c r="I600" s="955"/>
      <c r="J600" s="984"/>
      <c r="K600" s="985"/>
      <c r="L600" s="608"/>
      <c r="M600" s="608"/>
    </row>
    <row r="601" spans="1:13" ht="16.5" customHeight="1">
      <c r="A601" s="28" t="s">
        <v>410</v>
      </c>
      <c r="B601" s="28"/>
      <c r="C601" s="47"/>
      <c r="H601" s="54">
        <f>H603</f>
        <v>195300</v>
      </c>
      <c r="I601" s="955"/>
      <c r="J601" s="984"/>
      <c r="K601" s="985"/>
      <c r="L601" s="608"/>
      <c r="M601" s="608"/>
    </row>
    <row r="602" spans="1:13" ht="16.5" customHeight="1">
      <c r="A602" s="28" t="s">
        <v>71</v>
      </c>
      <c r="B602" s="28"/>
      <c r="C602" s="47"/>
      <c r="H602" s="1"/>
      <c r="I602" s="955"/>
      <c r="J602" s="984"/>
      <c r="K602" s="985"/>
      <c r="L602" s="608"/>
      <c r="M602" s="608"/>
    </row>
    <row r="603" spans="1:13" ht="16.5" customHeight="1">
      <c r="A603" s="28" t="s">
        <v>411</v>
      </c>
      <c r="B603" s="28"/>
      <c r="C603" s="47"/>
      <c r="H603" s="1">
        <v>195300</v>
      </c>
      <c r="I603" s="955"/>
      <c r="J603" s="984"/>
      <c r="K603" s="985"/>
      <c r="L603" s="608"/>
      <c r="M603" s="608"/>
    </row>
    <row r="604" spans="1:13" ht="16.5" customHeight="1">
      <c r="A604" s="28"/>
      <c r="B604" s="28"/>
      <c r="C604" s="47"/>
      <c r="H604" s="1"/>
      <c r="I604" s="955"/>
      <c r="J604" s="984"/>
      <c r="K604" s="985"/>
      <c r="L604" s="608"/>
      <c r="M604" s="608"/>
    </row>
    <row r="605" spans="1:13" ht="16.5" customHeight="1">
      <c r="A605" s="28"/>
      <c r="B605" s="28"/>
      <c r="C605" s="47"/>
      <c r="H605" s="1"/>
      <c r="I605" s="955"/>
      <c r="J605" s="984"/>
      <c r="K605" s="985"/>
      <c r="L605" s="608"/>
      <c r="M605" s="608"/>
    </row>
    <row r="606" spans="1:13" ht="16.5" customHeight="1">
      <c r="A606" s="28" t="s">
        <v>82</v>
      </c>
      <c r="B606" s="28"/>
      <c r="C606" s="47"/>
      <c r="H606" s="54">
        <f>H608</f>
        <v>195300</v>
      </c>
      <c r="I606" s="955"/>
      <c r="J606" s="984"/>
      <c r="K606" s="985"/>
      <c r="L606" s="608"/>
      <c r="M606" s="608"/>
    </row>
    <row r="607" spans="1:13" ht="16.5" customHeight="1">
      <c r="A607" s="28" t="s">
        <v>71</v>
      </c>
      <c r="B607" s="28"/>
      <c r="C607" s="47"/>
      <c r="H607" s="1"/>
      <c r="I607" s="955"/>
      <c r="J607" s="984"/>
      <c r="K607" s="985"/>
      <c r="L607" s="608"/>
      <c r="M607" s="608"/>
    </row>
    <row r="608" spans="1:13" ht="16.5" customHeight="1">
      <c r="A608" s="28" t="s">
        <v>412</v>
      </c>
      <c r="B608" s="28"/>
      <c r="C608" s="47"/>
      <c r="H608" s="54">
        <f>H610+H611</f>
        <v>195300</v>
      </c>
      <c r="I608" s="955"/>
      <c r="J608" s="984"/>
      <c r="K608" s="985"/>
      <c r="L608" s="608"/>
      <c r="M608" s="608"/>
    </row>
    <row r="609" spans="1:13" ht="16.5" customHeight="1">
      <c r="A609" s="28" t="s">
        <v>71</v>
      </c>
      <c r="B609" s="28"/>
      <c r="C609" s="47"/>
      <c r="I609" s="955"/>
      <c r="J609" s="984"/>
      <c r="K609" s="985"/>
      <c r="L609" s="608"/>
      <c r="M609" s="608"/>
    </row>
    <row r="610" spans="1:13" ht="16.5" customHeight="1">
      <c r="A610" s="28"/>
      <c r="B610" s="28" t="s">
        <v>413</v>
      </c>
      <c r="C610" s="47"/>
      <c r="H610" s="1">
        <v>150500</v>
      </c>
      <c r="I610" s="955"/>
      <c r="J610" s="984"/>
      <c r="K610" s="985"/>
      <c r="L610" s="608"/>
      <c r="M610" s="608"/>
    </row>
    <row r="611" spans="1:13" ht="16.5" customHeight="1">
      <c r="A611" s="28"/>
      <c r="B611" s="28" t="s">
        <v>414</v>
      </c>
      <c r="C611" s="47"/>
      <c r="H611" s="1">
        <v>44800</v>
      </c>
      <c r="I611" s="955"/>
      <c r="J611" s="984"/>
      <c r="K611" s="985"/>
      <c r="L611" s="608"/>
      <c r="M611" s="608"/>
    </row>
    <row r="612" spans="1:13" ht="16.5" customHeight="1">
      <c r="A612" s="72"/>
      <c r="B612" s="72"/>
      <c r="C612" s="145"/>
      <c r="D612" s="146"/>
      <c r="E612" s="146"/>
      <c r="F612" s="147"/>
      <c r="G612" s="146"/>
      <c r="H612" s="105"/>
      <c r="I612" s="955"/>
      <c r="J612" s="984"/>
      <c r="K612" s="985"/>
      <c r="L612" s="608"/>
      <c r="M612" s="608"/>
    </row>
    <row r="613" spans="1:13" ht="16.5" customHeight="1">
      <c r="A613" s="72"/>
      <c r="B613" s="72"/>
      <c r="C613" s="145"/>
      <c r="D613" s="146"/>
      <c r="E613" s="146"/>
      <c r="F613" s="147"/>
      <c r="G613" s="146"/>
      <c r="H613" s="105"/>
      <c r="I613" s="955"/>
      <c r="J613" s="984"/>
      <c r="K613" s="985"/>
      <c r="L613" s="608"/>
      <c r="M613" s="608"/>
    </row>
    <row r="614" spans="1:13" ht="16.5" customHeight="1">
      <c r="A614" s="72" t="s">
        <v>150</v>
      </c>
      <c r="B614" s="72"/>
      <c r="C614" s="145"/>
      <c r="D614" s="146"/>
      <c r="E614" s="146"/>
      <c r="F614" s="147"/>
      <c r="G614" s="146"/>
      <c r="H614" s="105"/>
      <c r="I614" s="955"/>
      <c r="J614" s="984"/>
      <c r="K614" s="985"/>
      <c r="L614" s="608"/>
      <c r="M614" s="608"/>
    </row>
    <row r="615" spans="1:13" ht="16.5" customHeight="1">
      <c r="A615" s="72"/>
      <c r="B615" s="72"/>
      <c r="C615" s="145"/>
      <c r="D615" s="146"/>
      <c r="E615" s="146"/>
      <c r="F615" s="147"/>
      <c r="G615" s="146"/>
      <c r="H615" s="105"/>
      <c r="I615" s="955"/>
      <c r="J615" s="984"/>
      <c r="K615" s="985"/>
      <c r="L615" s="608"/>
      <c r="M615" s="608"/>
    </row>
    <row r="616" spans="1:13" ht="16.5" customHeight="1">
      <c r="A616" s="72"/>
      <c r="B616" s="72"/>
      <c r="C616" s="145"/>
      <c r="D616" s="146"/>
      <c r="E616" s="146"/>
      <c r="F616" s="147"/>
      <c r="G616" s="146"/>
      <c r="H616" s="105"/>
      <c r="I616" s="955"/>
      <c r="J616" s="984"/>
      <c r="K616" s="985"/>
      <c r="L616" s="608"/>
      <c r="M616" s="608"/>
    </row>
    <row r="617" spans="1:13" ht="18" customHeight="1">
      <c r="A617" s="148" t="s">
        <v>149</v>
      </c>
      <c r="B617" s="148"/>
      <c r="C617" s="149"/>
      <c r="D617" s="150"/>
      <c r="E617" s="150"/>
      <c r="F617" s="151"/>
      <c r="G617" s="150"/>
      <c r="H617" s="17"/>
      <c r="I617" s="955"/>
      <c r="J617" s="984"/>
      <c r="K617" s="985"/>
      <c r="L617" s="608"/>
      <c r="M617" s="608"/>
    </row>
    <row r="618" spans="1:13" ht="18" customHeight="1">
      <c r="A618" s="148"/>
      <c r="B618" s="148"/>
      <c r="C618" s="149"/>
      <c r="D618" s="150"/>
      <c r="E618" s="150"/>
      <c r="F618" s="151"/>
      <c r="G618" s="150"/>
      <c r="H618" s="17"/>
      <c r="I618" s="955"/>
      <c r="J618" s="984"/>
      <c r="K618" s="985"/>
      <c r="L618" s="608"/>
      <c r="M618" s="608"/>
    </row>
    <row r="619" spans="1:13" ht="18" customHeight="1">
      <c r="A619" s="56"/>
      <c r="B619" s="104"/>
      <c r="C619" s="143"/>
      <c r="D619" s="144"/>
      <c r="E619" s="15"/>
      <c r="F619" s="15"/>
      <c r="G619" s="15"/>
      <c r="H619" s="17"/>
      <c r="I619" s="955"/>
      <c r="J619" s="984"/>
      <c r="K619" s="985"/>
      <c r="L619" s="608"/>
      <c r="M619" s="608"/>
    </row>
    <row r="620" spans="1:13" ht="16.5" customHeight="1">
      <c r="A620" s="72" t="s">
        <v>408</v>
      </c>
      <c r="B620" s="72"/>
      <c r="C620" s="145"/>
      <c r="D620" s="146"/>
      <c r="E620" s="146"/>
      <c r="F620" s="147"/>
      <c r="G620" s="146"/>
      <c r="H620" s="105"/>
      <c r="I620" s="955"/>
      <c r="J620" s="984"/>
      <c r="K620" s="985"/>
      <c r="L620" s="608"/>
      <c r="M620" s="608"/>
    </row>
    <row r="621" spans="1:13" ht="16.5" customHeight="1">
      <c r="A621" s="72"/>
      <c r="B621" s="72"/>
      <c r="C621" s="145"/>
      <c r="D621" s="146"/>
      <c r="E621" s="146"/>
      <c r="F621" s="147"/>
      <c r="G621" s="146"/>
      <c r="H621" s="105"/>
      <c r="I621" s="955"/>
      <c r="J621" s="984"/>
      <c r="K621" s="985"/>
      <c r="L621" s="608"/>
      <c r="M621" s="608"/>
    </row>
    <row r="622" spans="1:13" ht="18.75">
      <c r="A622" s="148"/>
      <c r="B622" s="148"/>
      <c r="C622" s="149"/>
      <c r="D622" s="150"/>
      <c r="E622" s="150"/>
      <c r="F622" s="151"/>
      <c r="G622" s="150"/>
      <c r="H622" s="17"/>
      <c r="I622" s="986"/>
      <c r="J622" s="984"/>
      <c r="K622" s="985"/>
      <c r="L622" s="520"/>
      <c r="M622" s="520"/>
    </row>
    <row r="623" spans="1:13" ht="18.75">
      <c r="A623" s="148" t="s">
        <v>151</v>
      </c>
      <c r="B623" s="148"/>
      <c r="C623" s="149"/>
      <c r="D623" s="150"/>
      <c r="E623" s="150"/>
      <c r="F623" s="151"/>
      <c r="G623" s="150"/>
      <c r="I623" s="986"/>
      <c r="J623" s="984"/>
      <c r="K623" s="985"/>
      <c r="L623" s="520"/>
      <c r="M623" s="520"/>
    </row>
    <row r="624" spans="1:13" ht="18.75">
      <c r="A624" s="148"/>
      <c r="B624" s="148"/>
      <c r="C624" s="149"/>
      <c r="D624" s="150"/>
      <c r="E624" s="150"/>
      <c r="F624" s="151"/>
      <c r="G624" s="150"/>
      <c r="I624" s="986"/>
      <c r="J624" s="984"/>
      <c r="K624" s="985"/>
      <c r="L624" s="520"/>
      <c r="M624" s="520"/>
    </row>
    <row r="625" spans="1:13" ht="18.75">
      <c r="A625" s="148"/>
      <c r="B625" s="148"/>
      <c r="C625" s="149"/>
      <c r="D625" s="150"/>
      <c r="E625" s="150"/>
      <c r="F625" s="151"/>
      <c r="G625" s="150"/>
      <c r="I625" s="986"/>
      <c r="J625" s="984"/>
      <c r="K625" s="985"/>
      <c r="L625" s="520"/>
      <c r="M625" s="520"/>
    </row>
    <row r="626" spans="1:11" ht="18.75">
      <c r="A626" s="69"/>
      <c r="B626" s="69"/>
      <c r="C626" s="70"/>
      <c r="D626" s="152"/>
      <c r="E626" s="152"/>
      <c r="F626" s="153" t="s">
        <v>152</v>
      </c>
      <c r="G626" s="152"/>
      <c r="I626" s="955"/>
      <c r="K626" s="935"/>
    </row>
    <row r="627" spans="1:11" ht="18.75">
      <c r="A627" s="69"/>
      <c r="B627" s="69"/>
      <c r="C627" s="70"/>
      <c r="D627" s="152"/>
      <c r="E627" s="152"/>
      <c r="F627" s="153" t="s">
        <v>153</v>
      </c>
      <c r="G627" s="152"/>
      <c r="I627" s="955"/>
      <c r="K627" s="935"/>
    </row>
    <row r="628" spans="1:11" ht="18.75">
      <c r="A628" s="69"/>
      <c r="B628" s="69"/>
      <c r="C628" s="70"/>
      <c r="D628" s="152"/>
      <c r="E628" s="152"/>
      <c r="F628" s="153"/>
      <c r="G628" s="152"/>
      <c r="I628" s="955"/>
      <c r="K628" s="935"/>
    </row>
    <row r="629" spans="1:11" ht="19.5">
      <c r="A629" s="69"/>
      <c r="B629" s="69"/>
      <c r="C629" s="70"/>
      <c r="D629" s="152"/>
      <c r="E629" s="152"/>
      <c r="F629" s="154" t="s">
        <v>691</v>
      </c>
      <c r="G629" s="152"/>
      <c r="I629" s="955"/>
      <c r="K629" s="935"/>
    </row>
    <row r="630" spans="1:11" ht="18.75">
      <c r="A630" s="47"/>
      <c r="B630" s="47"/>
      <c r="C630" s="47"/>
      <c r="I630" s="955"/>
      <c r="K630" s="935"/>
    </row>
    <row r="631" spans="1:11" ht="18.75">
      <c r="A631" s="47"/>
      <c r="B631" s="47"/>
      <c r="C631" s="47"/>
      <c r="I631" s="955"/>
      <c r="K631" s="935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56"/>
  <sheetViews>
    <sheetView zoomScalePageLayoutView="0" workbookViewId="0" topLeftCell="D115">
      <selection activeCell="E126" sqref="E126"/>
    </sheetView>
  </sheetViews>
  <sheetFormatPr defaultColWidth="9.140625" defaultRowHeight="12.75"/>
  <cols>
    <col min="1" max="1" width="3.7109375" style="42" customWidth="1"/>
    <col min="2" max="2" width="5.140625" style="42" customWidth="1"/>
    <col min="3" max="3" width="6.57421875" style="42" customWidth="1"/>
    <col min="4" max="4" width="5.28125" style="42" customWidth="1"/>
    <col min="5" max="5" width="26.28125" style="42" customWidth="1"/>
    <col min="6" max="6" width="14.7109375" style="42" customWidth="1"/>
    <col min="7" max="7" width="13.421875" style="42" customWidth="1"/>
    <col min="8" max="8" width="23.28125" style="42" customWidth="1"/>
    <col min="9" max="9" width="12.421875" style="42" customWidth="1"/>
    <col min="10" max="10" width="12.28125" style="42" customWidth="1"/>
    <col min="11" max="11" width="8.421875" style="42" customWidth="1"/>
    <col min="12" max="12" width="8.140625" style="42" customWidth="1"/>
    <col min="13" max="13" width="15.140625" style="42" customWidth="1"/>
    <col min="14" max="14" width="20.8515625" style="42" customWidth="1"/>
    <col min="15" max="15" width="14.7109375" style="42" customWidth="1"/>
    <col min="16" max="16384" width="9.140625" style="42" customWidth="1"/>
  </cols>
  <sheetData>
    <row r="1" spans="1:12" ht="20.25">
      <c r="A1" s="159"/>
      <c r="B1" s="160"/>
      <c r="C1" s="160"/>
      <c r="D1" s="159"/>
      <c r="E1" s="161"/>
      <c r="F1" s="161"/>
      <c r="G1" s="161"/>
      <c r="H1" s="162" t="s">
        <v>160</v>
      </c>
      <c r="I1" s="2"/>
      <c r="J1" s="2"/>
      <c r="K1" s="163"/>
      <c r="L1" s="163"/>
    </row>
    <row r="2" spans="1:12" ht="18.75">
      <c r="A2" s="159"/>
      <c r="B2" s="160"/>
      <c r="C2" s="160"/>
      <c r="D2" s="159"/>
      <c r="E2" s="161"/>
      <c r="F2" s="161"/>
      <c r="G2" s="161"/>
      <c r="H2" s="164" t="s">
        <v>107</v>
      </c>
      <c r="I2" s="2"/>
      <c r="J2" s="2"/>
      <c r="K2" s="163"/>
      <c r="L2" s="163"/>
    </row>
    <row r="3" spans="1:12" ht="18.75">
      <c r="A3" s="159"/>
      <c r="B3" s="160"/>
      <c r="C3" s="160"/>
      <c r="D3" s="159"/>
      <c r="E3" s="161"/>
      <c r="F3" s="161"/>
      <c r="G3" s="161"/>
      <c r="H3" s="164" t="s">
        <v>625</v>
      </c>
      <c r="I3" s="2"/>
      <c r="J3" s="165"/>
      <c r="K3" s="163"/>
      <c r="L3" s="163"/>
    </row>
    <row r="4" spans="1:12" ht="18.75">
      <c r="A4" s="159"/>
      <c r="B4" s="160"/>
      <c r="C4" s="160"/>
      <c r="D4" s="159"/>
      <c r="E4" s="161"/>
      <c r="F4" s="161"/>
      <c r="G4" s="161"/>
      <c r="H4" s="164" t="s">
        <v>747</v>
      </c>
      <c r="I4" s="2"/>
      <c r="J4" s="166"/>
      <c r="K4" s="163"/>
      <c r="L4" s="163"/>
    </row>
    <row r="5" spans="1:12" ht="12.75">
      <c r="A5" s="159"/>
      <c r="B5" s="160"/>
      <c r="C5" s="160"/>
      <c r="D5" s="159"/>
      <c r="E5" s="161"/>
      <c r="F5" s="161"/>
      <c r="G5" s="161"/>
      <c r="H5" s="167"/>
      <c r="I5" s="2"/>
      <c r="J5" s="2"/>
      <c r="K5" s="163"/>
      <c r="L5" s="163"/>
    </row>
    <row r="6" spans="1:12" ht="19.5">
      <c r="A6" s="159"/>
      <c r="B6" s="168"/>
      <c r="C6" s="169" t="s">
        <v>161</v>
      </c>
      <c r="D6" s="170"/>
      <c r="E6" s="171"/>
      <c r="F6" s="171"/>
      <c r="G6" s="171"/>
      <c r="H6" s="172"/>
      <c r="I6" s="173"/>
      <c r="J6" s="173"/>
      <c r="K6" s="174"/>
      <c r="L6" s="174"/>
    </row>
    <row r="7" spans="1:12" ht="19.5">
      <c r="A7" s="159"/>
      <c r="B7" s="168"/>
      <c r="C7" s="169"/>
      <c r="D7" s="170"/>
      <c r="E7" s="171"/>
      <c r="F7" s="171"/>
      <c r="G7" s="171"/>
      <c r="H7" s="172"/>
      <c r="I7" s="173"/>
      <c r="J7" s="175"/>
      <c r="K7" s="174"/>
      <c r="L7" s="174"/>
    </row>
    <row r="8" spans="1:12" ht="18.75">
      <c r="A8" s="159"/>
      <c r="B8" s="168"/>
      <c r="C8" s="176"/>
      <c r="D8" s="170"/>
      <c r="E8" s="171"/>
      <c r="F8" s="171"/>
      <c r="G8" s="171"/>
      <c r="H8" s="172"/>
      <c r="I8" s="173"/>
      <c r="J8" s="173"/>
      <c r="K8" s="174"/>
      <c r="L8" s="174"/>
    </row>
    <row r="9" spans="1:12" ht="12.75">
      <c r="A9" s="159"/>
      <c r="B9" s="168" t="s">
        <v>72</v>
      </c>
      <c r="C9" s="177"/>
      <c r="D9" s="178"/>
      <c r="E9" s="171"/>
      <c r="F9" s="171"/>
      <c r="G9" s="171"/>
      <c r="H9" s="179"/>
      <c r="I9" s="180" t="s">
        <v>162</v>
      </c>
      <c r="J9" s="180"/>
      <c r="K9" s="181"/>
      <c r="L9" s="181"/>
    </row>
    <row r="10" spans="1:12" ht="18.75" customHeight="1">
      <c r="A10" s="182"/>
      <c r="B10" s="183"/>
      <c r="C10" s="184"/>
      <c r="D10" s="184"/>
      <c r="E10" s="185"/>
      <c r="F10" s="186"/>
      <c r="G10" s="187"/>
      <c r="H10" s="185"/>
      <c r="I10" s="188" t="s">
        <v>163</v>
      </c>
      <c r="J10" s="187"/>
      <c r="K10" s="189" t="s">
        <v>72</v>
      </c>
      <c r="L10" s="189"/>
    </row>
    <row r="11" spans="1:12" ht="48" customHeight="1">
      <c r="A11" s="190" t="s">
        <v>164</v>
      </c>
      <c r="B11" s="191" t="s">
        <v>165</v>
      </c>
      <c r="C11" s="192" t="s">
        <v>80</v>
      </c>
      <c r="D11" s="192" t="s">
        <v>75</v>
      </c>
      <c r="E11" s="193" t="s">
        <v>166</v>
      </c>
      <c r="F11" s="194" t="s">
        <v>167</v>
      </c>
      <c r="G11" s="195" t="s">
        <v>168</v>
      </c>
      <c r="H11" s="196" t="s">
        <v>169</v>
      </c>
      <c r="I11" s="197"/>
      <c r="J11" s="198" t="s">
        <v>71</v>
      </c>
      <c r="K11" s="199" t="s">
        <v>170</v>
      </c>
      <c r="L11" s="199" t="s">
        <v>171</v>
      </c>
    </row>
    <row r="12" spans="1:15" ht="36.75" customHeight="1">
      <c r="A12" s="200"/>
      <c r="B12" s="201"/>
      <c r="C12" s="202"/>
      <c r="D12" s="202"/>
      <c r="E12" s="203"/>
      <c r="F12" s="204"/>
      <c r="G12" s="205" t="s">
        <v>172</v>
      </c>
      <c r="H12" s="204"/>
      <c r="I12" s="206" t="s">
        <v>172</v>
      </c>
      <c r="J12" s="207" t="s">
        <v>173</v>
      </c>
      <c r="K12" s="208"/>
      <c r="L12" s="208"/>
      <c r="N12" s="405"/>
      <c r="O12" s="405"/>
    </row>
    <row r="13" spans="1:15" ht="21" customHeight="1">
      <c r="A13" s="209"/>
      <c r="B13" s="210" t="s">
        <v>174</v>
      </c>
      <c r="C13" s="211"/>
      <c r="D13" s="212"/>
      <c r="E13" s="213"/>
      <c r="F13" s="214">
        <f>F14+F49+F64+F61+F74+F83+F86+F118+F124+F127+F142+F173+F177</f>
        <v>53403794.519999996</v>
      </c>
      <c r="G13" s="214">
        <f>G14+G49+G64+G61+G74+G83+G86+G118+G124+G127+G142+G173+G177</f>
        <v>4994337.02</v>
      </c>
      <c r="H13" s="214"/>
      <c r="I13" s="214">
        <f>I14+I49+I64+I61+I74+I83+I86+I118+I124+I127+I142+I173+I177</f>
        <v>34530108.67</v>
      </c>
      <c r="J13" s="214">
        <f>J14+J49+J64+J61+J74+J83+J86+J118+J124+J127+J142+J173+J177</f>
        <v>5144220.48</v>
      </c>
      <c r="K13" s="215"/>
      <c r="L13" s="216"/>
      <c r="N13" s="406"/>
      <c r="O13" s="406"/>
    </row>
    <row r="14" spans="1:15" ht="19.5" customHeight="1">
      <c r="A14" s="182"/>
      <c r="B14" s="218">
        <v>600</v>
      </c>
      <c r="C14" s="219"/>
      <c r="D14" s="220"/>
      <c r="E14" s="221" t="s">
        <v>179</v>
      </c>
      <c r="F14" s="222">
        <f>F15+F18</f>
        <v>23790755.55</v>
      </c>
      <c r="G14" s="222">
        <f>G15+G18</f>
        <v>726010.05</v>
      </c>
      <c r="H14" s="222"/>
      <c r="I14" s="222">
        <f>I15+I18</f>
        <v>15015388.45</v>
      </c>
      <c r="J14" s="222">
        <f>J15+J18</f>
        <v>2933220.48</v>
      </c>
      <c r="K14" s="216"/>
      <c r="L14" s="216"/>
      <c r="N14" s="407"/>
      <c r="O14" s="407"/>
    </row>
    <row r="15" spans="1:15" s="349" customFormat="1" ht="19.5" customHeight="1">
      <c r="A15" s="260"/>
      <c r="B15" s="260"/>
      <c r="C15" s="259">
        <v>60004</v>
      </c>
      <c r="D15" s="226"/>
      <c r="E15" s="414" t="s">
        <v>816</v>
      </c>
      <c r="F15" s="415">
        <f>SUM(F16:F17)</f>
        <v>218450</v>
      </c>
      <c r="G15" s="415">
        <f>SUM(G16:G17)</f>
        <v>0</v>
      </c>
      <c r="H15" s="415">
        <f>SUM(H16:H17)</f>
        <v>0</v>
      </c>
      <c r="I15" s="415">
        <f>SUM(I16:I17)</f>
        <v>218450</v>
      </c>
      <c r="J15" s="415">
        <f>SUM(J16:J17)</f>
        <v>0</v>
      </c>
      <c r="K15" s="229"/>
      <c r="L15" s="229"/>
      <c r="N15" s="416"/>
      <c r="O15" s="416"/>
    </row>
    <row r="16" spans="1:15" s="658" customFormat="1" ht="29.25" customHeight="1">
      <c r="A16" s="190">
        <v>1</v>
      </c>
      <c r="B16" s="248"/>
      <c r="C16" s="182"/>
      <c r="D16" s="249">
        <v>6050</v>
      </c>
      <c r="E16" s="421" t="s">
        <v>815</v>
      </c>
      <c r="F16" s="241">
        <f>20000-1550</f>
        <v>18450</v>
      </c>
      <c r="G16" s="241"/>
      <c r="H16" s="655" t="s">
        <v>817</v>
      </c>
      <c r="I16" s="241">
        <f>20000-1550</f>
        <v>18450</v>
      </c>
      <c r="J16" s="241"/>
      <c r="K16" s="216" t="s">
        <v>241</v>
      </c>
      <c r="L16" s="216">
        <v>2013</v>
      </c>
      <c r="N16" s="413"/>
      <c r="O16" s="413"/>
    </row>
    <row r="17" spans="1:15" s="658" customFormat="1" ht="29.25" customHeight="1">
      <c r="A17" s="190">
        <v>2</v>
      </c>
      <c r="B17" s="248"/>
      <c r="C17" s="200"/>
      <c r="D17" s="249">
        <v>6210</v>
      </c>
      <c r="E17" s="421" t="s">
        <v>178</v>
      </c>
      <c r="F17" s="241">
        <v>200000</v>
      </c>
      <c r="G17" s="241"/>
      <c r="H17" s="292" t="s">
        <v>176</v>
      </c>
      <c r="I17" s="241">
        <v>200000</v>
      </c>
      <c r="J17" s="241"/>
      <c r="K17" s="216" t="s">
        <v>175</v>
      </c>
      <c r="L17" s="216">
        <v>2013</v>
      </c>
      <c r="N17" s="413"/>
      <c r="O17" s="413"/>
    </row>
    <row r="18" spans="1:12" ht="18" customHeight="1">
      <c r="A18" s="200"/>
      <c r="B18" s="224"/>
      <c r="C18" s="225">
        <v>60016</v>
      </c>
      <c r="D18" s="226"/>
      <c r="E18" s="227" t="s">
        <v>180</v>
      </c>
      <c r="F18" s="228">
        <f>SUM(F19:F48)</f>
        <v>23572305.55</v>
      </c>
      <c r="G18" s="228">
        <f>SUM(G19:G48)</f>
        <v>726010.05</v>
      </c>
      <c r="H18" s="228"/>
      <c r="I18" s="228">
        <f>SUM(I19:I48)</f>
        <v>14796938.45</v>
      </c>
      <c r="J18" s="228">
        <f>SUM(J19:J48)</f>
        <v>2933220.48</v>
      </c>
      <c r="K18" s="229"/>
      <c r="L18" s="229"/>
    </row>
    <row r="19" spans="1:14" s="238" customFormat="1" ht="30" customHeight="1">
      <c r="A19" s="230">
        <v>3</v>
      </c>
      <c r="B19" s="231"/>
      <c r="C19" s="232"/>
      <c r="D19" s="233">
        <v>6050</v>
      </c>
      <c r="E19" s="234" t="s">
        <v>181</v>
      </c>
      <c r="F19" s="235">
        <f>1530000-121577</f>
        <v>1408423</v>
      </c>
      <c r="G19" s="235">
        <v>220000</v>
      </c>
      <c r="H19" s="236" t="s">
        <v>216</v>
      </c>
      <c r="I19" s="235">
        <f>1310000-121577</f>
        <v>1188423</v>
      </c>
      <c r="J19" s="235">
        <f>585000-288000-88150-121577</f>
        <v>87273</v>
      </c>
      <c r="K19" s="216" t="s">
        <v>217</v>
      </c>
      <c r="L19" s="216" t="s">
        <v>218</v>
      </c>
      <c r="M19" s="237"/>
      <c r="N19" s="237"/>
    </row>
    <row r="20" spans="1:14" s="238" customFormat="1" ht="27.75" customHeight="1">
      <c r="A20" s="230">
        <v>4</v>
      </c>
      <c r="B20" s="231"/>
      <c r="C20" s="232"/>
      <c r="D20" s="233">
        <v>6050</v>
      </c>
      <c r="E20" s="234" t="s">
        <v>219</v>
      </c>
      <c r="F20" s="235">
        <f>1500000-100000-13000-65543.95</f>
        <v>1321456.05</v>
      </c>
      <c r="G20" s="235">
        <f>1000000-13000-359457.92-163032.03</f>
        <v>464510.05000000005</v>
      </c>
      <c r="H20" s="236" t="s">
        <v>220</v>
      </c>
      <c r="I20" s="235">
        <f>500000-100000+163032.03+359457.92-65543.95</f>
        <v>856946</v>
      </c>
      <c r="J20" s="235">
        <f>480000-100000-314456.05-65543.95</f>
        <v>0</v>
      </c>
      <c r="K20" s="216" t="s">
        <v>217</v>
      </c>
      <c r="L20" s="216" t="s">
        <v>218</v>
      </c>
      <c r="M20" s="237"/>
      <c r="N20" s="237"/>
    </row>
    <row r="21" spans="1:13" s="238" customFormat="1" ht="24" customHeight="1">
      <c r="A21" s="230">
        <v>5</v>
      </c>
      <c r="B21" s="231"/>
      <c r="C21" s="232"/>
      <c r="D21" s="233">
        <v>6050</v>
      </c>
      <c r="E21" s="234" t="s">
        <v>221</v>
      </c>
      <c r="F21" s="235">
        <f>1500000+601000+32500</f>
        <v>2133500</v>
      </c>
      <c r="G21" s="235">
        <v>0</v>
      </c>
      <c r="H21" s="236" t="s">
        <v>222</v>
      </c>
      <c r="I21" s="235">
        <f>601000+1500000+32500</f>
        <v>2133500</v>
      </c>
      <c r="J21" s="235">
        <f>120000+119110</f>
        <v>239110</v>
      </c>
      <c r="K21" s="216" t="s">
        <v>217</v>
      </c>
      <c r="L21" s="216" t="s">
        <v>218</v>
      </c>
      <c r="M21" s="237"/>
    </row>
    <row r="22" spans="1:14" s="238" customFormat="1" ht="26.25" customHeight="1">
      <c r="A22" s="230">
        <v>6</v>
      </c>
      <c r="B22" s="231"/>
      <c r="C22" s="232"/>
      <c r="D22" s="233">
        <v>6050</v>
      </c>
      <c r="E22" s="234" t="s">
        <v>223</v>
      </c>
      <c r="F22" s="235">
        <v>4500000</v>
      </c>
      <c r="G22" s="235">
        <v>0</v>
      </c>
      <c r="H22" s="236" t="s">
        <v>222</v>
      </c>
      <c r="I22" s="235">
        <f>1500000-1400000-13000+1400000-130000+130000</f>
        <v>1487000</v>
      </c>
      <c r="J22" s="235">
        <f>200000+683800-6500-23500-753800-13000+753800-182000</f>
        <v>658800</v>
      </c>
      <c r="K22" s="216" t="s">
        <v>217</v>
      </c>
      <c r="L22" s="216" t="s">
        <v>224</v>
      </c>
      <c r="M22" s="237"/>
      <c r="N22" s="237"/>
    </row>
    <row r="23" spans="1:14" s="238" customFormat="1" ht="28.5" customHeight="1">
      <c r="A23" s="230">
        <v>7</v>
      </c>
      <c r="B23" s="231"/>
      <c r="C23" s="232"/>
      <c r="D23" s="233">
        <v>6050</v>
      </c>
      <c r="E23" s="234" t="s">
        <v>225</v>
      </c>
      <c r="F23" s="235">
        <f>150000+82043.95+78175</f>
        <v>310218.95</v>
      </c>
      <c r="G23" s="235">
        <v>26500</v>
      </c>
      <c r="H23" s="236" t="s">
        <v>226</v>
      </c>
      <c r="I23" s="235">
        <f>123500+82043.95+78175</f>
        <v>283718.95</v>
      </c>
      <c r="J23" s="235">
        <f>23500+82043.95</f>
        <v>105543.95</v>
      </c>
      <c r="K23" s="216" t="s">
        <v>217</v>
      </c>
      <c r="L23" s="216" t="s">
        <v>218</v>
      </c>
      <c r="M23" s="237"/>
      <c r="N23" s="237"/>
    </row>
    <row r="24" spans="1:13" s="238" customFormat="1" ht="37.5" customHeight="1">
      <c r="A24" s="230">
        <v>8</v>
      </c>
      <c r="B24" s="231"/>
      <c r="C24" s="232"/>
      <c r="D24" s="233">
        <v>6050</v>
      </c>
      <c r="E24" s="234" t="s">
        <v>227</v>
      </c>
      <c r="F24" s="235">
        <f>100000-3000</f>
        <v>97000</v>
      </c>
      <c r="G24" s="235">
        <v>10000</v>
      </c>
      <c r="H24" s="236" t="s">
        <v>228</v>
      </c>
      <c r="I24" s="235">
        <f>90000-3000</f>
        <v>87000</v>
      </c>
      <c r="J24" s="235">
        <v>0</v>
      </c>
      <c r="K24" s="216" t="s">
        <v>217</v>
      </c>
      <c r="L24" s="216" t="s">
        <v>218</v>
      </c>
      <c r="M24" s="237"/>
    </row>
    <row r="25" spans="1:13" s="238" customFormat="1" ht="49.5" customHeight="1">
      <c r="A25" s="230">
        <v>9</v>
      </c>
      <c r="B25" s="231"/>
      <c r="C25" s="232"/>
      <c r="D25" s="233">
        <v>6050</v>
      </c>
      <c r="E25" s="239" t="s">
        <v>233</v>
      </c>
      <c r="F25" s="682">
        <f>30000+3000+47000+500</f>
        <v>80500</v>
      </c>
      <c r="G25" s="235">
        <v>5000</v>
      </c>
      <c r="H25" s="236" t="s">
        <v>234</v>
      </c>
      <c r="I25" s="235">
        <f>25000+3000+47000</f>
        <v>75000</v>
      </c>
      <c r="J25" s="235">
        <v>0</v>
      </c>
      <c r="K25" s="216" t="s">
        <v>217</v>
      </c>
      <c r="L25" s="216" t="s">
        <v>224</v>
      </c>
      <c r="M25" s="237"/>
    </row>
    <row r="26" spans="1:13" s="238" customFormat="1" ht="31.5" customHeight="1">
      <c r="A26" s="230">
        <v>10</v>
      </c>
      <c r="B26" s="231"/>
      <c r="C26" s="232"/>
      <c r="D26" s="233">
        <v>6050</v>
      </c>
      <c r="E26" s="240" t="s">
        <v>235</v>
      </c>
      <c r="F26" s="241">
        <f>570000-106000-1291-4500</f>
        <v>458209</v>
      </c>
      <c r="G26" s="241">
        <v>0</v>
      </c>
      <c r="H26" s="242" t="s">
        <v>236</v>
      </c>
      <c r="I26" s="241">
        <f>570000-106000-1291-4500</f>
        <v>458209</v>
      </c>
      <c r="J26" s="241">
        <f>100000-30960</f>
        <v>69040</v>
      </c>
      <c r="K26" s="216" t="s">
        <v>217</v>
      </c>
      <c r="L26" s="216">
        <v>2013</v>
      </c>
      <c r="M26" s="237"/>
    </row>
    <row r="27" spans="1:13" s="238" customFormat="1" ht="71.25" customHeight="1">
      <c r="A27" s="230"/>
      <c r="B27" s="231"/>
      <c r="C27" s="232"/>
      <c r="D27" s="675">
        <v>6010</v>
      </c>
      <c r="E27" s="674" t="s">
        <v>237</v>
      </c>
      <c r="F27" s="676">
        <v>302000</v>
      </c>
      <c r="G27" s="676"/>
      <c r="H27" s="677"/>
      <c r="I27" s="676">
        <v>302000</v>
      </c>
      <c r="J27" s="676"/>
      <c r="K27" s="678" t="s">
        <v>217</v>
      </c>
      <c r="L27" s="678">
        <v>2013</v>
      </c>
      <c r="M27" s="237"/>
    </row>
    <row r="28" spans="1:13" s="238" customFormat="1" ht="66" customHeight="1">
      <c r="A28" s="230">
        <v>11</v>
      </c>
      <c r="B28" s="231"/>
      <c r="C28" s="232"/>
      <c r="D28" s="233">
        <v>6050</v>
      </c>
      <c r="E28" s="240" t="s">
        <v>237</v>
      </c>
      <c r="F28" s="676">
        <f>1500000+1857.05+130000-302000+13386-60000</f>
        <v>1283243.05</v>
      </c>
      <c r="G28" s="241">
        <v>0</v>
      </c>
      <c r="H28" s="242" t="s">
        <v>238</v>
      </c>
      <c r="I28" s="676">
        <f>1500000-600000+600000+130000-302000+13386-60000</f>
        <v>1281386</v>
      </c>
      <c r="J28" s="241">
        <v>200000</v>
      </c>
      <c r="K28" s="216" t="s">
        <v>217</v>
      </c>
      <c r="L28" s="216" t="s">
        <v>686</v>
      </c>
      <c r="M28" s="237"/>
    </row>
    <row r="29" spans="1:14" s="238" customFormat="1" ht="39" customHeight="1">
      <c r="A29" s="230">
        <v>12</v>
      </c>
      <c r="B29" s="243"/>
      <c r="C29" s="244"/>
      <c r="D29" s="233">
        <v>6050</v>
      </c>
      <c r="E29" s="245" t="s">
        <v>239</v>
      </c>
      <c r="F29" s="246">
        <f>100000+100000</f>
        <v>200000</v>
      </c>
      <c r="G29" s="246">
        <v>0</v>
      </c>
      <c r="H29" s="242" t="s">
        <v>240</v>
      </c>
      <c r="I29" s="241">
        <f>100000+100000</f>
        <v>200000</v>
      </c>
      <c r="J29" s="241">
        <v>0</v>
      </c>
      <c r="K29" s="216" t="s">
        <v>241</v>
      </c>
      <c r="L29" s="216">
        <v>2013</v>
      </c>
      <c r="M29" s="237"/>
      <c r="N29" s="237"/>
    </row>
    <row r="30" spans="1:13" s="238" customFormat="1" ht="35.25" customHeight="1">
      <c r="A30" s="230">
        <v>13</v>
      </c>
      <c r="B30" s="243"/>
      <c r="C30" s="244"/>
      <c r="D30" s="233">
        <v>6050</v>
      </c>
      <c r="E30" s="245" t="s">
        <v>242</v>
      </c>
      <c r="F30" s="246">
        <f>800000-15000-16500-73675-130000</f>
        <v>564825</v>
      </c>
      <c r="G30" s="246"/>
      <c r="H30" s="242" t="s">
        <v>243</v>
      </c>
      <c r="I30" s="241">
        <f>800000-15000-16500-73675-130000</f>
        <v>564825</v>
      </c>
      <c r="J30" s="241">
        <f>500000-300000-16500-130000</f>
        <v>53500</v>
      </c>
      <c r="K30" s="216" t="s">
        <v>217</v>
      </c>
      <c r="L30" s="216">
        <v>2013</v>
      </c>
      <c r="M30" s="237"/>
    </row>
    <row r="31" spans="1:12" s="238" customFormat="1" ht="42.75" customHeight="1">
      <c r="A31" s="230">
        <v>14</v>
      </c>
      <c r="B31" s="243"/>
      <c r="C31" s="244"/>
      <c r="D31" s="233">
        <v>6050</v>
      </c>
      <c r="E31" s="245" t="s">
        <v>244</v>
      </c>
      <c r="F31" s="679">
        <f>100000-50000+30000</f>
        <v>80000</v>
      </c>
      <c r="G31" s="246"/>
      <c r="H31" s="242" t="s">
        <v>245</v>
      </c>
      <c r="I31" s="241">
        <f>100000-50000</f>
        <v>50000</v>
      </c>
      <c r="J31" s="241"/>
      <c r="K31" s="216" t="s">
        <v>217</v>
      </c>
      <c r="L31" s="678" t="s">
        <v>686</v>
      </c>
    </row>
    <row r="32" spans="1:14" s="238" customFormat="1" ht="53.25" customHeight="1">
      <c r="A32" s="230">
        <v>15</v>
      </c>
      <c r="B32" s="243"/>
      <c r="C32" s="244"/>
      <c r="D32" s="233">
        <v>6050</v>
      </c>
      <c r="E32" s="245" t="s">
        <v>246</v>
      </c>
      <c r="F32" s="246">
        <f>50000+1291</f>
        <v>51291</v>
      </c>
      <c r="G32" s="246"/>
      <c r="H32" s="242" t="s">
        <v>245</v>
      </c>
      <c r="I32" s="241">
        <f>1291+50000</f>
        <v>51291</v>
      </c>
      <c r="J32" s="241"/>
      <c r="K32" s="216" t="s">
        <v>217</v>
      </c>
      <c r="L32" s="216">
        <v>2013</v>
      </c>
      <c r="N32" s="237"/>
    </row>
    <row r="33" spans="1:14" s="238" customFormat="1" ht="42" customHeight="1">
      <c r="A33" s="230">
        <v>16</v>
      </c>
      <c r="B33" s="243"/>
      <c r="C33" s="244"/>
      <c r="D33" s="233">
        <v>6050</v>
      </c>
      <c r="E33" s="245" t="s">
        <v>823</v>
      </c>
      <c r="F33" s="246">
        <v>2500000</v>
      </c>
      <c r="G33" s="246"/>
      <c r="H33" s="236" t="s">
        <v>220</v>
      </c>
      <c r="I33" s="241">
        <v>1000000</v>
      </c>
      <c r="J33" s="241">
        <v>500000</v>
      </c>
      <c r="K33" s="216" t="s">
        <v>217</v>
      </c>
      <c r="L33" s="216" t="s">
        <v>686</v>
      </c>
      <c r="N33" s="237"/>
    </row>
    <row r="34" spans="1:12" s="238" customFormat="1" ht="37.5" customHeight="1">
      <c r="A34" s="230">
        <v>17</v>
      </c>
      <c r="B34" s="243"/>
      <c r="C34" s="244"/>
      <c r="D34" s="233">
        <v>6050</v>
      </c>
      <c r="E34" s="245" t="s">
        <v>824</v>
      </c>
      <c r="F34" s="246">
        <v>100000</v>
      </c>
      <c r="G34" s="246"/>
      <c r="H34" s="242" t="s">
        <v>245</v>
      </c>
      <c r="I34" s="241">
        <f>100000-90000</f>
        <v>10000</v>
      </c>
      <c r="J34" s="241"/>
      <c r="K34" s="216" t="s">
        <v>217</v>
      </c>
      <c r="L34" s="216" t="s">
        <v>686</v>
      </c>
    </row>
    <row r="35" spans="1:12" s="238" customFormat="1" ht="27.75" customHeight="1">
      <c r="A35" s="230">
        <v>19</v>
      </c>
      <c r="B35" s="243"/>
      <c r="C35" s="244"/>
      <c r="D35" s="233">
        <v>6050</v>
      </c>
      <c r="E35" s="245" t="s">
        <v>825</v>
      </c>
      <c r="F35" s="679">
        <f>50000+31000+21000</f>
        <v>102000</v>
      </c>
      <c r="G35" s="246"/>
      <c r="H35" s="242" t="s">
        <v>355</v>
      </c>
      <c r="I35" s="676">
        <f>31000+50000</f>
        <v>81000</v>
      </c>
      <c r="J35" s="241"/>
      <c r="K35" s="216" t="s">
        <v>217</v>
      </c>
      <c r="L35" s="678" t="s">
        <v>686</v>
      </c>
    </row>
    <row r="36" spans="1:12" s="238" customFormat="1" ht="33" customHeight="1">
      <c r="A36" s="230">
        <v>19</v>
      </c>
      <c r="B36" s="243"/>
      <c r="C36" s="244"/>
      <c r="D36" s="233">
        <v>6050</v>
      </c>
      <c r="E36" s="245" t="s">
        <v>830</v>
      </c>
      <c r="F36" s="246">
        <v>2900000</v>
      </c>
      <c r="G36" s="246"/>
      <c r="H36" s="236" t="s">
        <v>220</v>
      </c>
      <c r="I36" s="241">
        <v>900000</v>
      </c>
      <c r="J36" s="241">
        <v>500000</v>
      </c>
      <c r="K36" s="216" t="s">
        <v>217</v>
      </c>
      <c r="L36" s="216" t="s">
        <v>686</v>
      </c>
    </row>
    <row r="37" spans="1:12" s="238" customFormat="1" ht="57.75" customHeight="1">
      <c r="A37" s="230">
        <v>20</v>
      </c>
      <c r="B37" s="243"/>
      <c r="C37" s="244"/>
      <c r="D37" s="233">
        <v>6050</v>
      </c>
      <c r="E37" s="245" t="s">
        <v>717</v>
      </c>
      <c r="F37" s="246">
        <f>20000-5000</f>
        <v>15000</v>
      </c>
      <c r="G37" s="246"/>
      <c r="H37" s="242" t="s">
        <v>245</v>
      </c>
      <c r="I37" s="241">
        <f>20000-5000</f>
        <v>15000</v>
      </c>
      <c r="J37" s="241"/>
      <c r="K37" s="216" t="s">
        <v>217</v>
      </c>
      <c r="L37" s="216">
        <v>2013</v>
      </c>
    </row>
    <row r="38" spans="1:12" s="238" customFormat="1" ht="61.5" customHeight="1">
      <c r="A38" s="230">
        <v>21</v>
      </c>
      <c r="B38" s="243"/>
      <c r="C38" s="244"/>
      <c r="D38" s="233">
        <v>6050</v>
      </c>
      <c r="E38" s="245" t="s">
        <v>797</v>
      </c>
      <c r="F38" s="246">
        <v>85000</v>
      </c>
      <c r="G38" s="246"/>
      <c r="H38" s="242" t="s">
        <v>245</v>
      </c>
      <c r="I38" s="241">
        <v>85000</v>
      </c>
      <c r="J38" s="241"/>
      <c r="K38" s="216" t="s">
        <v>241</v>
      </c>
      <c r="L38" s="216">
        <v>2013</v>
      </c>
    </row>
    <row r="39" spans="1:12" s="238" customFormat="1" ht="33.75" customHeight="1">
      <c r="A39" s="230">
        <v>22</v>
      </c>
      <c r="B39" s="243"/>
      <c r="C39" s="244"/>
      <c r="D39" s="233">
        <v>6050</v>
      </c>
      <c r="E39" s="245" t="s">
        <v>716</v>
      </c>
      <c r="F39" s="246">
        <f>900000+703798</f>
        <v>1603798</v>
      </c>
      <c r="G39" s="246"/>
      <c r="H39" s="236" t="s">
        <v>220</v>
      </c>
      <c r="I39" s="241">
        <f>900000+703798</f>
        <v>1603798</v>
      </c>
      <c r="J39" s="241">
        <f>432154.48-0.95+87800</f>
        <v>519953.52999999997</v>
      </c>
      <c r="K39" s="216" t="s">
        <v>241</v>
      </c>
      <c r="L39" s="216">
        <v>2013</v>
      </c>
    </row>
    <row r="40" spans="1:12" s="238" customFormat="1" ht="41.25" customHeight="1">
      <c r="A40" s="230">
        <v>23</v>
      </c>
      <c r="B40" s="243"/>
      <c r="C40" s="244"/>
      <c r="D40" s="233">
        <v>6050</v>
      </c>
      <c r="E40" s="245" t="s">
        <v>585</v>
      </c>
      <c r="F40" s="246">
        <v>50000</v>
      </c>
      <c r="G40" s="246"/>
      <c r="H40" s="242" t="s">
        <v>245</v>
      </c>
      <c r="I40" s="241">
        <v>50000</v>
      </c>
      <c r="J40" s="241"/>
      <c r="K40" s="216" t="s">
        <v>217</v>
      </c>
      <c r="L40" s="216">
        <v>2013</v>
      </c>
    </row>
    <row r="41" spans="1:12" s="238" customFormat="1" ht="58.5" customHeight="1">
      <c r="A41" s="230">
        <v>24</v>
      </c>
      <c r="B41" s="243"/>
      <c r="C41" s="244"/>
      <c r="D41" s="233">
        <v>6050</v>
      </c>
      <c r="E41" s="245" t="s">
        <v>821</v>
      </c>
      <c r="F41" s="246">
        <v>350000</v>
      </c>
      <c r="G41" s="246"/>
      <c r="H41" s="242" t="s">
        <v>245</v>
      </c>
      <c r="I41" s="241">
        <v>350000</v>
      </c>
      <c r="J41" s="241"/>
      <c r="K41" s="216" t="s">
        <v>820</v>
      </c>
      <c r="L41" s="216">
        <v>2013</v>
      </c>
    </row>
    <row r="42" spans="1:12" s="238" customFormat="1" ht="51" customHeight="1">
      <c r="A42" s="230">
        <v>25</v>
      </c>
      <c r="B42" s="243"/>
      <c r="C42" s="244"/>
      <c r="D42" s="233">
        <v>6050</v>
      </c>
      <c r="E42" s="245" t="s">
        <v>866</v>
      </c>
      <c r="F42" s="246">
        <v>2200000</v>
      </c>
      <c r="G42" s="246"/>
      <c r="H42" s="236" t="s">
        <v>220</v>
      </c>
      <c r="I42" s="241">
        <v>1000000</v>
      </c>
      <c r="J42" s="241"/>
      <c r="K42" s="216" t="s">
        <v>217</v>
      </c>
      <c r="L42" s="216" t="s">
        <v>686</v>
      </c>
    </row>
    <row r="43" spans="1:12" s="238" customFormat="1" ht="74.25" customHeight="1">
      <c r="A43" s="230">
        <v>26</v>
      </c>
      <c r="B43" s="243"/>
      <c r="C43" s="244"/>
      <c r="D43" s="233">
        <v>6050</v>
      </c>
      <c r="E43" s="245" t="s">
        <v>106</v>
      </c>
      <c r="F43" s="246">
        <f>100000+60000</f>
        <v>160000</v>
      </c>
      <c r="G43" s="246"/>
      <c r="H43" s="242" t="s">
        <v>245</v>
      </c>
      <c r="I43" s="241">
        <f>100000-88000</f>
        <v>12000</v>
      </c>
      <c r="J43" s="241"/>
      <c r="K43" s="216" t="s">
        <v>217</v>
      </c>
      <c r="L43" s="216" t="s">
        <v>686</v>
      </c>
    </row>
    <row r="44" spans="1:12" s="238" customFormat="1" ht="36" customHeight="1">
      <c r="A44" s="230">
        <v>27</v>
      </c>
      <c r="B44" s="243"/>
      <c r="C44" s="244"/>
      <c r="D44" s="233">
        <v>6050</v>
      </c>
      <c r="E44" s="245" t="s">
        <v>842</v>
      </c>
      <c r="F44" s="246">
        <f>300000+185000</f>
        <v>485000</v>
      </c>
      <c r="G44" s="246"/>
      <c r="H44" s="242" t="s">
        <v>593</v>
      </c>
      <c r="I44" s="241">
        <f>300000+185000</f>
        <v>485000</v>
      </c>
      <c r="J44" s="241"/>
      <c r="K44" s="216" t="s">
        <v>241</v>
      </c>
      <c r="L44" s="216">
        <v>2013</v>
      </c>
    </row>
    <row r="45" spans="1:12" s="238" customFormat="1" ht="50.25" customHeight="1">
      <c r="A45" s="230">
        <v>28</v>
      </c>
      <c r="B45" s="243"/>
      <c r="C45" s="244"/>
      <c r="D45" s="233">
        <v>6050</v>
      </c>
      <c r="E45" s="245" t="s">
        <v>722</v>
      </c>
      <c r="F45" s="246">
        <v>50000</v>
      </c>
      <c r="G45" s="246"/>
      <c r="H45" s="242" t="s">
        <v>245</v>
      </c>
      <c r="I45" s="241">
        <f>30000-25000</f>
        <v>5000</v>
      </c>
      <c r="J45" s="241"/>
      <c r="K45" s="216" t="s">
        <v>217</v>
      </c>
      <c r="L45" s="216" t="s">
        <v>686</v>
      </c>
    </row>
    <row r="46" spans="1:12" s="238" customFormat="1" ht="50.25" customHeight="1">
      <c r="A46" s="230">
        <v>29</v>
      </c>
      <c r="B46" s="243"/>
      <c r="C46" s="244"/>
      <c r="D46" s="233">
        <v>6050</v>
      </c>
      <c r="E46" s="245" t="s">
        <v>579</v>
      </c>
      <c r="F46" s="246">
        <v>15000</v>
      </c>
      <c r="G46" s="246"/>
      <c r="H46" s="242" t="s">
        <v>356</v>
      </c>
      <c r="I46" s="241">
        <v>15000</v>
      </c>
      <c r="J46" s="241"/>
      <c r="K46" s="216" t="s">
        <v>217</v>
      </c>
      <c r="L46" s="216">
        <v>2013</v>
      </c>
    </row>
    <row r="47" spans="1:12" s="238" customFormat="1" ht="69.75" customHeight="1">
      <c r="A47" s="230">
        <v>30</v>
      </c>
      <c r="B47" s="243"/>
      <c r="C47" s="244"/>
      <c r="D47" s="233">
        <v>6050</v>
      </c>
      <c r="E47" s="245" t="s">
        <v>232</v>
      </c>
      <c r="F47" s="246">
        <v>60000</v>
      </c>
      <c r="G47" s="246"/>
      <c r="H47" s="242" t="s">
        <v>245</v>
      </c>
      <c r="I47" s="241">
        <v>60000</v>
      </c>
      <c r="J47" s="241"/>
      <c r="K47" s="216" t="s">
        <v>241</v>
      </c>
      <c r="L47" s="216">
        <v>2013</v>
      </c>
    </row>
    <row r="48" spans="1:12" ht="38.25" customHeight="1">
      <c r="A48" s="247">
        <v>31</v>
      </c>
      <c r="B48" s="248"/>
      <c r="C48" s="190"/>
      <c r="D48" s="249">
        <v>6050</v>
      </c>
      <c r="E48" s="245" t="s">
        <v>247</v>
      </c>
      <c r="F48" s="246">
        <f>85000+65000-44158.5</f>
        <v>105841.5</v>
      </c>
      <c r="G48" s="246">
        <v>0</v>
      </c>
      <c r="H48" s="242" t="s">
        <v>248</v>
      </c>
      <c r="I48" s="250">
        <f>65000+85000-44158.5</f>
        <v>105841.5</v>
      </c>
      <c r="J48" s="250">
        <v>0</v>
      </c>
      <c r="K48" s="216" t="s">
        <v>241</v>
      </c>
      <c r="L48" s="216">
        <v>2013</v>
      </c>
    </row>
    <row r="49" spans="1:12" ht="21.75" customHeight="1">
      <c r="A49" s="251"/>
      <c r="B49" s="219">
        <v>700</v>
      </c>
      <c r="C49" s="219"/>
      <c r="D49" s="220"/>
      <c r="E49" s="252" t="s">
        <v>249</v>
      </c>
      <c r="F49" s="253">
        <f>F50+F54</f>
        <v>2392334.24</v>
      </c>
      <c r="G49" s="253">
        <f>G50+G54</f>
        <v>190433.05</v>
      </c>
      <c r="H49" s="253"/>
      <c r="I49" s="253">
        <f>I50+I54</f>
        <v>1860901.19</v>
      </c>
      <c r="J49" s="253">
        <f>J50+J54</f>
        <v>285000</v>
      </c>
      <c r="K49" s="216"/>
      <c r="L49" s="216"/>
    </row>
    <row r="50" spans="1:12" ht="27" customHeight="1">
      <c r="A50" s="247"/>
      <c r="B50" s="254"/>
      <c r="C50" s="255">
        <v>70005</v>
      </c>
      <c r="D50" s="226"/>
      <c r="E50" s="227" t="s">
        <v>250</v>
      </c>
      <c r="F50" s="228">
        <f>SUM(F51:F53)</f>
        <v>1691682.1</v>
      </c>
      <c r="G50" s="228">
        <f>SUM(G51:G53)</f>
        <v>190433.05</v>
      </c>
      <c r="H50" s="228"/>
      <c r="I50" s="228">
        <f>SUM(I51:I53)</f>
        <v>1171249.05</v>
      </c>
      <c r="J50" s="228">
        <f>SUM(J51:J53)</f>
        <v>0</v>
      </c>
      <c r="K50" s="229"/>
      <c r="L50" s="229"/>
    </row>
    <row r="51" spans="1:12" s="658" customFormat="1" ht="32.25" customHeight="1">
      <c r="A51" s="247">
        <v>32</v>
      </c>
      <c r="B51" s="190"/>
      <c r="C51" s="256"/>
      <c r="D51" s="249">
        <v>6050</v>
      </c>
      <c r="E51" s="245" t="s">
        <v>814</v>
      </c>
      <c r="F51" s="246">
        <f>2700+15000</f>
        <v>17700</v>
      </c>
      <c r="G51" s="246"/>
      <c r="H51" s="246" t="s">
        <v>819</v>
      </c>
      <c r="I51" s="246">
        <f>2700+15000</f>
        <v>17700</v>
      </c>
      <c r="J51" s="246"/>
      <c r="K51" s="216" t="s">
        <v>818</v>
      </c>
      <c r="L51" s="216">
        <v>2013</v>
      </c>
    </row>
    <row r="52" spans="1:12" s="658" customFormat="1" ht="54" customHeight="1">
      <c r="A52" s="247">
        <v>33</v>
      </c>
      <c r="B52" s="190"/>
      <c r="C52" s="256"/>
      <c r="D52" s="249">
        <v>6060</v>
      </c>
      <c r="E52" s="245" t="s">
        <v>108</v>
      </c>
      <c r="F52" s="246">
        <v>8000</v>
      </c>
      <c r="G52" s="246"/>
      <c r="H52" s="246"/>
      <c r="I52" s="246">
        <v>8000</v>
      </c>
      <c r="J52" s="246"/>
      <c r="K52" s="216" t="s">
        <v>633</v>
      </c>
      <c r="L52" s="216">
        <v>2013</v>
      </c>
    </row>
    <row r="53" spans="1:12" ht="109.5" customHeight="1">
      <c r="A53" s="247">
        <v>34</v>
      </c>
      <c r="B53" s="190"/>
      <c r="C53" s="256"/>
      <c r="D53" s="249">
        <v>6060</v>
      </c>
      <c r="E53" s="245" t="s">
        <v>251</v>
      </c>
      <c r="F53" s="246">
        <f>1611982.1+550000+4000-500000</f>
        <v>1665982.1</v>
      </c>
      <c r="G53" s="246">
        <v>190433.05</v>
      </c>
      <c r="H53" s="236" t="s">
        <v>586</v>
      </c>
      <c r="I53" s="257">
        <f>1091549.05+550000+4000-500000</f>
        <v>1145549.05</v>
      </c>
      <c r="J53" s="257">
        <v>0</v>
      </c>
      <c r="K53" s="258" t="s">
        <v>252</v>
      </c>
      <c r="L53" s="258" t="s">
        <v>253</v>
      </c>
    </row>
    <row r="54" spans="1:12" ht="24.75" customHeight="1">
      <c r="A54" s="247"/>
      <c r="B54" s="259"/>
      <c r="C54" s="260">
        <v>70095</v>
      </c>
      <c r="D54" s="261"/>
      <c r="E54" s="227" t="s">
        <v>254</v>
      </c>
      <c r="F54" s="228">
        <f>SUM(F55:F60)</f>
        <v>700652.14</v>
      </c>
      <c r="G54" s="228">
        <f>SUM(G55:G60)</f>
        <v>0</v>
      </c>
      <c r="H54" s="228"/>
      <c r="I54" s="228">
        <f>SUM(I55:I60)</f>
        <v>689652.14</v>
      </c>
      <c r="J54" s="228">
        <f>SUM(J55:J60)</f>
        <v>285000</v>
      </c>
      <c r="K54" s="229"/>
      <c r="L54" s="229"/>
    </row>
    <row r="55" spans="1:12" s="329" customFormat="1" ht="42.75" customHeight="1">
      <c r="A55" s="247">
        <v>35</v>
      </c>
      <c r="B55" s="190"/>
      <c r="C55" s="256"/>
      <c r="D55" s="247">
        <v>6050</v>
      </c>
      <c r="E55" s="234" t="s">
        <v>255</v>
      </c>
      <c r="F55" s="246">
        <f>65000-1200</f>
        <v>63800</v>
      </c>
      <c r="G55" s="246">
        <v>0</v>
      </c>
      <c r="H55" s="236" t="s">
        <v>256</v>
      </c>
      <c r="I55" s="257">
        <f>65000-1200</f>
        <v>63800</v>
      </c>
      <c r="J55" s="257">
        <v>0</v>
      </c>
      <c r="K55" s="258" t="s">
        <v>159</v>
      </c>
      <c r="L55" s="258">
        <v>2013</v>
      </c>
    </row>
    <row r="56" spans="1:12" s="329" customFormat="1" ht="64.5" customHeight="1">
      <c r="A56" s="200">
        <v>36</v>
      </c>
      <c r="B56" s="190"/>
      <c r="C56" s="256"/>
      <c r="D56" s="247">
        <v>6050</v>
      </c>
      <c r="E56" s="286" t="s">
        <v>687</v>
      </c>
      <c r="F56" s="287">
        <f>155000</f>
        <v>155000</v>
      </c>
      <c r="G56" s="287"/>
      <c r="H56" s="286" t="s">
        <v>690</v>
      </c>
      <c r="I56" s="340">
        <v>155000</v>
      </c>
      <c r="J56" s="340">
        <v>155000</v>
      </c>
      <c r="K56" s="258" t="s">
        <v>159</v>
      </c>
      <c r="L56" s="258">
        <v>2013</v>
      </c>
    </row>
    <row r="57" spans="1:12" s="329" customFormat="1" ht="76.5" customHeight="1">
      <c r="A57" s="200">
        <v>37</v>
      </c>
      <c r="B57" s="190"/>
      <c r="C57" s="256"/>
      <c r="D57" s="247">
        <v>6050</v>
      </c>
      <c r="E57" s="286" t="s">
        <v>323</v>
      </c>
      <c r="F57" s="287">
        <v>43419</v>
      </c>
      <c r="G57" s="287"/>
      <c r="H57" s="339"/>
      <c r="I57" s="340">
        <v>43419</v>
      </c>
      <c r="J57" s="340"/>
      <c r="K57" s="258" t="s">
        <v>217</v>
      </c>
      <c r="L57" s="258">
        <v>2013</v>
      </c>
    </row>
    <row r="58" spans="1:12" s="329" customFormat="1" ht="58.5" customHeight="1">
      <c r="A58" s="247">
        <v>38</v>
      </c>
      <c r="B58" s="190"/>
      <c r="C58" s="256"/>
      <c r="D58" s="247">
        <v>6050</v>
      </c>
      <c r="E58" s="234" t="s">
        <v>754</v>
      </c>
      <c r="F58" s="346">
        <f>185000-29559-5361</f>
        <v>150080</v>
      </c>
      <c r="G58" s="287"/>
      <c r="H58" s="339" t="s">
        <v>366</v>
      </c>
      <c r="I58" s="340">
        <f>185000-29559-5361</f>
        <v>150080</v>
      </c>
      <c r="J58" s="340"/>
      <c r="K58" s="258" t="s">
        <v>217</v>
      </c>
      <c r="L58" s="258">
        <v>2013</v>
      </c>
    </row>
    <row r="59" spans="1:12" s="329" customFormat="1" ht="56.25" customHeight="1">
      <c r="A59" s="247">
        <v>39</v>
      </c>
      <c r="B59" s="190"/>
      <c r="C59" s="256"/>
      <c r="D59" s="247">
        <v>6050</v>
      </c>
      <c r="E59" s="234" t="s">
        <v>350</v>
      </c>
      <c r="F59" s="346">
        <f>50000+130000+5361</f>
        <v>185361</v>
      </c>
      <c r="G59" s="287"/>
      <c r="H59" s="339" t="s">
        <v>353</v>
      </c>
      <c r="I59" s="340">
        <f>50000+130000+5361</f>
        <v>185361</v>
      </c>
      <c r="J59" s="340">
        <v>130000</v>
      </c>
      <c r="K59" s="258" t="s">
        <v>217</v>
      </c>
      <c r="L59" s="258">
        <v>2013</v>
      </c>
    </row>
    <row r="60" spans="1:14" s="329" customFormat="1" ht="57" customHeight="1">
      <c r="A60" s="247">
        <v>40</v>
      </c>
      <c r="B60" s="190"/>
      <c r="C60" s="256"/>
      <c r="D60" s="182">
        <v>6050</v>
      </c>
      <c r="E60" s="366" t="s">
        <v>689</v>
      </c>
      <c r="F60" s="683">
        <f>142700-31000-13386+11000-6321.86</f>
        <v>102992.14</v>
      </c>
      <c r="G60" s="287"/>
      <c r="H60" s="242" t="s">
        <v>245</v>
      </c>
      <c r="I60" s="684">
        <f>142700-31000-13386-6321.86</f>
        <v>91992.14</v>
      </c>
      <c r="J60" s="340"/>
      <c r="K60" s="258" t="s">
        <v>217</v>
      </c>
      <c r="L60" s="685" t="s">
        <v>686</v>
      </c>
      <c r="N60" s="329">
        <f>6321.86+13386+31000</f>
        <v>50707.86</v>
      </c>
    </row>
    <row r="61" spans="1:12" s="436" customFormat="1" ht="30" customHeight="1">
      <c r="A61" s="432"/>
      <c r="B61" s="433">
        <v>710</v>
      </c>
      <c r="C61" s="432"/>
      <c r="D61" s="432"/>
      <c r="E61" s="434" t="s">
        <v>629</v>
      </c>
      <c r="F61" s="442">
        <f>F62</f>
        <v>20000</v>
      </c>
      <c r="G61" s="442">
        <f>G62</f>
        <v>0</v>
      </c>
      <c r="H61" s="442"/>
      <c r="I61" s="442">
        <f>I62</f>
        <v>20000</v>
      </c>
      <c r="J61" s="442">
        <f>J62</f>
        <v>0</v>
      </c>
      <c r="K61" s="435"/>
      <c r="L61" s="435"/>
    </row>
    <row r="62" spans="1:12" s="441" customFormat="1" ht="23.25" customHeight="1">
      <c r="A62" s="653"/>
      <c r="B62" s="437"/>
      <c r="C62" s="438">
        <v>71035</v>
      </c>
      <c r="D62" s="438"/>
      <c r="E62" s="439" t="s">
        <v>723</v>
      </c>
      <c r="F62" s="443">
        <f>F63</f>
        <v>20000</v>
      </c>
      <c r="G62" s="443">
        <f>G63</f>
        <v>0</v>
      </c>
      <c r="H62" s="443"/>
      <c r="I62" s="443">
        <f>I63</f>
        <v>20000</v>
      </c>
      <c r="J62" s="443">
        <f>J63</f>
        <v>0</v>
      </c>
      <c r="K62" s="440"/>
      <c r="L62" s="440"/>
    </row>
    <row r="63" spans="1:12" s="428" customFormat="1" ht="57" customHeight="1">
      <c r="A63" s="462">
        <v>41</v>
      </c>
      <c r="B63" s="429"/>
      <c r="C63" s="430"/>
      <c r="D63" s="431">
        <v>6050</v>
      </c>
      <c r="E63" s="463" t="s">
        <v>724</v>
      </c>
      <c r="F63" s="445">
        <v>20000</v>
      </c>
      <c r="G63" s="444"/>
      <c r="H63" s="446" t="s">
        <v>725</v>
      </c>
      <c r="I63" s="445">
        <v>20000</v>
      </c>
      <c r="J63" s="426"/>
      <c r="K63" s="427" t="s">
        <v>605</v>
      </c>
      <c r="L63" s="461">
        <v>2013</v>
      </c>
    </row>
    <row r="64" spans="1:12" ht="23.25" customHeight="1">
      <c r="A64" s="276"/>
      <c r="B64" s="219">
        <v>750</v>
      </c>
      <c r="C64" s="219"/>
      <c r="D64" s="220"/>
      <c r="E64" s="296" t="s">
        <v>257</v>
      </c>
      <c r="F64" s="264">
        <f>F65+F70</f>
        <v>4548881.7299999995</v>
      </c>
      <c r="G64" s="264">
        <f>G65+G70</f>
        <v>540000</v>
      </c>
      <c r="H64" s="264"/>
      <c r="I64" s="264">
        <f>I65+I70</f>
        <v>3058881.73</v>
      </c>
      <c r="J64" s="264">
        <f>J65+J70</f>
        <v>0</v>
      </c>
      <c r="K64" s="215"/>
      <c r="L64" s="216"/>
    </row>
    <row r="65" spans="1:12" ht="30.75" customHeight="1">
      <c r="A65" s="265"/>
      <c r="B65" s="254"/>
      <c r="C65" s="224">
        <v>75023</v>
      </c>
      <c r="D65" s="261"/>
      <c r="E65" s="267" t="s">
        <v>258</v>
      </c>
      <c r="F65" s="268">
        <f>SUM(F66:F69)</f>
        <v>358759.87</v>
      </c>
      <c r="G65" s="268">
        <f>SUM(G66:G69)</f>
        <v>0</v>
      </c>
      <c r="H65" s="268"/>
      <c r="I65" s="268">
        <f>SUM(I66:I69)</f>
        <v>358759.87</v>
      </c>
      <c r="J65" s="268">
        <f>SUM(J66:J69)</f>
        <v>0</v>
      </c>
      <c r="K65" s="229"/>
      <c r="L65" s="229"/>
    </row>
    <row r="66" spans="1:14" s="658" customFormat="1" ht="107.25" customHeight="1">
      <c r="A66" s="247">
        <v>42</v>
      </c>
      <c r="C66" s="182"/>
      <c r="D66" s="313">
        <v>6050</v>
      </c>
      <c r="E66" s="234" t="s">
        <v>832</v>
      </c>
      <c r="F66" s="346">
        <f>165000-20000</f>
        <v>145000</v>
      </c>
      <c r="G66" s="346"/>
      <c r="H66" s="476" t="s">
        <v>827</v>
      </c>
      <c r="I66" s="346">
        <f>165000-20000</f>
        <v>145000</v>
      </c>
      <c r="J66" s="346"/>
      <c r="K66" s="216" t="s">
        <v>261</v>
      </c>
      <c r="L66" s="216">
        <v>2013</v>
      </c>
      <c r="N66" s="422"/>
    </row>
    <row r="67" spans="1:12" s="658" customFormat="1" ht="50.25" customHeight="1">
      <c r="A67" s="247">
        <v>43</v>
      </c>
      <c r="C67" s="190"/>
      <c r="D67" s="313">
        <v>6050</v>
      </c>
      <c r="E67" s="404" t="s">
        <v>93</v>
      </c>
      <c r="F67" s="272">
        <v>20000</v>
      </c>
      <c r="G67" s="272"/>
      <c r="H67" s="477" t="s">
        <v>828</v>
      </c>
      <c r="I67" s="272">
        <v>20000</v>
      </c>
      <c r="J67" s="272"/>
      <c r="K67" s="216" t="s">
        <v>261</v>
      </c>
      <c r="L67" s="216">
        <v>2013</v>
      </c>
    </row>
    <row r="68" spans="1:12" s="658" customFormat="1" ht="50.25" customHeight="1">
      <c r="A68" s="247">
        <v>44</v>
      </c>
      <c r="C68" s="190"/>
      <c r="D68" s="313">
        <v>6050</v>
      </c>
      <c r="E68" s="404" t="s">
        <v>867</v>
      </c>
      <c r="F68" s="272">
        <v>72000</v>
      </c>
      <c r="G68" s="272"/>
      <c r="H68" s="477" t="s">
        <v>367</v>
      </c>
      <c r="I68" s="272">
        <v>72000</v>
      </c>
      <c r="J68" s="272"/>
      <c r="K68" s="216" t="s">
        <v>217</v>
      </c>
      <c r="L68" s="216">
        <v>2013</v>
      </c>
    </row>
    <row r="69" spans="1:12" ht="38.25" customHeight="1">
      <c r="A69" s="265">
        <v>45</v>
      </c>
      <c r="B69" s="384"/>
      <c r="C69" s="376"/>
      <c r="D69" s="313">
        <v>6060</v>
      </c>
      <c r="E69" s="271" t="s">
        <v>259</v>
      </c>
      <c r="F69" s="661">
        <f>175000+3800+4800-80000+12000-40000+12100+30000+4059.87</f>
        <v>121759.87</v>
      </c>
      <c r="G69" s="272">
        <v>0</v>
      </c>
      <c r="H69" s="273" t="s">
        <v>260</v>
      </c>
      <c r="I69" s="661">
        <f>175000+3800+4800-80000+12000-40000+12100+30000+4059.87</f>
        <v>121759.87</v>
      </c>
      <c r="J69" s="274">
        <v>0</v>
      </c>
      <c r="K69" s="216" t="s">
        <v>261</v>
      </c>
      <c r="L69" s="216">
        <v>2013</v>
      </c>
    </row>
    <row r="70" spans="1:12" ht="26.25" customHeight="1">
      <c r="A70" s="265"/>
      <c r="B70" s="269"/>
      <c r="C70" s="225">
        <v>75095</v>
      </c>
      <c r="D70" s="261"/>
      <c r="E70" s="267" t="s">
        <v>254</v>
      </c>
      <c r="F70" s="268">
        <f>SUM(F71:F73)</f>
        <v>4190121.86</v>
      </c>
      <c r="G70" s="268">
        <f>SUM(G71:G73)</f>
        <v>540000</v>
      </c>
      <c r="H70" s="268"/>
      <c r="I70" s="268">
        <f>SUM(I71:I73)</f>
        <v>2700121.86</v>
      </c>
      <c r="J70" s="268">
        <f>SUM(J71:J73)</f>
        <v>0</v>
      </c>
      <c r="K70" s="229"/>
      <c r="L70" s="229"/>
    </row>
    <row r="71" spans="1:12" ht="38.25" customHeight="1">
      <c r="A71" s="265">
        <v>46</v>
      </c>
      <c r="B71" s="269"/>
      <c r="C71" s="224"/>
      <c r="D71" s="275">
        <v>6050</v>
      </c>
      <c r="E71" s="262" t="s">
        <v>262</v>
      </c>
      <c r="F71" s="679">
        <f>2440000+6321.86</f>
        <v>2446321.86</v>
      </c>
      <c r="G71" s="246">
        <v>540000</v>
      </c>
      <c r="H71" s="236" t="s">
        <v>263</v>
      </c>
      <c r="I71" s="686">
        <f>950000+6321.86</f>
        <v>956321.86</v>
      </c>
      <c r="J71" s="257">
        <v>0</v>
      </c>
      <c r="K71" s="258" t="s">
        <v>217</v>
      </c>
      <c r="L71" s="258" t="s">
        <v>264</v>
      </c>
    </row>
    <row r="72" spans="1:12" ht="38.25" customHeight="1">
      <c r="A72" s="265">
        <v>47</v>
      </c>
      <c r="B72" s="269"/>
      <c r="C72" s="224"/>
      <c r="D72" s="275">
        <v>6050</v>
      </c>
      <c r="E72" s="262" t="s">
        <v>720</v>
      </c>
      <c r="F72" s="246">
        <f>70000+3800</f>
        <v>73800</v>
      </c>
      <c r="G72" s="246"/>
      <c r="H72" s="242" t="s">
        <v>245</v>
      </c>
      <c r="I72" s="257">
        <f>70000+3800</f>
        <v>73800</v>
      </c>
      <c r="J72" s="257"/>
      <c r="K72" s="258" t="s">
        <v>217</v>
      </c>
      <c r="L72" s="258">
        <v>2013</v>
      </c>
    </row>
    <row r="73" spans="1:12" ht="41.25" customHeight="1">
      <c r="A73" s="265">
        <v>48</v>
      </c>
      <c r="B73" s="269"/>
      <c r="C73" s="224"/>
      <c r="D73" s="275">
        <v>6050</v>
      </c>
      <c r="E73" s="262" t="s">
        <v>265</v>
      </c>
      <c r="F73" s="246">
        <f>1500000+170000</f>
        <v>1670000</v>
      </c>
      <c r="G73" s="246">
        <v>0</v>
      </c>
      <c r="H73" s="236" t="s">
        <v>266</v>
      </c>
      <c r="I73" s="257">
        <f>500000+1000000+170000</f>
        <v>1670000</v>
      </c>
      <c r="J73" s="257">
        <v>0</v>
      </c>
      <c r="K73" s="258" t="s">
        <v>217</v>
      </c>
      <c r="L73" s="258">
        <v>2013</v>
      </c>
    </row>
    <row r="74" spans="1:12" ht="33.75" customHeight="1">
      <c r="A74" s="276"/>
      <c r="B74" s="219">
        <v>754</v>
      </c>
      <c r="C74" s="219"/>
      <c r="D74" s="219"/>
      <c r="E74" s="277" t="s">
        <v>267</v>
      </c>
      <c r="F74" s="278">
        <f>F75+F78+F80</f>
        <v>211535</v>
      </c>
      <c r="G74" s="278">
        <f>G75+G78+G80</f>
        <v>0</v>
      </c>
      <c r="H74" s="278"/>
      <c r="I74" s="278">
        <f>I75+I78+I80</f>
        <v>211535</v>
      </c>
      <c r="J74" s="278">
        <f>J75+J78+J80</f>
        <v>0</v>
      </c>
      <c r="K74" s="216"/>
      <c r="L74" s="216"/>
    </row>
    <row r="75" spans="1:12" ht="21.75" customHeight="1">
      <c r="A75" s="265"/>
      <c r="B75" s="279"/>
      <c r="C75" s="254">
        <v>75412</v>
      </c>
      <c r="D75" s="260"/>
      <c r="E75" s="280" t="s">
        <v>268</v>
      </c>
      <c r="F75" s="281">
        <f>SUM(F76+F77)</f>
        <v>15535</v>
      </c>
      <c r="G75" s="281">
        <f>SUM(G76+G77)</f>
        <v>0</v>
      </c>
      <c r="H75" s="281"/>
      <c r="I75" s="281">
        <f>SUM(I76+I77)</f>
        <v>15535</v>
      </c>
      <c r="J75" s="281">
        <f>SUM(J76+J77)</f>
        <v>0</v>
      </c>
      <c r="K75" s="229"/>
      <c r="L75" s="229"/>
    </row>
    <row r="76" spans="1:12" ht="31.5" customHeight="1">
      <c r="A76" s="265">
        <v>49</v>
      </c>
      <c r="B76" s="289"/>
      <c r="C76" s="182"/>
      <c r="D76" s="249">
        <v>6060</v>
      </c>
      <c r="E76" s="245" t="s">
        <v>269</v>
      </c>
      <c r="F76" s="679">
        <f>5000-427</f>
        <v>4573</v>
      </c>
      <c r="G76" s="246"/>
      <c r="H76" s="242" t="s">
        <v>270</v>
      </c>
      <c r="I76" s="686">
        <f>5000-427</f>
        <v>4573</v>
      </c>
      <c r="J76" s="257"/>
      <c r="K76" s="216" t="s">
        <v>271</v>
      </c>
      <c r="L76" s="216">
        <v>2013</v>
      </c>
    </row>
    <row r="77" spans="1:12" ht="75" customHeight="1">
      <c r="A77" s="265">
        <v>50</v>
      </c>
      <c r="B77" s="289"/>
      <c r="C77" s="200"/>
      <c r="D77" s="247">
        <v>6230</v>
      </c>
      <c r="E77" s="397" t="s">
        <v>56</v>
      </c>
      <c r="F77" s="687">
        <f>15000-4038</f>
        <v>10962</v>
      </c>
      <c r="G77" s="287"/>
      <c r="H77" s="339" t="s">
        <v>57</v>
      </c>
      <c r="I77" s="340">
        <f>15000-4038</f>
        <v>10962</v>
      </c>
      <c r="J77" s="340"/>
      <c r="K77" s="216" t="s">
        <v>271</v>
      </c>
      <c r="L77" s="216">
        <v>2013</v>
      </c>
    </row>
    <row r="78" spans="1:12" ht="22.5" customHeight="1">
      <c r="A78" s="265"/>
      <c r="B78" s="279"/>
      <c r="C78" s="225">
        <v>75414</v>
      </c>
      <c r="D78" s="260"/>
      <c r="E78" s="280" t="s">
        <v>272</v>
      </c>
      <c r="F78" s="268">
        <f>SUM(F79)</f>
        <v>16000</v>
      </c>
      <c r="G78" s="268">
        <f>SUM(G79)</f>
        <v>0</v>
      </c>
      <c r="H78" s="268"/>
      <c r="I78" s="268">
        <f>SUM(I79)</f>
        <v>16000</v>
      </c>
      <c r="J78" s="268">
        <f>SUM(J79)</f>
        <v>0</v>
      </c>
      <c r="K78" s="229"/>
      <c r="L78" s="229"/>
    </row>
    <row r="79" spans="1:12" ht="48.75" customHeight="1">
      <c r="A79" s="265">
        <v>51</v>
      </c>
      <c r="B79" s="190"/>
      <c r="C79" s="283"/>
      <c r="D79" s="275">
        <v>6060</v>
      </c>
      <c r="E79" s="245" t="s">
        <v>269</v>
      </c>
      <c r="F79" s="246">
        <v>16000</v>
      </c>
      <c r="G79" s="246">
        <v>0</v>
      </c>
      <c r="H79" s="236" t="s">
        <v>273</v>
      </c>
      <c r="I79" s="284">
        <v>16000</v>
      </c>
      <c r="J79" s="284">
        <v>0</v>
      </c>
      <c r="K79" s="216" t="s">
        <v>271</v>
      </c>
      <c r="L79" s="216">
        <v>2013</v>
      </c>
    </row>
    <row r="80" spans="1:12" s="349" customFormat="1" ht="33" customHeight="1">
      <c r="A80" s="419"/>
      <c r="B80" s="259"/>
      <c r="C80" s="224">
        <v>75495</v>
      </c>
      <c r="D80" s="261"/>
      <c r="E80" s="267" t="s">
        <v>254</v>
      </c>
      <c r="F80" s="228">
        <f>SUM(F81:F82)</f>
        <v>180000</v>
      </c>
      <c r="G80" s="228">
        <f>SUM(G81:G81)</f>
        <v>0</v>
      </c>
      <c r="H80" s="228"/>
      <c r="I80" s="228">
        <f>SUM(I81:I82)</f>
        <v>180000</v>
      </c>
      <c r="J80" s="228">
        <f>SUM(J81:J81)</f>
        <v>0</v>
      </c>
      <c r="K80" s="229"/>
      <c r="L80" s="229"/>
    </row>
    <row r="81" spans="1:12" ht="48.75" customHeight="1">
      <c r="A81" s="209">
        <v>52</v>
      </c>
      <c r="B81" s="312"/>
      <c r="C81" s="182"/>
      <c r="D81" s="249">
        <v>6050</v>
      </c>
      <c r="E81" s="234" t="s">
        <v>831</v>
      </c>
      <c r="F81" s="346">
        <v>50000</v>
      </c>
      <c r="G81" s="346"/>
      <c r="H81" s="346" t="s">
        <v>798</v>
      </c>
      <c r="I81" s="346">
        <v>50000</v>
      </c>
      <c r="J81" s="346"/>
      <c r="K81" s="216" t="s">
        <v>799</v>
      </c>
      <c r="L81" s="216">
        <v>2013</v>
      </c>
    </row>
    <row r="82" spans="1:12" ht="48.75" customHeight="1">
      <c r="A82" s="209"/>
      <c r="B82" s="312"/>
      <c r="C82" s="200"/>
      <c r="D82" s="689">
        <v>6060</v>
      </c>
      <c r="E82" s="690" t="s">
        <v>396</v>
      </c>
      <c r="F82" s="691">
        <v>130000</v>
      </c>
      <c r="G82" s="691"/>
      <c r="H82" s="692"/>
      <c r="I82" s="691">
        <v>130000</v>
      </c>
      <c r="J82" s="691"/>
      <c r="K82" s="678" t="s">
        <v>799</v>
      </c>
      <c r="L82" s="678">
        <v>2013</v>
      </c>
    </row>
    <row r="83" spans="1:12" ht="21.75" customHeight="1">
      <c r="A83" s="385"/>
      <c r="B83" s="219">
        <v>758</v>
      </c>
      <c r="C83" s="251"/>
      <c r="D83" s="220"/>
      <c r="E83" s="252" t="s">
        <v>800</v>
      </c>
      <c r="F83" s="253">
        <f>F84</f>
        <v>22502</v>
      </c>
      <c r="G83" s="253">
        <f aca="true" t="shared" si="0" ref="G83:J84">G84</f>
        <v>0</v>
      </c>
      <c r="H83" s="253"/>
      <c r="I83" s="253">
        <f t="shared" si="0"/>
        <v>22502</v>
      </c>
      <c r="J83" s="253">
        <f t="shared" si="0"/>
        <v>0</v>
      </c>
      <c r="K83" s="216"/>
      <c r="L83" s="216"/>
    </row>
    <row r="84" spans="1:12" ht="22.5" customHeight="1">
      <c r="A84" s="386"/>
      <c r="B84" s="285"/>
      <c r="C84" s="266">
        <v>75818</v>
      </c>
      <c r="D84" s="261"/>
      <c r="E84" s="267" t="s">
        <v>801</v>
      </c>
      <c r="F84" s="268">
        <f>F85</f>
        <v>22502</v>
      </c>
      <c r="G84" s="268">
        <f t="shared" si="0"/>
        <v>0</v>
      </c>
      <c r="H84" s="268"/>
      <c r="I84" s="268">
        <f t="shared" si="0"/>
        <v>22502</v>
      </c>
      <c r="J84" s="268">
        <f t="shared" si="0"/>
        <v>0</v>
      </c>
      <c r="K84" s="229"/>
      <c r="L84" s="229"/>
    </row>
    <row r="85" spans="1:12" ht="32.25" customHeight="1">
      <c r="A85" s="386"/>
      <c r="B85" s="282"/>
      <c r="C85" s="283"/>
      <c r="D85" s="275">
        <v>6800</v>
      </c>
      <c r="E85" s="286" t="s">
        <v>274</v>
      </c>
      <c r="F85" s="687">
        <f>200000-85000-23233+23233+61802-30000-3500-47000-3800-50000-20000</f>
        <v>22502</v>
      </c>
      <c r="G85" s="287"/>
      <c r="H85" s="236"/>
      <c r="I85" s="688">
        <f>200000-85000-23233+23233+61802-30000-3500-47000-3800-50000-20000</f>
        <v>22502</v>
      </c>
      <c r="J85" s="284">
        <f>500000-500000</f>
        <v>0</v>
      </c>
      <c r="K85" s="216"/>
      <c r="L85" s="216"/>
    </row>
    <row r="86" spans="1:12" ht="24.75" customHeight="1">
      <c r="A86" s="288"/>
      <c r="B86" s="219">
        <v>801</v>
      </c>
      <c r="C86" s="283"/>
      <c r="D86" s="275"/>
      <c r="E86" s="263" t="s">
        <v>275</v>
      </c>
      <c r="F86" s="264">
        <f>F87+F97+F110+F113+F116</f>
        <v>9011537</v>
      </c>
      <c r="G86" s="264">
        <f>G87+G97+G110+G113+G116</f>
        <v>143284</v>
      </c>
      <c r="H86" s="264"/>
      <c r="I86" s="264">
        <f>I87+I97+I110+I113+I116</f>
        <v>8842253</v>
      </c>
      <c r="J86" s="264">
        <f>J87+J97+J110+J113+J116</f>
        <v>1021000</v>
      </c>
      <c r="K86" s="216"/>
      <c r="L86" s="216"/>
    </row>
    <row r="87" spans="1:12" ht="28.5" customHeight="1">
      <c r="A87" s="265"/>
      <c r="B87" s="279"/>
      <c r="C87" s="224">
        <v>80101</v>
      </c>
      <c r="D87" s="261"/>
      <c r="E87" s="267" t="s">
        <v>276</v>
      </c>
      <c r="F87" s="268">
        <f>SUM(F88:F96)</f>
        <v>1093648</v>
      </c>
      <c r="G87" s="268">
        <f>SUM(G88:G96)</f>
        <v>0</v>
      </c>
      <c r="H87" s="268"/>
      <c r="I87" s="268">
        <f>SUM(I88:I96)</f>
        <v>1093648</v>
      </c>
      <c r="J87" s="268">
        <f>SUM(J88:J96)</f>
        <v>0</v>
      </c>
      <c r="K87" s="229"/>
      <c r="L87" s="229"/>
    </row>
    <row r="88" spans="1:12" ht="55.5" customHeight="1">
      <c r="A88" s="265">
        <v>53</v>
      </c>
      <c r="B88" s="289"/>
      <c r="C88" s="182"/>
      <c r="D88" s="249">
        <v>6050</v>
      </c>
      <c r="E88" s="245" t="s">
        <v>277</v>
      </c>
      <c r="F88" s="246">
        <f>114000+1450+115450</f>
        <v>230900</v>
      </c>
      <c r="G88" s="246"/>
      <c r="H88" s="236" t="s">
        <v>278</v>
      </c>
      <c r="I88" s="246">
        <f>114000+1450+115450</f>
        <v>230900</v>
      </c>
      <c r="J88" s="284"/>
      <c r="K88" s="290" t="s">
        <v>713</v>
      </c>
      <c r="L88" s="258">
        <v>2013</v>
      </c>
    </row>
    <row r="89" spans="1:12" ht="57" customHeight="1">
      <c r="A89" s="265">
        <v>54</v>
      </c>
      <c r="B89" s="289"/>
      <c r="C89" s="190"/>
      <c r="D89" s="249">
        <v>6050</v>
      </c>
      <c r="E89" s="245" t="s">
        <v>848</v>
      </c>
      <c r="F89" s="246">
        <f>114000+1450+115450-3751</f>
        <v>227149</v>
      </c>
      <c r="G89" s="246"/>
      <c r="H89" s="236" t="s">
        <v>278</v>
      </c>
      <c r="I89" s="246">
        <f>114000+1450+115450-3751</f>
        <v>227149</v>
      </c>
      <c r="J89" s="250"/>
      <c r="K89" s="290" t="s">
        <v>714</v>
      </c>
      <c r="L89" s="258">
        <v>2013</v>
      </c>
    </row>
    <row r="90" spans="1:12" ht="54" customHeight="1">
      <c r="A90" s="265">
        <v>55</v>
      </c>
      <c r="B90" s="289"/>
      <c r="C90" s="190"/>
      <c r="D90" s="249">
        <v>6050</v>
      </c>
      <c r="E90" s="245" t="s">
        <v>855</v>
      </c>
      <c r="F90" s="246">
        <f>114000+1450+115450</f>
        <v>230900</v>
      </c>
      <c r="G90" s="246"/>
      <c r="H90" s="236" t="s">
        <v>278</v>
      </c>
      <c r="I90" s="246">
        <f>114000+1450+115450</f>
        <v>230900</v>
      </c>
      <c r="J90" s="250"/>
      <c r="K90" s="290" t="s">
        <v>714</v>
      </c>
      <c r="L90" s="258">
        <v>2013</v>
      </c>
    </row>
    <row r="91" spans="1:12" ht="57" customHeight="1">
      <c r="A91" s="265">
        <v>56</v>
      </c>
      <c r="B91" s="289"/>
      <c r="C91" s="190"/>
      <c r="D91" s="249">
        <v>6050</v>
      </c>
      <c r="E91" s="245" t="s">
        <v>856</v>
      </c>
      <c r="F91" s="246">
        <f>114000+1450+115450</f>
        <v>230900</v>
      </c>
      <c r="G91" s="246"/>
      <c r="H91" s="236" t="s">
        <v>278</v>
      </c>
      <c r="I91" s="246">
        <f>114000+1450+115450</f>
        <v>230900</v>
      </c>
      <c r="J91" s="250"/>
      <c r="K91" s="290" t="s">
        <v>715</v>
      </c>
      <c r="L91" s="258">
        <v>2013</v>
      </c>
    </row>
    <row r="92" spans="1:12" ht="44.25" customHeight="1">
      <c r="A92" s="265">
        <v>57</v>
      </c>
      <c r="B92" s="289"/>
      <c r="C92" s="190"/>
      <c r="D92" s="249">
        <v>6050</v>
      </c>
      <c r="E92" s="245" t="s">
        <v>279</v>
      </c>
      <c r="F92" s="246">
        <f>60000-23233</f>
        <v>36767</v>
      </c>
      <c r="G92" s="246"/>
      <c r="H92" s="242" t="s">
        <v>280</v>
      </c>
      <c r="I92" s="246">
        <f>60000-23233</f>
        <v>36767</v>
      </c>
      <c r="J92" s="250"/>
      <c r="K92" s="290" t="s">
        <v>217</v>
      </c>
      <c r="L92" s="258">
        <v>2013</v>
      </c>
    </row>
    <row r="93" spans="1:12" ht="44.25" customHeight="1">
      <c r="A93" s="265">
        <v>58</v>
      </c>
      <c r="B93" s="289"/>
      <c r="C93" s="190"/>
      <c r="D93" s="249">
        <v>6050</v>
      </c>
      <c r="E93" s="245" t="s">
        <v>587</v>
      </c>
      <c r="F93" s="246">
        <f>60000+10000</f>
        <v>70000</v>
      </c>
      <c r="G93" s="246"/>
      <c r="H93" s="242" t="s">
        <v>588</v>
      </c>
      <c r="I93" s="246">
        <f>60000+10000</f>
        <v>70000</v>
      </c>
      <c r="J93" s="250"/>
      <c r="K93" s="290" t="s">
        <v>308</v>
      </c>
      <c r="L93" s="258">
        <v>2013</v>
      </c>
    </row>
    <row r="94" spans="1:12" ht="44.25" customHeight="1">
      <c r="A94" s="265">
        <v>59</v>
      </c>
      <c r="B94" s="289"/>
      <c r="C94" s="190"/>
      <c r="D94" s="249">
        <v>6050</v>
      </c>
      <c r="E94" s="245" t="s">
        <v>707</v>
      </c>
      <c r="F94" s="246">
        <v>11032</v>
      </c>
      <c r="G94" s="246"/>
      <c r="H94" s="242" t="s">
        <v>357</v>
      </c>
      <c r="I94" s="246">
        <v>11032</v>
      </c>
      <c r="J94" s="250"/>
      <c r="K94" s="290" t="s">
        <v>713</v>
      </c>
      <c r="L94" s="258">
        <v>2013</v>
      </c>
    </row>
    <row r="95" spans="1:12" ht="52.5" customHeight="1">
      <c r="A95" s="265">
        <v>60</v>
      </c>
      <c r="B95" s="289"/>
      <c r="C95" s="190"/>
      <c r="D95" s="249">
        <v>6060</v>
      </c>
      <c r="E95" s="245" t="s">
        <v>802</v>
      </c>
      <c r="F95" s="246">
        <v>51000</v>
      </c>
      <c r="G95" s="246"/>
      <c r="H95" s="242" t="s">
        <v>182</v>
      </c>
      <c r="I95" s="246">
        <v>51000</v>
      </c>
      <c r="J95" s="250"/>
      <c r="K95" s="290" t="s">
        <v>803</v>
      </c>
      <c r="L95" s="258">
        <v>2013</v>
      </c>
    </row>
    <row r="96" spans="1:12" ht="39.75" customHeight="1">
      <c r="A96" s="265">
        <v>61</v>
      </c>
      <c r="B96" s="289"/>
      <c r="C96" s="190"/>
      <c r="D96" s="249">
        <v>6060</v>
      </c>
      <c r="E96" s="245" t="s">
        <v>91</v>
      </c>
      <c r="F96" s="246">
        <f>4000+1000</f>
        <v>5000</v>
      </c>
      <c r="G96" s="246"/>
      <c r="H96" s="242" t="s">
        <v>829</v>
      </c>
      <c r="I96" s="246">
        <f>4000+1000</f>
        <v>5000</v>
      </c>
      <c r="J96" s="250"/>
      <c r="K96" s="290" t="s">
        <v>92</v>
      </c>
      <c r="L96" s="258">
        <v>2013</v>
      </c>
    </row>
    <row r="97" spans="1:12" ht="25.5" customHeight="1">
      <c r="A97" s="265"/>
      <c r="B97" s="291"/>
      <c r="C97" s="260">
        <v>80104</v>
      </c>
      <c r="D97" s="226"/>
      <c r="E97" s="227" t="s">
        <v>282</v>
      </c>
      <c r="F97" s="228">
        <f>SUM(F98:F109)</f>
        <v>1297539</v>
      </c>
      <c r="G97" s="228">
        <f>SUM(G98:G109)</f>
        <v>130000</v>
      </c>
      <c r="H97" s="228"/>
      <c r="I97" s="228">
        <f>SUM(I98:I109)</f>
        <v>1141539</v>
      </c>
      <c r="J97" s="228">
        <f>SUM(J98:J109)</f>
        <v>180000</v>
      </c>
      <c r="K97" s="229"/>
      <c r="L97" s="229"/>
    </row>
    <row r="98" spans="1:12" ht="35.25" customHeight="1">
      <c r="A98" s="265">
        <v>62</v>
      </c>
      <c r="B98" s="291"/>
      <c r="C98" s="259"/>
      <c r="D98" s="249">
        <v>6050</v>
      </c>
      <c r="E98" s="245" t="s">
        <v>284</v>
      </c>
      <c r="F98" s="246">
        <f>660000+9041+9000+20000+40400-2941</f>
        <v>735500</v>
      </c>
      <c r="G98" s="246">
        <v>130000</v>
      </c>
      <c r="H98" s="292" t="s">
        <v>285</v>
      </c>
      <c r="I98" s="246">
        <f>530000+9041+9000+20000+40400-2941</f>
        <v>605500</v>
      </c>
      <c r="J98" s="246">
        <v>0</v>
      </c>
      <c r="K98" s="216" t="s">
        <v>217</v>
      </c>
      <c r="L98" s="216" t="s">
        <v>218</v>
      </c>
    </row>
    <row r="99" spans="1:12" ht="32.25" customHeight="1">
      <c r="A99" s="265">
        <v>63</v>
      </c>
      <c r="B99" s="289"/>
      <c r="C99" s="190"/>
      <c r="D99" s="249">
        <v>6050</v>
      </c>
      <c r="E99" s="245" t="s">
        <v>286</v>
      </c>
      <c r="F99" s="246">
        <v>50000</v>
      </c>
      <c r="G99" s="246">
        <v>0</v>
      </c>
      <c r="H99" s="242" t="s">
        <v>287</v>
      </c>
      <c r="I99" s="241">
        <v>50000</v>
      </c>
      <c r="J99" s="250">
        <v>0</v>
      </c>
      <c r="K99" s="216" t="s">
        <v>288</v>
      </c>
      <c r="L99" s="216">
        <v>2013</v>
      </c>
    </row>
    <row r="100" spans="1:12" ht="40.5" customHeight="1">
      <c r="A100" s="265">
        <v>64</v>
      </c>
      <c r="B100" s="289"/>
      <c r="C100" s="190"/>
      <c r="D100" s="249">
        <v>6050</v>
      </c>
      <c r="E100" s="245" t="s">
        <v>214</v>
      </c>
      <c r="F100" s="246">
        <f>11500-500</f>
        <v>11000</v>
      </c>
      <c r="G100" s="246">
        <v>0</v>
      </c>
      <c r="H100" s="242" t="s">
        <v>215</v>
      </c>
      <c r="I100" s="241">
        <f>11500-500</f>
        <v>11000</v>
      </c>
      <c r="J100" s="250">
        <v>0</v>
      </c>
      <c r="K100" s="216" t="s">
        <v>292</v>
      </c>
      <c r="L100" s="216">
        <v>2013</v>
      </c>
    </row>
    <row r="101" spans="1:12" ht="34.5" customHeight="1">
      <c r="A101" s="265">
        <v>65</v>
      </c>
      <c r="B101" s="289"/>
      <c r="C101" s="190"/>
      <c r="D101" s="249">
        <v>6050</v>
      </c>
      <c r="E101" s="245" t="s">
        <v>293</v>
      </c>
      <c r="F101" s="246">
        <v>11500</v>
      </c>
      <c r="G101" s="246">
        <v>0</v>
      </c>
      <c r="H101" s="242" t="s">
        <v>291</v>
      </c>
      <c r="I101" s="241">
        <v>11500</v>
      </c>
      <c r="J101" s="250">
        <v>0</v>
      </c>
      <c r="K101" s="216" t="s">
        <v>288</v>
      </c>
      <c r="L101" s="216">
        <v>2013</v>
      </c>
    </row>
    <row r="102" spans="1:12" ht="34.5" customHeight="1">
      <c r="A102" s="265">
        <v>66</v>
      </c>
      <c r="B102" s="289"/>
      <c r="C102" s="190"/>
      <c r="D102" s="249">
        <v>6050</v>
      </c>
      <c r="E102" s="234" t="s">
        <v>294</v>
      </c>
      <c r="F102" s="246">
        <v>180000</v>
      </c>
      <c r="G102" s="246"/>
      <c r="H102" s="242" t="s">
        <v>295</v>
      </c>
      <c r="I102" s="241">
        <v>180000</v>
      </c>
      <c r="J102" s="250">
        <v>180000</v>
      </c>
      <c r="K102" s="216" t="s">
        <v>296</v>
      </c>
      <c r="L102" s="216">
        <v>2013</v>
      </c>
    </row>
    <row r="103" spans="1:12" ht="34.5" customHeight="1">
      <c r="A103" s="265">
        <v>67</v>
      </c>
      <c r="B103" s="289"/>
      <c r="C103" s="190"/>
      <c r="D103" s="249">
        <v>6050</v>
      </c>
      <c r="E103" s="245" t="s">
        <v>297</v>
      </c>
      <c r="F103" s="679">
        <f>4674+185326-40400+26000</f>
        <v>175600</v>
      </c>
      <c r="G103" s="246"/>
      <c r="H103" s="242" t="s">
        <v>298</v>
      </c>
      <c r="I103" s="246">
        <f>185326+4674-40400</f>
        <v>149600</v>
      </c>
      <c r="J103" s="250"/>
      <c r="K103" s="216" t="s">
        <v>217</v>
      </c>
      <c r="L103" s="678" t="s">
        <v>686</v>
      </c>
    </row>
    <row r="104" spans="1:12" ht="44.25" customHeight="1">
      <c r="A104" s="265">
        <v>68</v>
      </c>
      <c r="B104" s="289"/>
      <c r="C104" s="190"/>
      <c r="D104" s="249">
        <v>6050</v>
      </c>
      <c r="E104" s="245" t="s">
        <v>833</v>
      </c>
      <c r="F104" s="246">
        <v>42000</v>
      </c>
      <c r="G104" s="246"/>
      <c r="H104" s="242" t="s">
        <v>183</v>
      </c>
      <c r="I104" s="246">
        <v>42000</v>
      </c>
      <c r="J104" s="250"/>
      <c r="K104" s="216" t="s">
        <v>320</v>
      </c>
      <c r="L104" s="216">
        <v>2013</v>
      </c>
    </row>
    <row r="105" spans="1:12" ht="41.25" customHeight="1">
      <c r="A105" s="265">
        <v>69</v>
      </c>
      <c r="B105" s="289"/>
      <c r="C105" s="190"/>
      <c r="D105" s="249">
        <v>6050</v>
      </c>
      <c r="E105" s="245" t="s">
        <v>834</v>
      </c>
      <c r="F105" s="246">
        <f>12000+4500</f>
        <v>16500</v>
      </c>
      <c r="G105" s="246"/>
      <c r="H105" s="242" t="s">
        <v>184</v>
      </c>
      <c r="I105" s="246">
        <f>12000+4500</f>
        <v>16500</v>
      </c>
      <c r="J105" s="250"/>
      <c r="K105" s="216" t="s">
        <v>320</v>
      </c>
      <c r="L105" s="216">
        <v>2013</v>
      </c>
    </row>
    <row r="106" spans="1:12" ht="41.25" customHeight="1">
      <c r="A106" s="265">
        <v>70</v>
      </c>
      <c r="B106" s="289"/>
      <c r="C106" s="190"/>
      <c r="D106" s="249">
        <v>6060</v>
      </c>
      <c r="E106" s="245" t="s">
        <v>851</v>
      </c>
      <c r="F106" s="246">
        <f>12500-229</f>
        <v>12271</v>
      </c>
      <c r="G106" s="246"/>
      <c r="H106" s="242" t="s">
        <v>853</v>
      </c>
      <c r="I106" s="246">
        <f>12500-229</f>
        <v>12271</v>
      </c>
      <c r="J106" s="250"/>
      <c r="K106" s="216" t="s">
        <v>852</v>
      </c>
      <c r="L106" s="216">
        <v>2013</v>
      </c>
    </row>
    <row r="107" spans="1:12" ht="41.25" customHeight="1">
      <c r="A107" s="265">
        <v>71</v>
      </c>
      <c r="B107" s="289"/>
      <c r="C107" s="190"/>
      <c r="D107" s="249">
        <v>6060</v>
      </c>
      <c r="E107" s="245" t="s">
        <v>131</v>
      </c>
      <c r="F107" s="654">
        <v>13068</v>
      </c>
      <c r="G107" s="246"/>
      <c r="H107" s="242"/>
      <c r="I107" s="654">
        <v>13068</v>
      </c>
      <c r="J107" s="250"/>
      <c r="K107" s="216" t="s">
        <v>320</v>
      </c>
      <c r="L107" s="216">
        <v>2013</v>
      </c>
    </row>
    <row r="108" spans="1:12" ht="64.5" customHeight="1">
      <c r="A108" s="265"/>
      <c r="B108" s="289"/>
      <c r="C108" s="190"/>
      <c r="D108" s="697">
        <v>6060</v>
      </c>
      <c r="E108" s="698" t="s">
        <v>559</v>
      </c>
      <c r="F108" s="699">
        <v>44600</v>
      </c>
      <c r="G108" s="679"/>
      <c r="H108" s="677"/>
      <c r="I108" s="699">
        <v>44600</v>
      </c>
      <c r="J108" s="694"/>
      <c r="K108" s="678"/>
      <c r="L108" s="678"/>
    </row>
    <row r="109" spans="1:12" ht="34.5" customHeight="1">
      <c r="A109" s="265">
        <v>72</v>
      </c>
      <c r="B109" s="289"/>
      <c r="C109" s="190"/>
      <c r="D109" s="249">
        <v>6060</v>
      </c>
      <c r="E109" s="245" t="s">
        <v>299</v>
      </c>
      <c r="F109" s="246">
        <v>5500</v>
      </c>
      <c r="G109" s="246">
        <v>0</v>
      </c>
      <c r="H109" s="242" t="s">
        <v>300</v>
      </c>
      <c r="I109" s="241">
        <v>5500</v>
      </c>
      <c r="J109" s="250">
        <v>0</v>
      </c>
      <c r="K109" s="216" t="s">
        <v>301</v>
      </c>
      <c r="L109" s="216">
        <v>2013</v>
      </c>
    </row>
    <row r="110" spans="1:12" ht="27" customHeight="1">
      <c r="A110" s="265"/>
      <c r="B110" s="289"/>
      <c r="C110" s="260">
        <v>80110</v>
      </c>
      <c r="D110" s="226"/>
      <c r="E110" s="227" t="s">
        <v>302</v>
      </c>
      <c r="F110" s="228">
        <f>SUM(F111+F112)</f>
        <v>61000</v>
      </c>
      <c r="G110" s="228">
        <f>SUM(G111+G112)</f>
        <v>0</v>
      </c>
      <c r="H110" s="228"/>
      <c r="I110" s="228">
        <f>SUM(I111+I112)</f>
        <v>61000</v>
      </c>
      <c r="J110" s="228">
        <f>SUM(J111+J112)</f>
        <v>0</v>
      </c>
      <c r="K110" s="229"/>
      <c r="L110" s="229"/>
    </row>
    <row r="111" spans="1:12" s="658" customFormat="1" ht="34.5" customHeight="1">
      <c r="A111" s="265">
        <v>73</v>
      </c>
      <c r="B111" s="289"/>
      <c r="C111" s="190"/>
      <c r="D111" s="293">
        <v>6050</v>
      </c>
      <c r="E111" s="245" t="s">
        <v>804</v>
      </c>
      <c r="F111" s="246">
        <f>70000-15000</f>
        <v>55000</v>
      </c>
      <c r="G111" s="246"/>
      <c r="H111" s="246" t="s">
        <v>185</v>
      </c>
      <c r="I111" s="246">
        <f>70000-15000</f>
        <v>55000</v>
      </c>
      <c r="J111" s="246"/>
      <c r="K111" s="216" t="s">
        <v>217</v>
      </c>
      <c r="L111" s="216">
        <v>2013</v>
      </c>
    </row>
    <row r="112" spans="1:12" ht="34.5" customHeight="1">
      <c r="A112" s="265">
        <v>74</v>
      </c>
      <c r="B112" s="289"/>
      <c r="C112" s="190"/>
      <c r="D112" s="293">
        <v>6060</v>
      </c>
      <c r="E112" s="245" t="s">
        <v>303</v>
      </c>
      <c r="F112" s="246">
        <v>6000</v>
      </c>
      <c r="G112" s="246">
        <v>0</v>
      </c>
      <c r="H112" s="242" t="s">
        <v>281</v>
      </c>
      <c r="I112" s="241">
        <v>6000</v>
      </c>
      <c r="J112" s="250">
        <v>0</v>
      </c>
      <c r="K112" s="216" t="s">
        <v>304</v>
      </c>
      <c r="L112" s="216">
        <v>2013</v>
      </c>
    </row>
    <row r="113" spans="1:12" ht="27" customHeight="1">
      <c r="A113" s="265"/>
      <c r="B113" s="220"/>
      <c r="C113" s="260">
        <v>80148</v>
      </c>
      <c r="D113" s="226"/>
      <c r="E113" s="227" t="s">
        <v>305</v>
      </c>
      <c r="F113" s="246">
        <f>F114+F115</f>
        <v>12150</v>
      </c>
      <c r="G113" s="246">
        <f>G114+G115</f>
        <v>0</v>
      </c>
      <c r="H113" s="246"/>
      <c r="I113" s="246">
        <f>I114+I115</f>
        <v>12150</v>
      </c>
      <c r="J113" s="246">
        <f>J114+J115</f>
        <v>0</v>
      </c>
      <c r="K113" s="216"/>
      <c r="L113" s="216"/>
    </row>
    <row r="114" spans="1:12" ht="39.75" customHeight="1">
      <c r="A114" s="265">
        <v>75</v>
      </c>
      <c r="B114" s="289"/>
      <c r="C114" s="190"/>
      <c r="D114" s="249">
        <v>6060</v>
      </c>
      <c r="E114" s="245" t="s">
        <v>708</v>
      </c>
      <c r="F114" s="246">
        <v>5650</v>
      </c>
      <c r="G114" s="246"/>
      <c r="H114" s="242" t="s">
        <v>347</v>
      </c>
      <c r="I114" s="246">
        <v>5650</v>
      </c>
      <c r="J114" s="250"/>
      <c r="K114" s="290" t="s">
        <v>580</v>
      </c>
      <c r="L114" s="258">
        <v>2013</v>
      </c>
    </row>
    <row r="115" spans="1:12" ht="27.75" customHeight="1">
      <c r="A115" s="265">
        <v>76</v>
      </c>
      <c r="B115" s="289"/>
      <c r="C115" s="190"/>
      <c r="D115" s="249">
        <v>6060</v>
      </c>
      <c r="E115" s="245" t="s">
        <v>306</v>
      </c>
      <c r="F115" s="246">
        <v>6500</v>
      </c>
      <c r="G115" s="246"/>
      <c r="H115" s="245" t="s">
        <v>307</v>
      </c>
      <c r="I115" s="246">
        <v>6500</v>
      </c>
      <c r="J115" s="250"/>
      <c r="K115" s="290" t="s">
        <v>308</v>
      </c>
      <c r="L115" s="258">
        <v>2013</v>
      </c>
    </row>
    <row r="116" spans="1:12" ht="23.25" customHeight="1">
      <c r="A116" s="265"/>
      <c r="B116" s="289"/>
      <c r="C116" s="260">
        <v>80195</v>
      </c>
      <c r="D116" s="226"/>
      <c r="E116" s="227" t="s">
        <v>254</v>
      </c>
      <c r="F116" s="228">
        <f>SUM(F117)</f>
        <v>6547200</v>
      </c>
      <c r="G116" s="228">
        <f>SUM(G117:G117)</f>
        <v>13284</v>
      </c>
      <c r="H116" s="294"/>
      <c r="I116" s="228">
        <f>SUM(I117)</f>
        <v>6533916</v>
      </c>
      <c r="J116" s="228">
        <f>SUM(J117:J117)</f>
        <v>841000</v>
      </c>
      <c r="K116" s="216"/>
      <c r="L116" s="216"/>
    </row>
    <row r="117" spans="1:12" ht="33.75" customHeight="1">
      <c r="A117" s="265">
        <v>77</v>
      </c>
      <c r="B117" s="289"/>
      <c r="C117" s="190"/>
      <c r="D117" s="293">
        <v>6050</v>
      </c>
      <c r="E117" s="234" t="s">
        <v>309</v>
      </c>
      <c r="F117" s="246">
        <f>5676200+13000+828000+30000</f>
        <v>6547200</v>
      </c>
      <c r="G117" s="246">
        <f>5034600-5021316</f>
        <v>13284</v>
      </c>
      <c r="H117" s="236" t="s">
        <v>310</v>
      </c>
      <c r="I117" s="250">
        <f>641600+5021316+13000+828000+30000</f>
        <v>6533916</v>
      </c>
      <c r="J117" s="250">
        <f>828000+13000</f>
        <v>841000</v>
      </c>
      <c r="K117" s="216" t="s">
        <v>217</v>
      </c>
      <c r="L117" s="216" t="s">
        <v>218</v>
      </c>
    </row>
    <row r="118" spans="1:12" s="299" customFormat="1" ht="24.75" customHeight="1">
      <c r="A118" s="276"/>
      <c r="B118" s="220">
        <v>851</v>
      </c>
      <c r="C118" s="219"/>
      <c r="D118" s="295"/>
      <c r="E118" s="296" t="s">
        <v>311</v>
      </c>
      <c r="F118" s="253">
        <f>F119+F122</f>
        <v>206099</v>
      </c>
      <c r="G118" s="253">
        <f>G119+G122</f>
        <v>0</v>
      </c>
      <c r="H118" s="253"/>
      <c r="I118" s="253">
        <f>I119+I122</f>
        <v>206099</v>
      </c>
      <c r="J118" s="253">
        <f>J119+J122</f>
        <v>0</v>
      </c>
      <c r="K118" s="298"/>
      <c r="L118" s="298"/>
    </row>
    <row r="119" spans="1:12" s="658" customFormat="1" ht="24.75" customHeight="1">
      <c r="A119" s="265"/>
      <c r="B119" s="312"/>
      <c r="C119" s="182">
        <v>85111</v>
      </c>
      <c r="D119" s="247"/>
      <c r="E119" s="234" t="s">
        <v>805</v>
      </c>
      <c r="F119" s="246">
        <f>F120+F121</f>
        <v>200000</v>
      </c>
      <c r="G119" s="246">
        <f>G120</f>
        <v>0</v>
      </c>
      <c r="H119" s="246"/>
      <c r="I119" s="246">
        <f>I120+I121</f>
        <v>200000</v>
      </c>
      <c r="J119" s="246">
        <f>J120</f>
        <v>0</v>
      </c>
      <c r="K119" s="216"/>
      <c r="L119" s="216"/>
    </row>
    <row r="120" spans="1:12" s="658" customFormat="1" ht="68.25" customHeight="1">
      <c r="A120" s="265">
        <v>78</v>
      </c>
      <c r="B120" s="312"/>
      <c r="C120" s="182"/>
      <c r="D120" s="248">
        <v>6220</v>
      </c>
      <c r="E120" s="234" t="s">
        <v>822</v>
      </c>
      <c r="F120" s="246">
        <v>100000</v>
      </c>
      <c r="G120" s="246"/>
      <c r="H120" s="242" t="s">
        <v>186</v>
      </c>
      <c r="I120" s="246">
        <v>100000</v>
      </c>
      <c r="J120" s="250"/>
      <c r="K120" s="216" t="s">
        <v>806</v>
      </c>
      <c r="L120" s="216">
        <v>2013</v>
      </c>
    </row>
    <row r="121" spans="1:12" s="658" customFormat="1" ht="75" customHeight="1">
      <c r="A121" s="265"/>
      <c r="B121" s="312"/>
      <c r="C121" s="200"/>
      <c r="D121" s="695">
        <v>6220</v>
      </c>
      <c r="E121" s="693" t="s">
        <v>443</v>
      </c>
      <c r="F121" s="679">
        <v>100000</v>
      </c>
      <c r="G121" s="679"/>
      <c r="H121" s="677"/>
      <c r="I121" s="679">
        <v>100000</v>
      </c>
      <c r="J121" s="694"/>
      <c r="K121" s="678" t="s">
        <v>806</v>
      </c>
      <c r="L121" s="678">
        <v>2013</v>
      </c>
    </row>
    <row r="122" spans="1:12" ht="29.25" customHeight="1">
      <c r="A122" s="265"/>
      <c r="B122" s="289"/>
      <c r="C122" s="200">
        <v>85158</v>
      </c>
      <c r="D122" s="247"/>
      <c r="E122" s="300" t="s">
        <v>312</v>
      </c>
      <c r="F122" s="246">
        <f>F123</f>
        <v>6099</v>
      </c>
      <c r="G122" s="246"/>
      <c r="H122" s="242"/>
      <c r="I122" s="246">
        <f>I123</f>
        <v>6099</v>
      </c>
      <c r="J122" s="250"/>
      <c r="K122" s="216"/>
      <c r="L122" s="216"/>
    </row>
    <row r="123" spans="1:12" ht="29.25" customHeight="1">
      <c r="A123" s="209">
        <v>79</v>
      </c>
      <c r="B123" s="289"/>
      <c r="C123" s="190"/>
      <c r="D123" s="293">
        <v>6060</v>
      </c>
      <c r="E123" s="245" t="s">
        <v>313</v>
      </c>
      <c r="F123" s="246">
        <f>20000-13901</f>
        <v>6099</v>
      </c>
      <c r="G123" s="246"/>
      <c r="H123" s="242" t="s">
        <v>314</v>
      </c>
      <c r="I123" s="250">
        <f>20000-13901</f>
        <v>6099</v>
      </c>
      <c r="J123" s="250"/>
      <c r="K123" s="216" t="s">
        <v>315</v>
      </c>
      <c r="L123" s="216">
        <v>2013</v>
      </c>
    </row>
    <row r="124" spans="1:12" ht="29.25" customHeight="1">
      <c r="A124" s="265"/>
      <c r="B124" s="220">
        <v>852</v>
      </c>
      <c r="C124" s="247"/>
      <c r="D124" s="313"/>
      <c r="E124" s="245" t="s">
        <v>679</v>
      </c>
      <c r="F124" s="253">
        <f>F125</f>
        <v>8500</v>
      </c>
      <c r="G124" s="253"/>
      <c r="H124" s="297"/>
      <c r="I124" s="253">
        <f>I125</f>
        <v>8500</v>
      </c>
      <c r="J124" s="696"/>
      <c r="K124" s="298"/>
      <c r="L124" s="298"/>
    </row>
    <row r="125" spans="1:12" ht="29.25" customHeight="1">
      <c r="A125" s="288"/>
      <c r="B125" s="289"/>
      <c r="C125" s="247">
        <v>85219</v>
      </c>
      <c r="D125" s="248"/>
      <c r="E125" s="245" t="s">
        <v>439</v>
      </c>
      <c r="F125" s="246">
        <f>F126</f>
        <v>8500</v>
      </c>
      <c r="G125" s="246"/>
      <c r="H125" s="242"/>
      <c r="I125" s="246">
        <f>I126</f>
        <v>8500</v>
      </c>
      <c r="J125" s="250"/>
      <c r="K125" s="216"/>
      <c r="L125" s="216"/>
    </row>
    <row r="126" spans="1:12" ht="29.25" customHeight="1">
      <c r="A126" s="265"/>
      <c r="B126" s="289"/>
      <c r="C126" s="190"/>
      <c r="D126" s="987">
        <v>6060</v>
      </c>
      <c r="E126" s="698" t="s">
        <v>438</v>
      </c>
      <c r="F126" s="679">
        <v>8500</v>
      </c>
      <c r="G126" s="679"/>
      <c r="H126" s="677"/>
      <c r="I126" s="694">
        <v>8500</v>
      </c>
      <c r="J126" s="694"/>
      <c r="K126" s="678" t="s">
        <v>397</v>
      </c>
      <c r="L126" s="678">
        <v>2013</v>
      </c>
    </row>
    <row r="127" spans="1:12" ht="31.5" customHeight="1">
      <c r="A127" s="265"/>
      <c r="B127" s="219">
        <v>853</v>
      </c>
      <c r="C127" s="247"/>
      <c r="D127" s="293"/>
      <c r="E127" s="297" t="s">
        <v>316</v>
      </c>
      <c r="F127" s="253">
        <f>F128+F130</f>
        <v>3514741.4799999995</v>
      </c>
      <c r="G127" s="253">
        <f>G128+G130</f>
        <v>3163369.92</v>
      </c>
      <c r="H127" s="253"/>
      <c r="I127" s="253">
        <f>I128+I130</f>
        <v>1951371.56</v>
      </c>
      <c r="J127" s="253">
        <f>J128+J130</f>
        <v>0</v>
      </c>
      <c r="K127" s="298"/>
      <c r="L127" s="298"/>
    </row>
    <row r="128" spans="1:12" s="349" customFormat="1" ht="31.5" customHeight="1">
      <c r="A128" s="472"/>
      <c r="B128" s="260"/>
      <c r="C128" s="260">
        <v>85305</v>
      </c>
      <c r="D128" s="301"/>
      <c r="E128" s="227" t="s">
        <v>231</v>
      </c>
      <c r="F128" s="228">
        <f>F129</f>
        <v>20000</v>
      </c>
      <c r="G128" s="228">
        <f>G129</f>
        <v>0</v>
      </c>
      <c r="H128" s="228"/>
      <c r="I128" s="228">
        <f>I129</f>
        <v>20000</v>
      </c>
      <c r="J128" s="228">
        <f>J129</f>
        <v>0</v>
      </c>
      <c r="K128" s="229"/>
      <c r="L128" s="229"/>
    </row>
    <row r="129" spans="1:12" ht="48" customHeight="1">
      <c r="A129" s="265">
        <v>80</v>
      </c>
      <c r="B129" s="219"/>
      <c r="C129" s="247"/>
      <c r="D129" s="293">
        <v>6050</v>
      </c>
      <c r="E129" s="242" t="s">
        <v>229</v>
      </c>
      <c r="F129" s="246">
        <v>20000</v>
      </c>
      <c r="G129" s="246"/>
      <c r="H129" s="246" t="s">
        <v>230</v>
      </c>
      <c r="I129" s="246">
        <v>20000</v>
      </c>
      <c r="J129" s="246"/>
      <c r="K129" s="216"/>
      <c r="L129" s="216"/>
    </row>
    <row r="130" spans="1:12" ht="27" customHeight="1">
      <c r="A130" s="265"/>
      <c r="B130" s="219"/>
      <c r="C130" s="260">
        <v>85395</v>
      </c>
      <c r="D130" s="301"/>
      <c r="E130" s="227" t="s">
        <v>317</v>
      </c>
      <c r="F130" s="228">
        <f>SUM(F131:F141)</f>
        <v>3494741.4799999995</v>
      </c>
      <c r="G130" s="228">
        <f>SUM(G131:G141)</f>
        <v>3163369.92</v>
      </c>
      <c r="H130" s="228"/>
      <c r="I130" s="228">
        <f>SUM(I131:I141)</f>
        <v>1931371.56</v>
      </c>
      <c r="J130" s="228">
        <f>SUM(J131:J141)</f>
        <v>0</v>
      </c>
      <c r="K130" s="229"/>
      <c r="L130" s="229"/>
    </row>
    <row r="131" spans="1:14" s="658" customFormat="1" ht="40.5" customHeight="1">
      <c r="A131" s="265">
        <v>81</v>
      </c>
      <c r="B131" s="219"/>
      <c r="C131" s="256"/>
      <c r="D131" s="293">
        <v>6057</v>
      </c>
      <c r="E131" s="245" t="s">
        <v>834</v>
      </c>
      <c r="F131" s="246">
        <v>13000</v>
      </c>
      <c r="G131" s="246"/>
      <c r="H131" s="242" t="s">
        <v>184</v>
      </c>
      <c r="I131" s="246">
        <v>13000</v>
      </c>
      <c r="J131" s="246"/>
      <c r="K131" s="216" t="s">
        <v>320</v>
      </c>
      <c r="L131" s="216">
        <v>2013</v>
      </c>
      <c r="N131" s="659"/>
    </row>
    <row r="132" spans="1:12" ht="38.25" customHeight="1">
      <c r="A132" s="265">
        <v>82</v>
      </c>
      <c r="B132" s="219"/>
      <c r="C132" s="224"/>
      <c r="D132" s="293">
        <v>6067</v>
      </c>
      <c r="E132" s="302" t="s">
        <v>318</v>
      </c>
      <c r="F132" s="304">
        <f>18000-1000</f>
        <v>17000</v>
      </c>
      <c r="G132" s="228"/>
      <c r="H132" s="303" t="s">
        <v>319</v>
      </c>
      <c r="I132" s="304">
        <f>18000-1000</f>
        <v>17000</v>
      </c>
      <c r="J132" s="228"/>
      <c r="K132" s="216" t="s">
        <v>320</v>
      </c>
      <c r="L132" s="216">
        <v>2013</v>
      </c>
    </row>
    <row r="133" spans="1:12" ht="40.5" customHeight="1">
      <c r="A133" s="265">
        <v>83</v>
      </c>
      <c r="B133" s="219"/>
      <c r="C133" s="224"/>
      <c r="D133" s="293">
        <v>6067</v>
      </c>
      <c r="E133" s="302" t="s">
        <v>321</v>
      </c>
      <c r="F133" s="304">
        <f>16000-6000+4000</f>
        <v>14000</v>
      </c>
      <c r="G133" s="228"/>
      <c r="H133" s="303" t="s">
        <v>322</v>
      </c>
      <c r="I133" s="304">
        <f>16000-6000+4000</f>
        <v>14000</v>
      </c>
      <c r="J133" s="228"/>
      <c r="K133" s="216" t="s">
        <v>320</v>
      </c>
      <c r="L133" s="216">
        <v>2013</v>
      </c>
    </row>
    <row r="134" spans="1:12" ht="30.75" customHeight="1">
      <c r="A134" s="209">
        <v>84</v>
      </c>
      <c r="B134" s="305"/>
      <c r="C134" s="224"/>
      <c r="D134" s="293">
        <v>6067</v>
      </c>
      <c r="E134" s="302" t="s">
        <v>857</v>
      </c>
      <c r="F134" s="304">
        <v>6300</v>
      </c>
      <c r="G134" s="228"/>
      <c r="H134" s="303" t="s">
        <v>843</v>
      </c>
      <c r="I134" s="304">
        <v>6300</v>
      </c>
      <c r="J134" s="228"/>
      <c r="K134" s="216" t="s">
        <v>860</v>
      </c>
      <c r="L134" s="216">
        <v>2013</v>
      </c>
    </row>
    <row r="135" spans="1:12" ht="31.5" customHeight="1">
      <c r="A135" s="209">
        <v>85</v>
      </c>
      <c r="B135" s="305"/>
      <c r="C135" s="224"/>
      <c r="D135" s="293">
        <v>6067</v>
      </c>
      <c r="E135" s="302" t="s">
        <v>858</v>
      </c>
      <c r="F135" s="304">
        <v>3500</v>
      </c>
      <c r="G135" s="228"/>
      <c r="H135" s="303" t="s">
        <v>859</v>
      </c>
      <c r="I135" s="304">
        <v>3500</v>
      </c>
      <c r="J135" s="228"/>
      <c r="K135" s="216" t="s">
        <v>860</v>
      </c>
      <c r="L135" s="216">
        <v>2013</v>
      </c>
    </row>
    <row r="136" spans="1:12" ht="31.5" customHeight="1">
      <c r="A136" s="209">
        <v>86</v>
      </c>
      <c r="B136" s="305"/>
      <c r="C136" s="224"/>
      <c r="D136" s="293">
        <v>6067</v>
      </c>
      <c r="E136" s="302" t="s">
        <v>189</v>
      </c>
      <c r="F136" s="304">
        <v>3500</v>
      </c>
      <c r="G136" s="228"/>
      <c r="H136" s="303" t="s">
        <v>191</v>
      </c>
      <c r="I136" s="304">
        <v>3500</v>
      </c>
      <c r="J136" s="228"/>
      <c r="K136" s="216" t="s">
        <v>296</v>
      </c>
      <c r="L136" s="216">
        <v>2013</v>
      </c>
    </row>
    <row r="137" spans="1:12" ht="31.5" customHeight="1">
      <c r="A137" s="209">
        <v>87</v>
      </c>
      <c r="B137" s="305"/>
      <c r="C137" s="224"/>
      <c r="D137" s="293">
        <v>6067</v>
      </c>
      <c r="E137" s="302" t="s">
        <v>190</v>
      </c>
      <c r="F137" s="304">
        <v>31000</v>
      </c>
      <c r="G137" s="228"/>
      <c r="H137" s="303" t="s">
        <v>192</v>
      </c>
      <c r="I137" s="304">
        <v>31000</v>
      </c>
      <c r="J137" s="228"/>
      <c r="K137" s="216" t="s">
        <v>296</v>
      </c>
      <c r="L137" s="216">
        <v>2013</v>
      </c>
    </row>
    <row r="138" spans="1:12" ht="66.75" customHeight="1">
      <c r="A138" s="988">
        <v>88</v>
      </c>
      <c r="B138" s="305"/>
      <c r="C138" s="224"/>
      <c r="D138" s="293">
        <v>6237</v>
      </c>
      <c r="E138" s="245" t="s">
        <v>324</v>
      </c>
      <c r="F138" s="246">
        <f>1360000+34000</f>
        <v>1394000</v>
      </c>
      <c r="G138" s="246">
        <v>1360000</v>
      </c>
      <c r="H138" s="306" t="s">
        <v>325</v>
      </c>
      <c r="I138" s="250">
        <f>1360000+34000</f>
        <v>1394000</v>
      </c>
      <c r="J138" s="250">
        <v>0</v>
      </c>
      <c r="K138" s="216" t="s">
        <v>326</v>
      </c>
      <c r="L138" s="216" t="s">
        <v>224</v>
      </c>
    </row>
    <row r="139" spans="1:12" ht="75" customHeight="1">
      <c r="A139" s="989"/>
      <c r="B139" s="305"/>
      <c r="C139" s="256"/>
      <c r="D139" s="293">
        <v>6239</v>
      </c>
      <c r="E139" s="245" t="s">
        <v>327</v>
      </c>
      <c r="F139" s="246">
        <f>240000+6000</f>
        <v>246000</v>
      </c>
      <c r="G139" s="246">
        <v>240000</v>
      </c>
      <c r="H139" s="306" t="s">
        <v>325</v>
      </c>
      <c r="I139" s="250">
        <f>240000+6000</f>
        <v>246000</v>
      </c>
      <c r="J139" s="250">
        <v>0</v>
      </c>
      <c r="K139" s="216" t="s">
        <v>326</v>
      </c>
      <c r="L139" s="216" t="s">
        <v>224</v>
      </c>
    </row>
    <row r="140" spans="1:14" ht="62.25" customHeight="1">
      <c r="A140" s="991">
        <v>89</v>
      </c>
      <c r="B140" s="305"/>
      <c r="C140" s="256"/>
      <c r="D140" s="293">
        <v>6237</v>
      </c>
      <c r="E140" s="245" t="s">
        <v>328</v>
      </c>
      <c r="F140" s="250">
        <f>G140+I140</f>
        <v>1501475.26</v>
      </c>
      <c r="G140" s="246">
        <v>1328864.43</v>
      </c>
      <c r="H140" s="242" t="s">
        <v>329</v>
      </c>
      <c r="I140" s="704">
        <f>187850-15239.17</f>
        <v>172610.83</v>
      </c>
      <c r="J140" s="250"/>
      <c r="K140" s="216" t="s">
        <v>326</v>
      </c>
      <c r="L140" s="216" t="s">
        <v>218</v>
      </c>
      <c r="N140" s="217">
        <f>I140+I141</f>
        <v>203071.56</v>
      </c>
    </row>
    <row r="141" spans="1:12" ht="65.25" customHeight="1">
      <c r="A141" s="991"/>
      <c r="B141" s="305"/>
      <c r="C141" s="256"/>
      <c r="D141" s="293">
        <v>6239</v>
      </c>
      <c r="E141" s="245" t="s">
        <v>328</v>
      </c>
      <c r="F141" s="250">
        <f>G141+I141</f>
        <v>264966.22</v>
      </c>
      <c r="G141" s="246">
        <v>234505.49</v>
      </c>
      <c r="H141" s="242" t="s">
        <v>329</v>
      </c>
      <c r="I141" s="704">
        <f>33150-2689.27</f>
        <v>30460.73</v>
      </c>
      <c r="J141" s="250"/>
      <c r="K141" s="216" t="s">
        <v>326</v>
      </c>
      <c r="L141" s="216" t="s">
        <v>218</v>
      </c>
    </row>
    <row r="142" spans="1:12" ht="30" customHeight="1">
      <c r="A142" s="219"/>
      <c r="B142" s="219">
        <v>900</v>
      </c>
      <c r="C142" s="219"/>
      <c r="D142" s="220"/>
      <c r="E142" s="252" t="s">
        <v>330</v>
      </c>
      <c r="F142" s="253">
        <f>F143+F146+F148+F158</f>
        <v>7918208.5200000005</v>
      </c>
      <c r="G142" s="253">
        <f>G143+G146+G148+G158</f>
        <v>231240</v>
      </c>
      <c r="H142" s="253"/>
      <c r="I142" s="253">
        <f>I143+I146+I148+I158</f>
        <v>3002906.74</v>
      </c>
      <c r="J142" s="253">
        <f>J143+J146+J148+J158</f>
        <v>905000</v>
      </c>
      <c r="K142" s="253"/>
      <c r="L142" s="216"/>
    </row>
    <row r="143" spans="1:12" ht="30" customHeight="1">
      <c r="A143" s="219"/>
      <c r="B143" s="282"/>
      <c r="C143" s="259">
        <v>90002</v>
      </c>
      <c r="D143" s="261"/>
      <c r="E143" s="227" t="s">
        <v>331</v>
      </c>
      <c r="F143" s="228">
        <f>SUM(F144:F145)</f>
        <v>42000</v>
      </c>
      <c r="G143" s="228">
        <f>SUM(G144:G145)</f>
        <v>0</v>
      </c>
      <c r="H143" s="228"/>
      <c r="I143" s="228">
        <f>SUM(I144:I145)</f>
        <v>42000</v>
      </c>
      <c r="J143" s="228">
        <f>SUM(J144:J145)</f>
        <v>42000</v>
      </c>
      <c r="K143" s="216"/>
      <c r="L143" s="216"/>
    </row>
    <row r="144" spans="1:12" ht="42" customHeight="1">
      <c r="A144" s="247">
        <v>90</v>
      </c>
      <c r="B144" s="289"/>
      <c r="C144" s="307"/>
      <c r="D144" s="249">
        <v>6220</v>
      </c>
      <c r="E144" s="308" t="s">
        <v>332</v>
      </c>
      <c r="F144" s="309">
        <v>12000</v>
      </c>
      <c r="G144" s="310">
        <v>0</v>
      </c>
      <c r="H144" s="311" t="s">
        <v>333</v>
      </c>
      <c r="I144" s="309">
        <v>12000</v>
      </c>
      <c r="J144" s="309">
        <v>12000</v>
      </c>
      <c r="K144" s="216" t="s">
        <v>334</v>
      </c>
      <c r="L144" s="216">
        <v>2013</v>
      </c>
    </row>
    <row r="145" spans="1:12" ht="51.75" customHeight="1">
      <c r="A145" s="247">
        <v>91</v>
      </c>
      <c r="B145" s="289"/>
      <c r="C145" s="251"/>
      <c r="D145" s="249">
        <v>6230</v>
      </c>
      <c r="E145" s="302" t="s">
        <v>332</v>
      </c>
      <c r="F145" s="309">
        <v>30000</v>
      </c>
      <c r="G145" s="310">
        <v>0</v>
      </c>
      <c r="H145" s="311" t="s">
        <v>333</v>
      </c>
      <c r="I145" s="309">
        <v>30000</v>
      </c>
      <c r="J145" s="309">
        <v>30000</v>
      </c>
      <c r="K145" s="216" t="s">
        <v>334</v>
      </c>
      <c r="L145" s="216">
        <v>2013</v>
      </c>
    </row>
    <row r="146" spans="1:12" s="349" customFormat="1" ht="33.75" customHeight="1">
      <c r="A146" s="260"/>
      <c r="B146" s="291"/>
      <c r="C146" s="225">
        <v>90004</v>
      </c>
      <c r="D146" s="226"/>
      <c r="E146" s="300" t="s">
        <v>710</v>
      </c>
      <c r="F146" s="474">
        <f>F147</f>
        <v>25000</v>
      </c>
      <c r="G146" s="474">
        <f>G147</f>
        <v>0</v>
      </c>
      <c r="H146" s="474"/>
      <c r="I146" s="474">
        <f>I147</f>
        <v>25000</v>
      </c>
      <c r="J146" s="474">
        <f>J147</f>
        <v>0</v>
      </c>
      <c r="K146" s="229"/>
      <c r="L146" s="229"/>
    </row>
    <row r="147" spans="1:12" ht="66.75" customHeight="1">
      <c r="A147" s="247">
        <v>92</v>
      </c>
      <c r="B147" s="289"/>
      <c r="C147" s="251"/>
      <c r="D147" s="249">
        <v>6050</v>
      </c>
      <c r="E147" s="320" t="s">
        <v>795</v>
      </c>
      <c r="F147" s="309">
        <v>25000</v>
      </c>
      <c r="G147" s="310"/>
      <c r="H147" s="311" t="s">
        <v>688</v>
      </c>
      <c r="I147" s="309">
        <v>25000</v>
      </c>
      <c r="J147" s="309"/>
      <c r="K147" s="216" t="s">
        <v>605</v>
      </c>
      <c r="L147" s="216">
        <v>2013</v>
      </c>
    </row>
    <row r="148" spans="1:12" ht="27.75" customHeight="1">
      <c r="A148" s="247"/>
      <c r="B148" s="259"/>
      <c r="C148" s="260">
        <v>90015</v>
      </c>
      <c r="D148" s="261"/>
      <c r="E148" s="227" t="s">
        <v>335</v>
      </c>
      <c r="F148" s="228">
        <f>SUM(F149:F157)</f>
        <v>5106810.57</v>
      </c>
      <c r="G148" s="228">
        <f>SUM(G149:G157)</f>
        <v>0</v>
      </c>
      <c r="H148" s="228"/>
      <c r="I148" s="228">
        <f>SUM(I149:I157)</f>
        <v>1105218.79</v>
      </c>
      <c r="J148" s="228">
        <f>SUM(J149:J157)</f>
        <v>338000</v>
      </c>
      <c r="K148" s="229"/>
      <c r="L148" s="229"/>
    </row>
    <row r="149" spans="1:12" ht="34.5" customHeight="1">
      <c r="A149" s="247">
        <v>3</v>
      </c>
      <c r="B149" s="312"/>
      <c r="C149" s="182"/>
      <c r="D149" s="313">
        <v>6050</v>
      </c>
      <c r="E149" s="481" t="s">
        <v>624</v>
      </c>
      <c r="F149" s="314">
        <f>100000+160000</f>
        <v>260000</v>
      </c>
      <c r="G149" s="315">
        <v>0</v>
      </c>
      <c r="H149" s="316" t="s">
        <v>699</v>
      </c>
      <c r="I149" s="317">
        <f>100000+160000-240000+240000</f>
        <v>260000</v>
      </c>
      <c r="J149" s="317">
        <f>100000+160000-240000+240000</f>
        <v>260000</v>
      </c>
      <c r="K149" s="258" t="s">
        <v>241</v>
      </c>
      <c r="L149" s="258">
        <v>2013</v>
      </c>
    </row>
    <row r="150" spans="1:12" ht="50.25" customHeight="1">
      <c r="A150" s="247">
        <v>94</v>
      </c>
      <c r="B150" s="312"/>
      <c r="C150" s="190"/>
      <c r="D150" s="313">
        <v>6050</v>
      </c>
      <c r="E150" s="401" t="s">
        <v>336</v>
      </c>
      <c r="F150" s="309">
        <f>200000-95000+1149.61</f>
        <v>106149.61</v>
      </c>
      <c r="G150" s="318"/>
      <c r="H150" s="402" t="s">
        <v>337</v>
      </c>
      <c r="I150" s="309">
        <f>200000-95000</f>
        <v>105000</v>
      </c>
      <c r="J150" s="309"/>
      <c r="K150" s="258" t="s">
        <v>217</v>
      </c>
      <c r="L150" s="258" t="s">
        <v>686</v>
      </c>
    </row>
    <row r="151" spans="1:12" ht="39" customHeight="1">
      <c r="A151" s="247">
        <v>95</v>
      </c>
      <c r="B151" s="312"/>
      <c r="C151" s="190"/>
      <c r="D151" s="313">
        <v>6050</v>
      </c>
      <c r="E151" s="401" t="s">
        <v>338</v>
      </c>
      <c r="F151" s="309">
        <f>175000+3500-60.42</f>
        <v>178439.58</v>
      </c>
      <c r="G151" s="318"/>
      <c r="H151" s="319" t="s">
        <v>339</v>
      </c>
      <c r="I151" s="309">
        <f>175000-150000+150000+3500-60.42</f>
        <v>178439.58</v>
      </c>
      <c r="J151" s="309"/>
      <c r="K151" s="258" t="s">
        <v>241</v>
      </c>
      <c r="L151" s="258">
        <v>2013</v>
      </c>
    </row>
    <row r="152" spans="1:12" ht="72.75" customHeight="1">
      <c r="A152" s="247">
        <v>96</v>
      </c>
      <c r="B152" s="312"/>
      <c r="C152" s="190"/>
      <c r="D152" s="313">
        <v>6050</v>
      </c>
      <c r="E152" s="302" t="s">
        <v>340</v>
      </c>
      <c r="F152" s="309">
        <f>270000-120000+442.17</f>
        <v>150442.17</v>
      </c>
      <c r="G152" s="318"/>
      <c r="H152" s="403" t="s">
        <v>595</v>
      </c>
      <c r="I152" s="309">
        <f>270000-120000</f>
        <v>150000</v>
      </c>
      <c r="J152" s="309"/>
      <c r="K152" s="258" t="s">
        <v>217</v>
      </c>
      <c r="L152" s="258" t="s">
        <v>686</v>
      </c>
    </row>
    <row r="153" spans="1:12" ht="42" customHeight="1">
      <c r="A153" s="247">
        <v>97</v>
      </c>
      <c r="B153" s="312"/>
      <c r="C153" s="190"/>
      <c r="D153" s="313">
        <v>6050</v>
      </c>
      <c r="E153" s="302" t="s">
        <v>694</v>
      </c>
      <c r="F153" s="309">
        <f>25000-7780</f>
        <v>17220</v>
      </c>
      <c r="G153" s="318"/>
      <c r="H153" s="319" t="s">
        <v>597</v>
      </c>
      <c r="I153" s="309">
        <f>25000-7780</f>
        <v>17220</v>
      </c>
      <c r="J153" s="309"/>
      <c r="K153" s="258" t="s">
        <v>241</v>
      </c>
      <c r="L153" s="258">
        <v>2013</v>
      </c>
    </row>
    <row r="154" spans="1:12" ht="39.75" customHeight="1">
      <c r="A154" s="247">
        <v>98</v>
      </c>
      <c r="B154" s="312"/>
      <c r="C154" s="190"/>
      <c r="D154" s="313">
        <v>6050</v>
      </c>
      <c r="E154" s="302" t="s">
        <v>589</v>
      </c>
      <c r="F154" s="309">
        <f>4078000+48909.6</f>
        <v>4126909.6</v>
      </c>
      <c r="G154" s="318"/>
      <c r="H154" s="319" t="s">
        <v>697</v>
      </c>
      <c r="I154" s="309">
        <f>78000+48909.6</f>
        <v>126909.6</v>
      </c>
      <c r="J154" s="309">
        <v>78000</v>
      </c>
      <c r="K154" s="258" t="s">
        <v>241</v>
      </c>
      <c r="L154" s="258" t="s">
        <v>590</v>
      </c>
    </row>
    <row r="155" spans="1:12" ht="39.75" customHeight="1">
      <c r="A155" s="247">
        <v>99</v>
      </c>
      <c r="B155" s="312"/>
      <c r="C155" s="190"/>
      <c r="D155" s="313">
        <v>6050</v>
      </c>
      <c r="E155" s="302" t="s">
        <v>863</v>
      </c>
      <c r="F155" s="309">
        <f>50000+25000+1500</f>
        <v>76500</v>
      </c>
      <c r="G155" s="318"/>
      <c r="H155" s="319" t="s">
        <v>844</v>
      </c>
      <c r="I155" s="309">
        <f>50000+25000+1500</f>
        <v>76500</v>
      </c>
      <c r="J155" s="309"/>
      <c r="K155" s="258" t="s">
        <v>241</v>
      </c>
      <c r="L155" s="258">
        <v>2013</v>
      </c>
    </row>
    <row r="156" spans="1:12" ht="39.75" customHeight="1">
      <c r="A156" s="247">
        <v>100</v>
      </c>
      <c r="B156" s="312"/>
      <c r="C156" s="190"/>
      <c r="D156" s="313">
        <v>6050</v>
      </c>
      <c r="E156" s="464" t="s">
        <v>700</v>
      </c>
      <c r="F156" s="309">
        <v>1149.61</v>
      </c>
      <c r="G156" s="465"/>
      <c r="H156" s="316" t="s">
        <v>597</v>
      </c>
      <c r="I156" s="309">
        <v>1149.61</v>
      </c>
      <c r="J156" s="309"/>
      <c r="K156" s="258" t="s">
        <v>241</v>
      </c>
      <c r="L156" s="258">
        <v>2013</v>
      </c>
    </row>
    <row r="157" spans="1:12" ht="52.5" customHeight="1">
      <c r="A157" s="247">
        <v>101</v>
      </c>
      <c r="B157" s="312"/>
      <c r="C157" s="190"/>
      <c r="D157" s="313">
        <v>6050</v>
      </c>
      <c r="E157" s="320" t="s">
        <v>596</v>
      </c>
      <c r="F157" s="317">
        <f>300000-110000</f>
        <v>190000</v>
      </c>
      <c r="G157" s="314"/>
      <c r="H157" s="316" t="s">
        <v>597</v>
      </c>
      <c r="I157" s="309">
        <f>300000-110000</f>
        <v>190000</v>
      </c>
      <c r="J157" s="309"/>
      <c r="K157" s="258" t="s">
        <v>217</v>
      </c>
      <c r="L157" s="258">
        <v>2013</v>
      </c>
    </row>
    <row r="158" spans="1:12" ht="25.5" customHeight="1">
      <c r="A158" s="247"/>
      <c r="B158" s="259"/>
      <c r="C158" s="260">
        <v>90095</v>
      </c>
      <c r="D158" s="261"/>
      <c r="E158" s="227" t="s">
        <v>254</v>
      </c>
      <c r="F158" s="228">
        <f>SUM(F159:F172)</f>
        <v>2744397.95</v>
      </c>
      <c r="G158" s="228">
        <f>SUM(G159:G172)</f>
        <v>231240</v>
      </c>
      <c r="H158" s="228"/>
      <c r="I158" s="228">
        <f>SUM(I159:I172)</f>
        <v>1830687.95</v>
      </c>
      <c r="J158" s="228">
        <f>SUM(J159:J172)</f>
        <v>525000</v>
      </c>
      <c r="K158" s="229"/>
      <c r="L158" s="229"/>
    </row>
    <row r="159" spans="1:12" s="658" customFormat="1" ht="81.75" customHeight="1">
      <c r="A159" s="182">
        <v>102</v>
      </c>
      <c r="B159" s="248"/>
      <c r="C159" s="190"/>
      <c r="D159" s="249">
        <v>6010</v>
      </c>
      <c r="E159" s="245" t="s">
        <v>755</v>
      </c>
      <c r="F159" s="246">
        <v>6700</v>
      </c>
      <c r="G159" s="246"/>
      <c r="H159" s="236" t="s">
        <v>611</v>
      </c>
      <c r="I159" s="246">
        <v>6700</v>
      </c>
      <c r="J159" s="246"/>
      <c r="K159" s="323" t="s">
        <v>217</v>
      </c>
      <c r="L159" s="323">
        <v>2013</v>
      </c>
    </row>
    <row r="160" spans="1:12" s="658" customFormat="1" ht="48" customHeight="1">
      <c r="A160" s="182">
        <v>103</v>
      </c>
      <c r="B160" s="248"/>
      <c r="C160" s="190"/>
      <c r="D160" s="249">
        <v>6010</v>
      </c>
      <c r="E160" s="245" t="s">
        <v>756</v>
      </c>
      <c r="F160" s="679">
        <f>270620+262900-88150</f>
        <v>445370</v>
      </c>
      <c r="G160" s="246"/>
      <c r="H160" s="479" t="s">
        <v>368</v>
      </c>
      <c r="I160" s="246">
        <v>262900</v>
      </c>
      <c r="J160" s="246"/>
      <c r="K160" s="323" t="s">
        <v>217</v>
      </c>
      <c r="L160" s="323" t="s">
        <v>686</v>
      </c>
    </row>
    <row r="161" spans="1:12" s="658" customFormat="1" ht="40.5" customHeight="1">
      <c r="A161" s="182">
        <v>104</v>
      </c>
      <c r="B161" s="248"/>
      <c r="C161" s="190"/>
      <c r="D161" s="249">
        <v>6010</v>
      </c>
      <c r="E161" s="245" t="s">
        <v>868</v>
      </c>
      <c r="F161" s="246">
        <v>31777.95</v>
      </c>
      <c r="G161" s="246"/>
      <c r="H161" s="479" t="s">
        <v>370</v>
      </c>
      <c r="I161" s="246">
        <v>31777.95</v>
      </c>
      <c r="J161" s="246"/>
      <c r="K161" s="323" t="s">
        <v>217</v>
      </c>
      <c r="L161" s="323">
        <v>2013</v>
      </c>
    </row>
    <row r="162" spans="1:12" s="658" customFormat="1" ht="47.25" customHeight="1">
      <c r="A162" s="182">
        <v>105</v>
      </c>
      <c r="B162" s="248"/>
      <c r="C162" s="190"/>
      <c r="D162" s="249">
        <v>6010</v>
      </c>
      <c r="E162" s="245" t="s">
        <v>757</v>
      </c>
      <c r="F162" s="246">
        <v>125400</v>
      </c>
      <c r="G162" s="246"/>
      <c r="H162" s="479" t="s">
        <v>371</v>
      </c>
      <c r="I162" s="246">
        <v>125400</v>
      </c>
      <c r="J162" s="246"/>
      <c r="K162" s="323" t="s">
        <v>217</v>
      </c>
      <c r="L162" s="323">
        <v>2013</v>
      </c>
    </row>
    <row r="163" spans="1:12" ht="72" customHeight="1">
      <c r="A163" s="182">
        <v>106</v>
      </c>
      <c r="B163" s="321"/>
      <c r="C163" s="259"/>
      <c r="D163" s="247">
        <v>6010</v>
      </c>
      <c r="E163" s="423" t="s">
        <v>594</v>
      </c>
      <c r="F163" s="246">
        <v>24000</v>
      </c>
      <c r="G163" s="246"/>
      <c r="H163" s="236" t="s">
        <v>611</v>
      </c>
      <c r="I163" s="246">
        <v>24000</v>
      </c>
      <c r="J163" s="246"/>
      <c r="K163" s="424" t="s">
        <v>217</v>
      </c>
      <c r="L163" s="424">
        <v>2013</v>
      </c>
    </row>
    <row r="164" spans="1:12" ht="25.5" customHeight="1">
      <c r="A164" s="182">
        <v>107</v>
      </c>
      <c r="B164" s="321"/>
      <c r="C164" s="259"/>
      <c r="D164" s="249">
        <v>6050</v>
      </c>
      <c r="E164" s="234" t="s">
        <v>598</v>
      </c>
      <c r="F164" s="246">
        <f>1375000-1300000+500000</f>
        <v>575000</v>
      </c>
      <c r="G164" s="246">
        <v>0</v>
      </c>
      <c r="H164" s="322" t="s">
        <v>599</v>
      </c>
      <c r="I164" s="246">
        <f>1375000-1300000</f>
        <v>75000</v>
      </c>
      <c r="J164" s="246">
        <f>1375000-1300000</f>
        <v>75000</v>
      </c>
      <c r="K164" s="323" t="s">
        <v>217</v>
      </c>
      <c r="L164" s="323" t="s">
        <v>686</v>
      </c>
    </row>
    <row r="165" spans="1:12" ht="33.75" customHeight="1">
      <c r="A165" s="182">
        <v>108</v>
      </c>
      <c r="B165" s="321"/>
      <c r="C165" s="259"/>
      <c r="D165" s="249">
        <v>6050</v>
      </c>
      <c r="E165" s="245" t="s">
        <v>835</v>
      </c>
      <c r="F165" s="246">
        <f>100000-3000-2000</f>
        <v>95000</v>
      </c>
      <c r="G165" s="246"/>
      <c r="H165" s="322" t="s">
        <v>187</v>
      </c>
      <c r="I165" s="246">
        <f>100000-3000-2000</f>
        <v>95000</v>
      </c>
      <c r="J165" s="246"/>
      <c r="K165" s="258" t="s">
        <v>605</v>
      </c>
      <c r="L165" s="258">
        <v>2013</v>
      </c>
    </row>
    <row r="166" spans="1:12" ht="33.75" customHeight="1">
      <c r="A166" s="182">
        <v>109</v>
      </c>
      <c r="B166" s="321"/>
      <c r="C166" s="259"/>
      <c r="D166" s="249">
        <v>6050</v>
      </c>
      <c r="E166" s="245" t="s">
        <v>133</v>
      </c>
      <c r="F166" s="246">
        <v>30000</v>
      </c>
      <c r="G166" s="246"/>
      <c r="H166" s="322"/>
      <c r="I166" s="246">
        <v>30000</v>
      </c>
      <c r="J166" s="246"/>
      <c r="K166" s="258" t="s">
        <v>605</v>
      </c>
      <c r="L166" s="258">
        <v>2013</v>
      </c>
    </row>
    <row r="167" spans="1:12" ht="45" customHeight="1">
      <c r="A167" s="182">
        <v>110</v>
      </c>
      <c r="B167" s="321"/>
      <c r="C167" s="259"/>
      <c r="D167" s="247">
        <v>6050</v>
      </c>
      <c r="E167" s="423" t="s">
        <v>841</v>
      </c>
      <c r="F167" s="246">
        <v>26300</v>
      </c>
      <c r="G167" s="246"/>
      <c r="H167" s="236" t="s">
        <v>348</v>
      </c>
      <c r="I167" s="246">
        <v>26300</v>
      </c>
      <c r="J167" s="246"/>
      <c r="K167" s="424" t="s">
        <v>217</v>
      </c>
      <c r="L167" s="424">
        <v>2013</v>
      </c>
    </row>
    <row r="168" spans="1:12" ht="55.5" customHeight="1">
      <c r="A168" s="182">
        <v>111</v>
      </c>
      <c r="B168" s="321"/>
      <c r="C168" s="259"/>
      <c r="D168" s="249">
        <v>6050</v>
      </c>
      <c r="E168" s="478" t="s">
        <v>97</v>
      </c>
      <c r="F168" s="246">
        <v>50000</v>
      </c>
      <c r="G168" s="246"/>
      <c r="H168" s="239" t="s">
        <v>98</v>
      </c>
      <c r="I168" s="246">
        <v>50000</v>
      </c>
      <c r="J168" s="246"/>
      <c r="K168" s="424" t="s">
        <v>605</v>
      </c>
      <c r="L168" s="424">
        <v>2013</v>
      </c>
    </row>
    <row r="169" spans="1:14" ht="39" customHeight="1">
      <c r="A169" s="990">
        <v>112</v>
      </c>
      <c r="B169" s="321"/>
      <c r="C169" s="259"/>
      <c r="D169" s="249">
        <v>6057</v>
      </c>
      <c r="E169" s="302" t="s">
        <v>600</v>
      </c>
      <c r="F169" s="309">
        <f>972315-245692.5</f>
        <v>726622.5</v>
      </c>
      <c r="G169" s="246">
        <v>196554</v>
      </c>
      <c r="H169" s="324" t="s">
        <v>601</v>
      </c>
      <c r="I169" s="246">
        <f>775761-245692.5</f>
        <v>530068.5</v>
      </c>
      <c r="J169" s="228">
        <v>0</v>
      </c>
      <c r="K169" s="323" t="s">
        <v>217</v>
      </c>
      <c r="L169" s="323" t="s">
        <v>602</v>
      </c>
      <c r="N169" s="217"/>
    </row>
    <row r="170" spans="1:14" ht="40.5" customHeight="1">
      <c r="A170" s="989"/>
      <c r="B170" s="325"/>
      <c r="C170" s="270"/>
      <c r="D170" s="249">
        <v>6059</v>
      </c>
      <c r="E170" s="302" t="s">
        <v>600</v>
      </c>
      <c r="F170" s="309">
        <f>171585-43357.5</f>
        <v>128227.5</v>
      </c>
      <c r="G170" s="310">
        <v>34686</v>
      </c>
      <c r="H170" s="324" t="s">
        <v>601</v>
      </c>
      <c r="I170" s="309">
        <f>136899-43357.5</f>
        <v>93541.5</v>
      </c>
      <c r="J170" s="309">
        <v>0</v>
      </c>
      <c r="K170" s="323" t="s">
        <v>217</v>
      </c>
      <c r="L170" s="323" t="s">
        <v>602</v>
      </c>
      <c r="N170" s="217"/>
    </row>
    <row r="171" spans="1:12" ht="41.25" customHeight="1">
      <c r="A171" s="326">
        <v>113</v>
      </c>
      <c r="B171" s="325"/>
      <c r="C171" s="270"/>
      <c r="D171" s="327">
        <v>6230</v>
      </c>
      <c r="E171" s="302" t="s">
        <v>603</v>
      </c>
      <c r="F171" s="310">
        <f>50000+100000+300000</f>
        <v>450000</v>
      </c>
      <c r="G171" s="318">
        <v>0</v>
      </c>
      <c r="H171" s="319" t="s">
        <v>604</v>
      </c>
      <c r="I171" s="309">
        <f>50000+100000+300000</f>
        <v>450000</v>
      </c>
      <c r="J171" s="309">
        <f>50000+100000+300000</f>
        <v>450000</v>
      </c>
      <c r="K171" s="258" t="s">
        <v>605</v>
      </c>
      <c r="L171" s="258">
        <v>2013</v>
      </c>
    </row>
    <row r="172" spans="1:12" ht="76.5" customHeight="1">
      <c r="A172" s="480">
        <v>114</v>
      </c>
      <c r="B172" s="325"/>
      <c r="C172" s="270"/>
      <c r="D172" s="327">
        <v>6050</v>
      </c>
      <c r="E172" s="302" t="s">
        <v>134</v>
      </c>
      <c r="F172" s="310">
        <v>30000</v>
      </c>
      <c r="G172" s="318"/>
      <c r="H172" s="236" t="s">
        <v>611</v>
      </c>
      <c r="I172" s="309">
        <v>30000</v>
      </c>
      <c r="J172" s="309"/>
      <c r="K172" s="258" t="s">
        <v>818</v>
      </c>
      <c r="L172" s="258">
        <v>2013</v>
      </c>
    </row>
    <row r="173" spans="1:12" s="299" customFormat="1" ht="41.25" customHeight="1">
      <c r="A173" s="387"/>
      <c r="B173" s="388">
        <v>921</v>
      </c>
      <c r="C173" s="388"/>
      <c r="D173" s="219"/>
      <c r="E173" s="389" t="s">
        <v>705</v>
      </c>
      <c r="F173" s="395">
        <f>F174</f>
        <v>1465000</v>
      </c>
      <c r="G173" s="395">
        <f>G174</f>
        <v>0</v>
      </c>
      <c r="H173" s="395"/>
      <c r="I173" s="395">
        <f>I174</f>
        <v>36070</v>
      </c>
      <c r="J173" s="395">
        <f>J174</f>
        <v>0</v>
      </c>
      <c r="K173" s="390"/>
      <c r="L173" s="390"/>
    </row>
    <row r="174" spans="1:12" s="349" customFormat="1" ht="32.25" customHeight="1">
      <c r="A174" s="391"/>
      <c r="B174" s="392"/>
      <c r="C174" s="394">
        <v>92109</v>
      </c>
      <c r="D174" s="342"/>
      <c r="E174" s="393" t="s">
        <v>807</v>
      </c>
      <c r="F174" s="396">
        <f>F175+F176</f>
        <v>1465000</v>
      </c>
      <c r="G174" s="396">
        <f>G175+G176</f>
        <v>0</v>
      </c>
      <c r="H174" s="396"/>
      <c r="I174" s="396">
        <f>I175+I176</f>
        <v>36070</v>
      </c>
      <c r="J174" s="396">
        <f>J175+J176</f>
        <v>0</v>
      </c>
      <c r="K174" s="338"/>
      <c r="L174" s="338"/>
    </row>
    <row r="175" spans="1:12" ht="57" customHeight="1">
      <c r="A175" s="480">
        <v>115</v>
      </c>
      <c r="B175" s="325"/>
      <c r="C175" s="270"/>
      <c r="D175" s="275">
        <v>6050</v>
      </c>
      <c r="E175" s="302" t="s">
        <v>591</v>
      </c>
      <c r="F175" s="310">
        <f>1100000+340000</f>
        <v>1440000</v>
      </c>
      <c r="G175" s="318"/>
      <c r="H175" s="319" t="s">
        <v>592</v>
      </c>
      <c r="I175" s="309">
        <f>340000-328930</f>
        <v>11070</v>
      </c>
      <c r="J175" s="309"/>
      <c r="K175" s="258" t="s">
        <v>217</v>
      </c>
      <c r="L175" s="258" t="s">
        <v>686</v>
      </c>
    </row>
    <row r="176" spans="1:12" ht="57" customHeight="1">
      <c r="A176" s="480">
        <v>116</v>
      </c>
      <c r="B176" s="325"/>
      <c r="C176" s="270"/>
      <c r="D176" s="275">
        <v>6220</v>
      </c>
      <c r="E176" s="302" t="s">
        <v>372</v>
      </c>
      <c r="F176" s="310">
        <v>25000</v>
      </c>
      <c r="G176" s="318"/>
      <c r="H176" s="319" t="s">
        <v>373</v>
      </c>
      <c r="I176" s="309">
        <v>25000</v>
      </c>
      <c r="J176" s="309"/>
      <c r="K176" s="258" t="s">
        <v>839</v>
      </c>
      <c r="L176" s="258">
        <v>2013</v>
      </c>
    </row>
    <row r="177" spans="1:12" ht="27.75" customHeight="1">
      <c r="A177" s="190"/>
      <c r="B177" s="218">
        <v>926</v>
      </c>
      <c r="C177" s="219"/>
      <c r="D177" s="220"/>
      <c r="E177" s="252" t="s">
        <v>606</v>
      </c>
      <c r="F177" s="253">
        <f>F178+F181</f>
        <v>293700</v>
      </c>
      <c r="G177" s="253">
        <f>G178+G181</f>
        <v>0</v>
      </c>
      <c r="H177" s="253"/>
      <c r="I177" s="253">
        <f>I178+I181</f>
        <v>293700</v>
      </c>
      <c r="J177" s="253">
        <f>J178+J181</f>
        <v>0</v>
      </c>
      <c r="K177" s="216"/>
      <c r="L177" s="216"/>
    </row>
    <row r="178" spans="1:12" ht="24" customHeight="1">
      <c r="A178" s="219"/>
      <c r="B178" s="285"/>
      <c r="C178" s="266">
        <v>92601</v>
      </c>
      <c r="D178" s="261"/>
      <c r="E178" s="227" t="s">
        <v>607</v>
      </c>
      <c r="F178" s="228">
        <f>SUM(F179:F180)</f>
        <v>49300</v>
      </c>
      <c r="G178" s="228">
        <f>SUM(G179:G180)</f>
        <v>0</v>
      </c>
      <c r="H178" s="228"/>
      <c r="I178" s="228">
        <f>SUM(I179:I180)</f>
        <v>49300</v>
      </c>
      <c r="J178" s="228">
        <f>SUM(J179:J180)</f>
        <v>0</v>
      </c>
      <c r="K178" s="229"/>
      <c r="L178" s="229"/>
    </row>
    <row r="179" spans="1:12" ht="41.25" customHeight="1">
      <c r="A179" s="247">
        <v>117</v>
      </c>
      <c r="B179" s="279"/>
      <c r="C179" s="224"/>
      <c r="D179" s="327">
        <v>6050</v>
      </c>
      <c r="E179" s="240" t="s">
        <v>608</v>
      </c>
      <c r="F179" s="246">
        <f>18300+16000</f>
        <v>34300</v>
      </c>
      <c r="G179" s="246">
        <v>0</v>
      </c>
      <c r="H179" s="292" t="s">
        <v>609</v>
      </c>
      <c r="I179" s="246">
        <f>18300+16000</f>
        <v>34300</v>
      </c>
      <c r="J179" s="246">
        <v>0</v>
      </c>
      <c r="K179" s="216" t="s">
        <v>217</v>
      </c>
      <c r="L179" s="258">
        <v>2013</v>
      </c>
    </row>
    <row r="180" spans="1:12" s="329" customFormat="1" ht="44.25" customHeight="1">
      <c r="A180" s="247">
        <v>118</v>
      </c>
      <c r="B180" s="279"/>
      <c r="C180" s="224"/>
      <c r="D180" s="328">
        <v>6050</v>
      </c>
      <c r="E180" s="239" t="s">
        <v>610</v>
      </c>
      <c r="F180" s="246">
        <f>50000-35000</f>
        <v>15000</v>
      </c>
      <c r="G180" s="246">
        <v>0</v>
      </c>
      <c r="H180" s="236" t="s">
        <v>611</v>
      </c>
      <c r="I180" s="246">
        <f>50000-35000</f>
        <v>15000</v>
      </c>
      <c r="J180" s="246">
        <v>0</v>
      </c>
      <c r="K180" s="216" t="s">
        <v>217</v>
      </c>
      <c r="L180" s="216">
        <v>2013</v>
      </c>
    </row>
    <row r="181" spans="1:12" s="329" customFormat="1" ht="25.5" customHeight="1">
      <c r="A181" s="247"/>
      <c r="B181" s="279"/>
      <c r="C181" s="260">
        <v>92604</v>
      </c>
      <c r="D181" s="330"/>
      <c r="E181" s="331" t="s">
        <v>612</v>
      </c>
      <c r="F181" s="246">
        <f>SUM(F182:F186)</f>
        <v>244400</v>
      </c>
      <c r="G181" s="246">
        <f>SUM(G182:G186)</f>
        <v>0</v>
      </c>
      <c r="H181" s="246"/>
      <c r="I181" s="246">
        <f>SUM(I182:I186)</f>
        <v>244400</v>
      </c>
      <c r="J181" s="246">
        <f>SUM(J182:J186)</f>
        <v>0</v>
      </c>
      <c r="K181" s="216"/>
      <c r="L181" s="216"/>
    </row>
    <row r="182" spans="1:12" s="329" customFormat="1" ht="27.75" customHeight="1">
      <c r="A182" s="247">
        <v>119</v>
      </c>
      <c r="B182" s="279"/>
      <c r="C182" s="256"/>
      <c r="D182" s="230">
        <v>6050</v>
      </c>
      <c r="E182" s="234" t="s">
        <v>613</v>
      </c>
      <c r="F182" s="246">
        <v>50000</v>
      </c>
      <c r="G182" s="246"/>
      <c r="H182" s="236" t="s">
        <v>614</v>
      </c>
      <c r="I182" s="246">
        <v>50000</v>
      </c>
      <c r="J182" s="246"/>
      <c r="K182" s="216" t="s">
        <v>615</v>
      </c>
      <c r="L182" s="216">
        <v>2013</v>
      </c>
    </row>
    <row r="183" spans="1:12" s="329" customFormat="1" ht="54.75" customHeight="1">
      <c r="A183" s="247">
        <v>120</v>
      </c>
      <c r="B183" s="279"/>
      <c r="C183" s="256"/>
      <c r="D183" s="447">
        <v>6050</v>
      </c>
      <c r="E183" s="234" t="s">
        <v>351</v>
      </c>
      <c r="F183" s="246">
        <v>20000</v>
      </c>
      <c r="G183" s="246"/>
      <c r="H183" s="236" t="s">
        <v>352</v>
      </c>
      <c r="I183" s="246">
        <v>20000</v>
      </c>
      <c r="J183" s="246"/>
      <c r="K183" s="216" t="s">
        <v>615</v>
      </c>
      <c r="L183" s="216">
        <v>2013</v>
      </c>
    </row>
    <row r="184" spans="1:12" s="329" customFormat="1" ht="43.5" customHeight="1">
      <c r="A184" s="247">
        <v>121</v>
      </c>
      <c r="B184" s="279"/>
      <c r="C184" s="256"/>
      <c r="D184" s="447">
        <v>6060</v>
      </c>
      <c r="E184" s="234" t="s">
        <v>67</v>
      </c>
      <c r="F184" s="246">
        <v>80000</v>
      </c>
      <c r="G184" s="246"/>
      <c r="H184" s="236" t="s">
        <v>374</v>
      </c>
      <c r="I184" s="246">
        <v>80000</v>
      </c>
      <c r="J184" s="246"/>
      <c r="K184" s="216" t="s">
        <v>615</v>
      </c>
      <c r="L184" s="216">
        <v>2013</v>
      </c>
    </row>
    <row r="185" spans="1:12" s="329" customFormat="1" ht="43.5" customHeight="1">
      <c r="A185" s="247">
        <v>122</v>
      </c>
      <c r="B185" s="279"/>
      <c r="C185" s="256"/>
      <c r="D185" s="447">
        <v>6060</v>
      </c>
      <c r="E185" s="234" t="s">
        <v>123</v>
      </c>
      <c r="F185" s="679">
        <f>5000+19400</f>
        <v>24400</v>
      </c>
      <c r="G185" s="246"/>
      <c r="H185" s="236" t="s">
        <v>58</v>
      </c>
      <c r="I185" s="679">
        <f>5000+19400</f>
        <v>24400</v>
      </c>
      <c r="J185" s="246"/>
      <c r="K185" s="216" t="s">
        <v>615</v>
      </c>
      <c r="L185" s="216">
        <v>2013</v>
      </c>
    </row>
    <row r="186" spans="1:12" s="329" customFormat="1" ht="27.75" customHeight="1">
      <c r="A186" s="247">
        <v>123</v>
      </c>
      <c r="B186" s="279"/>
      <c r="C186" s="256"/>
      <c r="D186" s="447">
        <v>6060</v>
      </c>
      <c r="E186" s="234" t="s">
        <v>68</v>
      </c>
      <c r="F186" s="246">
        <v>70000</v>
      </c>
      <c r="G186" s="246"/>
      <c r="H186" s="236" t="s">
        <v>375</v>
      </c>
      <c r="I186" s="246">
        <v>70000</v>
      </c>
      <c r="J186" s="246"/>
      <c r="K186" s="216" t="s">
        <v>615</v>
      </c>
      <c r="L186" s="216">
        <v>2013</v>
      </c>
    </row>
    <row r="187" spans="1:15" ht="30" customHeight="1">
      <c r="A187" s="247"/>
      <c r="B187" s="332" t="s">
        <v>616</v>
      </c>
      <c r="C187" s="333"/>
      <c r="D187" s="275"/>
      <c r="E187" s="296"/>
      <c r="F187" s="334">
        <f>F188+F203+F207+F214+F224+F227+F234+F238</f>
        <v>36842497.22</v>
      </c>
      <c r="G187" s="334">
        <f>G188+G203+G207+G214+G224+G227+G234+G238</f>
        <v>18810224.86</v>
      </c>
      <c r="H187" s="334"/>
      <c r="I187" s="334">
        <f>I188+I203+I207+I214+I224+I227+I234+I238</f>
        <v>12906472.36</v>
      </c>
      <c r="J187" s="334">
        <f>J188+J203+J207+J214+J224+J227+J234+J238</f>
        <v>369082.52</v>
      </c>
      <c r="K187" s="216"/>
      <c r="L187" s="216"/>
      <c r="N187" s="406"/>
      <c r="O187" s="405"/>
    </row>
    <row r="188" spans="1:15" ht="26.25" customHeight="1">
      <c r="A188" s="219"/>
      <c r="B188" s="307">
        <v>600</v>
      </c>
      <c r="C188" s="219"/>
      <c r="D188" s="220"/>
      <c r="E188" s="252" t="s">
        <v>179</v>
      </c>
      <c r="F188" s="253">
        <f>F189</f>
        <v>33602273</v>
      </c>
      <c r="G188" s="253">
        <f>G189</f>
        <v>18810224.86</v>
      </c>
      <c r="H188" s="335"/>
      <c r="I188" s="253">
        <f>I189</f>
        <v>11012048.139999999</v>
      </c>
      <c r="J188" s="253">
        <f>J189</f>
        <v>52582.52000000002</v>
      </c>
      <c r="K188" s="216"/>
      <c r="L188" s="216"/>
      <c r="N188" s="407"/>
      <c r="O188" s="407"/>
    </row>
    <row r="189" spans="1:14" ht="27" customHeight="1">
      <c r="A189" s="247"/>
      <c r="B189" s="254"/>
      <c r="C189" s="260">
        <v>60015</v>
      </c>
      <c r="D189" s="226"/>
      <c r="E189" s="227" t="s">
        <v>617</v>
      </c>
      <c r="F189" s="228">
        <f>SUM(F190:F202)</f>
        <v>33602273</v>
      </c>
      <c r="G189" s="228">
        <f>SUM(G190:G202)</f>
        <v>18810224.86</v>
      </c>
      <c r="H189" s="294"/>
      <c r="I189" s="228">
        <f>SUM(I190:I202)</f>
        <v>11012048.139999999</v>
      </c>
      <c r="J189" s="228">
        <f>SUM(J190:J202)</f>
        <v>52582.52000000002</v>
      </c>
      <c r="K189" s="229"/>
      <c r="L189" s="229"/>
      <c r="N189" s="217"/>
    </row>
    <row r="190" spans="1:14" ht="43.5" customHeight="1">
      <c r="A190" s="247">
        <v>124</v>
      </c>
      <c r="B190" s="312"/>
      <c r="C190" s="190"/>
      <c r="D190" s="249">
        <v>6050</v>
      </c>
      <c r="E190" s="308" t="s">
        <v>618</v>
      </c>
      <c r="F190" s="314">
        <f>27061100+125000+122352-28121</f>
        <v>27280331</v>
      </c>
      <c r="G190" s="315">
        <f>23211100-3406101.69-1044773.45</f>
        <v>18760224.86</v>
      </c>
      <c r="H190" s="316" t="s">
        <v>619</v>
      </c>
      <c r="I190" s="317">
        <f>3850000+125000+122352+3406101.69+1044773.45-28121</f>
        <v>8520106.139999999</v>
      </c>
      <c r="J190" s="317">
        <f>2141080-167000-1921497.48</f>
        <v>52582.52000000002</v>
      </c>
      <c r="K190" s="258" t="s">
        <v>620</v>
      </c>
      <c r="L190" s="258" t="s">
        <v>218</v>
      </c>
      <c r="N190" s="217"/>
    </row>
    <row r="191" spans="1:15" s="329" customFormat="1" ht="35.25" customHeight="1">
      <c r="A191" s="247">
        <v>125</v>
      </c>
      <c r="B191" s="312"/>
      <c r="C191" s="190"/>
      <c r="D191" s="249">
        <v>6050</v>
      </c>
      <c r="E191" s="308" t="s">
        <v>621</v>
      </c>
      <c r="F191" s="314">
        <f>5800000-530723-1000000</f>
        <v>4269277</v>
      </c>
      <c r="G191" s="315"/>
      <c r="H191" s="308" t="s">
        <v>622</v>
      </c>
      <c r="I191" s="317">
        <f>1100000-530723</f>
        <v>569277</v>
      </c>
      <c r="J191" s="317">
        <v>0</v>
      </c>
      <c r="K191" s="258" t="s">
        <v>241</v>
      </c>
      <c r="L191" s="258" t="s">
        <v>686</v>
      </c>
      <c r="N191" s="361"/>
      <c r="O191" s="361"/>
    </row>
    <row r="192" spans="1:16" s="329" customFormat="1" ht="58.5" customHeight="1">
      <c r="A192" s="247">
        <v>126</v>
      </c>
      <c r="B192" s="312"/>
      <c r="C192" s="190"/>
      <c r="D192" s="249">
        <v>6050</v>
      </c>
      <c r="E192" s="308" t="s">
        <v>623</v>
      </c>
      <c r="F192" s="314">
        <v>260000</v>
      </c>
      <c r="G192" s="315"/>
      <c r="H192" s="236" t="s">
        <v>611</v>
      </c>
      <c r="I192" s="317">
        <v>260000</v>
      </c>
      <c r="J192" s="317"/>
      <c r="K192" s="258" t="s">
        <v>217</v>
      </c>
      <c r="L192" s="258">
        <v>2013</v>
      </c>
      <c r="N192" s="361"/>
      <c r="O192" s="361"/>
      <c r="P192" s="361"/>
    </row>
    <row r="193" spans="1:15" s="329" customFormat="1" ht="57.75" customHeight="1">
      <c r="A193" s="247">
        <v>127</v>
      </c>
      <c r="B193" s="312"/>
      <c r="C193" s="190"/>
      <c r="D193" s="249">
        <v>6050</v>
      </c>
      <c r="E193" s="308" t="s">
        <v>626</v>
      </c>
      <c r="F193" s="314">
        <v>30000</v>
      </c>
      <c r="G193" s="315"/>
      <c r="H193" s="236" t="s">
        <v>611</v>
      </c>
      <c r="I193" s="317">
        <v>30000</v>
      </c>
      <c r="J193" s="317"/>
      <c r="K193" s="258" t="s">
        <v>241</v>
      </c>
      <c r="L193" s="258">
        <v>2013</v>
      </c>
      <c r="N193" s="361"/>
      <c r="O193" s="361"/>
    </row>
    <row r="194" spans="1:12" s="329" customFormat="1" ht="35.25" customHeight="1">
      <c r="A194" s="247">
        <v>128</v>
      </c>
      <c r="B194" s="312"/>
      <c r="C194" s="190"/>
      <c r="D194" s="249">
        <v>6050</v>
      </c>
      <c r="E194" s="308" t="s">
        <v>695</v>
      </c>
      <c r="F194" s="314">
        <v>45202</v>
      </c>
      <c r="G194" s="315"/>
      <c r="H194" s="236" t="s">
        <v>696</v>
      </c>
      <c r="I194" s="317">
        <f>2832000-828000-125000-130000-703798-1000000</f>
        <v>45202</v>
      </c>
      <c r="J194" s="317">
        <f>240000+753800-78000-828000-87800</f>
        <v>0</v>
      </c>
      <c r="K194" s="258" t="s">
        <v>217</v>
      </c>
      <c r="L194" s="258">
        <v>2013</v>
      </c>
    </row>
    <row r="195" spans="1:12" s="329" customFormat="1" ht="35.25" customHeight="1">
      <c r="A195" s="247">
        <v>129</v>
      </c>
      <c r="B195" s="312"/>
      <c r="C195" s="190"/>
      <c r="D195" s="249">
        <v>6050</v>
      </c>
      <c r="E195" s="308" t="s">
        <v>836</v>
      </c>
      <c r="F195" s="314">
        <f>500000+165335</f>
        <v>665335</v>
      </c>
      <c r="G195" s="315"/>
      <c r="H195" s="236" t="s">
        <v>593</v>
      </c>
      <c r="I195" s="317">
        <f>500000+165335</f>
        <v>665335</v>
      </c>
      <c r="J195" s="317"/>
      <c r="K195" s="258" t="s">
        <v>241</v>
      </c>
      <c r="L195" s="258">
        <v>2013</v>
      </c>
    </row>
    <row r="196" spans="1:12" s="329" customFormat="1" ht="66.75" customHeight="1">
      <c r="A196" s="247">
        <v>130</v>
      </c>
      <c r="B196" s="312"/>
      <c r="C196" s="190"/>
      <c r="D196" s="249">
        <v>6050</v>
      </c>
      <c r="E196" s="466" t="s">
        <v>141</v>
      </c>
      <c r="F196" s="314">
        <v>119400</v>
      </c>
      <c r="G196" s="315"/>
      <c r="H196" s="448" t="s">
        <v>142</v>
      </c>
      <c r="I196" s="317">
        <v>119400</v>
      </c>
      <c r="J196" s="317"/>
      <c r="K196" s="258" t="s">
        <v>241</v>
      </c>
      <c r="L196" s="258">
        <v>2013</v>
      </c>
    </row>
    <row r="197" spans="1:12" s="329" customFormat="1" ht="54.75" customHeight="1">
      <c r="A197" s="247">
        <v>131</v>
      </c>
      <c r="B197" s="312"/>
      <c r="C197" s="190"/>
      <c r="D197" s="249">
        <v>6050</v>
      </c>
      <c r="E197" s="449" t="s">
        <v>718</v>
      </c>
      <c r="F197" s="314">
        <f>450000-60000+80000</f>
        <v>470000</v>
      </c>
      <c r="G197" s="315"/>
      <c r="H197" s="448" t="s">
        <v>376</v>
      </c>
      <c r="I197" s="317">
        <f>450000-60000</f>
        <v>390000</v>
      </c>
      <c r="J197" s="317"/>
      <c r="K197" s="258" t="s">
        <v>241</v>
      </c>
      <c r="L197" s="258" t="s">
        <v>686</v>
      </c>
    </row>
    <row r="198" spans="1:12" s="329" customFormat="1" ht="51.75" customHeight="1">
      <c r="A198" s="247">
        <v>132</v>
      </c>
      <c r="B198" s="312"/>
      <c r="C198" s="190"/>
      <c r="D198" s="249">
        <v>6050</v>
      </c>
      <c r="E198" s="308" t="s">
        <v>719</v>
      </c>
      <c r="F198" s="314">
        <f>220000-23745</f>
        <v>196255</v>
      </c>
      <c r="G198" s="315"/>
      <c r="H198" s="308" t="s">
        <v>377</v>
      </c>
      <c r="I198" s="317">
        <f>220000-23745</f>
        <v>196255</v>
      </c>
      <c r="J198" s="317"/>
      <c r="K198" s="258" t="s">
        <v>241</v>
      </c>
      <c r="L198" s="258">
        <v>2013</v>
      </c>
    </row>
    <row r="199" spans="1:12" s="329" customFormat="1" ht="59.25" customHeight="1">
      <c r="A199" s="247">
        <v>133</v>
      </c>
      <c r="B199" s="312"/>
      <c r="C199" s="190"/>
      <c r="D199" s="249">
        <v>6050</v>
      </c>
      <c r="E199" s="308" t="s">
        <v>573</v>
      </c>
      <c r="F199" s="314">
        <v>12000</v>
      </c>
      <c r="G199" s="315"/>
      <c r="H199" s="336" t="s">
        <v>628</v>
      </c>
      <c r="I199" s="317">
        <v>12000</v>
      </c>
      <c r="J199" s="317"/>
      <c r="K199" s="258" t="s">
        <v>241</v>
      </c>
      <c r="L199" s="258">
        <v>2013</v>
      </c>
    </row>
    <row r="200" spans="1:14" s="329" customFormat="1" ht="133.5" customHeight="1">
      <c r="A200" s="182">
        <v>134</v>
      </c>
      <c r="B200" s="312"/>
      <c r="C200" s="190"/>
      <c r="D200" s="293">
        <v>6050</v>
      </c>
      <c r="E200" s="308" t="s">
        <v>627</v>
      </c>
      <c r="F200" s="314">
        <f>550000-350000-27597+69000-13650</f>
        <v>227753</v>
      </c>
      <c r="G200" s="315">
        <v>50000</v>
      </c>
      <c r="H200" s="336" t="s">
        <v>364</v>
      </c>
      <c r="I200" s="317">
        <f>500000-350000-27597+69000-13650</f>
        <v>177753</v>
      </c>
      <c r="J200" s="317">
        <v>0</v>
      </c>
      <c r="K200" s="258" t="s">
        <v>365</v>
      </c>
      <c r="L200" s="258" t="s">
        <v>218</v>
      </c>
      <c r="N200" s="361"/>
    </row>
    <row r="201" spans="1:14" s="329" customFormat="1" ht="60" customHeight="1">
      <c r="A201" s="182">
        <v>135</v>
      </c>
      <c r="B201" s="312"/>
      <c r="C201" s="190"/>
      <c r="D201" s="293">
        <v>6050</v>
      </c>
      <c r="E201" s="308" t="s">
        <v>349</v>
      </c>
      <c r="F201" s="317">
        <v>12000</v>
      </c>
      <c r="G201" s="315"/>
      <c r="H201" s="336" t="s">
        <v>346</v>
      </c>
      <c r="I201" s="317">
        <v>12000</v>
      </c>
      <c r="J201" s="317"/>
      <c r="K201" s="450" t="s">
        <v>241</v>
      </c>
      <c r="L201" s="450">
        <v>2013</v>
      </c>
      <c r="N201" s="361"/>
    </row>
    <row r="202" spans="1:14" s="329" customFormat="1" ht="80.25" customHeight="1">
      <c r="A202" s="182">
        <v>136</v>
      </c>
      <c r="B202" s="312"/>
      <c r="C202" s="190"/>
      <c r="D202" s="293">
        <v>6050</v>
      </c>
      <c r="E202" s="308" t="s">
        <v>345</v>
      </c>
      <c r="F202" s="317">
        <f>15000-280</f>
        <v>14720</v>
      </c>
      <c r="G202" s="315"/>
      <c r="H202" s="336" t="s">
        <v>709</v>
      </c>
      <c r="I202" s="317">
        <f>15000-280</f>
        <v>14720</v>
      </c>
      <c r="J202" s="317"/>
      <c r="K202" s="450" t="s">
        <v>241</v>
      </c>
      <c r="L202" s="450">
        <v>2013</v>
      </c>
      <c r="N202" s="361"/>
    </row>
    <row r="203" spans="1:14" s="458" customFormat="1" ht="28.5" customHeight="1">
      <c r="A203" s="219"/>
      <c r="B203" s="220">
        <v>630</v>
      </c>
      <c r="C203" s="219"/>
      <c r="D203" s="295"/>
      <c r="E203" s="456" t="s">
        <v>706</v>
      </c>
      <c r="F203" s="457">
        <f>F204</f>
        <v>131000</v>
      </c>
      <c r="G203" s="457">
        <f>G204</f>
        <v>0</v>
      </c>
      <c r="H203" s="457"/>
      <c r="I203" s="457">
        <f>I204</f>
        <v>130000</v>
      </c>
      <c r="J203" s="457">
        <f>J204</f>
        <v>0</v>
      </c>
      <c r="K203" s="417"/>
      <c r="L203" s="417"/>
      <c r="N203" s="459"/>
    </row>
    <row r="204" spans="1:14" s="454" customFormat="1" ht="29.25" customHeight="1">
      <c r="A204" s="259"/>
      <c r="B204" s="398"/>
      <c r="C204" s="260">
        <v>63095</v>
      </c>
      <c r="D204" s="348"/>
      <c r="E204" s="451" t="s">
        <v>254</v>
      </c>
      <c r="F204" s="452">
        <f>SUM(F205:F206)</f>
        <v>131000</v>
      </c>
      <c r="G204" s="452">
        <f>SUM(G205:G206)</f>
        <v>0</v>
      </c>
      <c r="H204" s="452"/>
      <c r="I204" s="452">
        <f>SUM(I205:I206)</f>
        <v>130000</v>
      </c>
      <c r="J204" s="452">
        <f>SUM(J205:J206)</f>
        <v>0</v>
      </c>
      <c r="K204" s="453"/>
      <c r="L204" s="453"/>
      <c r="N204" s="455"/>
    </row>
    <row r="205" spans="1:14" s="329" customFormat="1" ht="54" customHeight="1">
      <c r="A205" s="247">
        <v>137</v>
      </c>
      <c r="B205" s="312"/>
      <c r="C205" s="190"/>
      <c r="D205" s="249">
        <v>6050</v>
      </c>
      <c r="E205" s="308" t="s">
        <v>794</v>
      </c>
      <c r="F205" s="680">
        <f>60000+1000</f>
        <v>61000</v>
      </c>
      <c r="G205" s="315"/>
      <c r="H205" s="236" t="s">
        <v>611</v>
      </c>
      <c r="I205" s="317">
        <v>60000</v>
      </c>
      <c r="J205" s="317"/>
      <c r="K205" s="450" t="s">
        <v>217</v>
      </c>
      <c r="L205" s="681" t="s">
        <v>387</v>
      </c>
      <c r="N205" s="361"/>
    </row>
    <row r="206" spans="1:14" s="329" customFormat="1" ht="39.75" customHeight="1">
      <c r="A206" s="247">
        <v>138</v>
      </c>
      <c r="B206" s="312"/>
      <c r="C206" s="190"/>
      <c r="D206" s="249">
        <v>6050</v>
      </c>
      <c r="E206" s="308" t="s">
        <v>721</v>
      </c>
      <c r="F206" s="314">
        <v>70000</v>
      </c>
      <c r="G206" s="315"/>
      <c r="H206" s="336" t="s">
        <v>574</v>
      </c>
      <c r="I206" s="317">
        <v>70000</v>
      </c>
      <c r="J206" s="317"/>
      <c r="K206" s="450" t="s">
        <v>615</v>
      </c>
      <c r="L206" s="450">
        <v>2013</v>
      </c>
      <c r="N206" s="361"/>
    </row>
    <row r="207" spans="1:17" s="33" customFormat="1" ht="27" customHeight="1">
      <c r="A207" s="190"/>
      <c r="B207" s="219">
        <v>710</v>
      </c>
      <c r="C207" s="219"/>
      <c r="D207" s="219"/>
      <c r="E207" s="296" t="s">
        <v>629</v>
      </c>
      <c r="F207" s="278">
        <f>F208+F211</f>
        <v>55000</v>
      </c>
      <c r="G207" s="278">
        <f>G208+G211</f>
        <v>0</v>
      </c>
      <c r="H207" s="278"/>
      <c r="I207" s="278">
        <f>I208+I211</f>
        <v>55000</v>
      </c>
      <c r="J207" s="278">
        <f>J208+J211</f>
        <v>0</v>
      </c>
      <c r="K207" s="215"/>
      <c r="L207" s="215"/>
      <c r="N207" s="337"/>
      <c r="O207" s="337"/>
      <c r="P207" s="337"/>
      <c r="Q207" s="3"/>
    </row>
    <row r="208" spans="1:17" s="33" customFormat="1" ht="27" customHeight="1">
      <c r="A208" s="190"/>
      <c r="B208" s="282"/>
      <c r="C208" s="254">
        <v>71012</v>
      </c>
      <c r="D208" s="261"/>
      <c r="E208" s="267" t="s">
        <v>630</v>
      </c>
      <c r="F208" s="268">
        <f>F209+F210</f>
        <v>45000</v>
      </c>
      <c r="G208" s="268">
        <f>G209+G210</f>
        <v>0</v>
      </c>
      <c r="H208" s="268"/>
      <c r="I208" s="268">
        <f>I209+I210</f>
        <v>45000</v>
      </c>
      <c r="J208" s="268">
        <f>J209+J210</f>
        <v>0</v>
      </c>
      <c r="K208" s="338"/>
      <c r="L208" s="338"/>
      <c r="N208" s="337"/>
      <c r="O208" s="337"/>
      <c r="P208" s="337"/>
      <c r="Q208" s="3"/>
    </row>
    <row r="209" spans="1:17" s="33" customFormat="1" ht="52.5" customHeight="1">
      <c r="A209" s="247">
        <v>139</v>
      </c>
      <c r="B209" s="289"/>
      <c r="C209" s="182"/>
      <c r="D209" s="249">
        <v>6050</v>
      </c>
      <c r="E209" s="286" t="s">
        <v>704</v>
      </c>
      <c r="F209" s="287">
        <v>25000</v>
      </c>
      <c r="G209" s="287"/>
      <c r="H209" s="287" t="s">
        <v>575</v>
      </c>
      <c r="I209" s="287">
        <v>25000</v>
      </c>
      <c r="J209" s="287"/>
      <c r="K209" s="215" t="s">
        <v>633</v>
      </c>
      <c r="L209" s="215">
        <v>2013</v>
      </c>
      <c r="N209" s="337"/>
      <c r="O209" s="337"/>
      <c r="P209" s="337"/>
      <c r="Q209" s="3"/>
    </row>
    <row r="210" spans="1:17" s="33" customFormat="1" ht="54.75" customHeight="1">
      <c r="A210" s="247">
        <v>140</v>
      </c>
      <c r="B210" s="289"/>
      <c r="C210" s="251"/>
      <c r="D210" s="249">
        <v>6060</v>
      </c>
      <c r="E210" s="286" t="s">
        <v>631</v>
      </c>
      <c r="F210" s="287">
        <f>25000+20000-25000</f>
        <v>20000</v>
      </c>
      <c r="G210" s="287">
        <v>0</v>
      </c>
      <c r="H210" s="339" t="s">
        <v>632</v>
      </c>
      <c r="I210" s="287">
        <f>25000+20000-25000</f>
        <v>20000</v>
      </c>
      <c r="J210" s="287">
        <v>0</v>
      </c>
      <c r="K210" s="215" t="s">
        <v>633</v>
      </c>
      <c r="L210" s="215">
        <v>2013</v>
      </c>
      <c r="N210" s="337"/>
      <c r="O210" s="337"/>
      <c r="P210" s="337"/>
      <c r="Q210" s="3"/>
    </row>
    <row r="211" spans="1:17" s="33" customFormat="1" ht="21.75" customHeight="1">
      <c r="A211" s="200"/>
      <c r="B211" s="259"/>
      <c r="C211" s="225">
        <v>71015</v>
      </c>
      <c r="D211" s="261"/>
      <c r="E211" s="267" t="s">
        <v>634</v>
      </c>
      <c r="F211" s="268">
        <f>F212+F213</f>
        <v>10000</v>
      </c>
      <c r="G211" s="268">
        <f>G213</f>
        <v>0</v>
      </c>
      <c r="H211" s="268"/>
      <c r="I211" s="268">
        <f>I212+I213</f>
        <v>10000</v>
      </c>
      <c r="J211" s="268">
        <f>J213</f>
        <v>0</v>
      </c>
      <c r="K211" s="338"/>
      <c r="L211" s="338"/>
      <c r="N211" s="337"/>
      <c r="O211" s="337"/>
      <c r="P211" s="337"/>
      <c r="Q211" s="3"/>
    </row>
    <row r="212" spans="1:17" s="33" customFormat="1" ht="40.5" customHeight="1">
      <c r="A212" s="200">
        <v>141</v>
      </c>
      <c r="B212" s="259"/>
      <c r="C212" s="224"/>
      <c r="D212" s="275">
        <v>6060</v>
      </c>
      <c r="E212" s="286" t="s">
        <v>635</v>
      </c>
      <c r="F212" s="287">
        <v>5000</v>
      </c>
      <c r="G212" s="287">
        <v>0</v>
      </c>
      <c r="H212" s="339" t="s">
        <v>636</v>
      </c>
      <c r="I212" s="340">
        <v>5000</v>
      </c>
      <c r="J212" s="340">
        <v>0</v>
      </c>
      <c r="K212" s="258" t="s">
        <v>637</v>
      </c>
      <c r="L212" s="258">
        <v>2013</v>
      </c>
      <c r="N212" s="337"/>
      <c r="O212" s="337"/>
      <c r="P212" s="337"/>
      <c r="Q212" s="3"/>
    </row>
    <row r="213" spans="1:17" s="33" customFormat="1" ht="41.25" customHeight="1">
      <c r="A213" s="247">
        <v>142</v>
      </c>
      <c r="B213" s="190"/>
      <c r="C213" s="256"/>
      <c r="D213" s="275">
        <v>6060</v>
      </c>
      <c r="E213" s="286" t="s">
        <v>638</v>
      </c>
      <c r="F213" s="287">
        <v>5000</v>
      </c>
      <c r="G213" s="287">
        <v>0</v>
      </c>
      <c r="H213" s="339" t="s">
        <v>639</v>
      </c>
      <c r="I213" s="340">
        <v>5000</v>
      </c>
      <c r="J213" s="340">
        <v>0</v>
      </c>
      <c r="K213" s="258" t="s">
        <v>637</v>
      </c>
      <c r="L213" s="258">
        <v>2013</v>
      </c>
      <c r="N213" s="337"/>
      <c r="O213" s="337"/>
      <c r="P213" s="337"/>
      <c r="Q213" s="3"/>
    </row>
    <row r="214" spans="1:17" s="33" customFormat="1" ht="35.25" customHeight="1">
      <c r="A214" s="219"/>
      <c r="B214" s="219">
        <v>754</v>
      </c>
      <c r="C214" s="219"/>
      <c r="D214" s="219"/>
      <c r="E214" s="263" t="s">
        <v>267</v>
      </c>
      <c r="F214" s="341">
        <f>F215+F217</f>
        <v>929860</v>
      </c>
      <c r="G214" s="341">
        <f>G215+G217</f>
        <v>0</v>
      </c>
      <c r="H214" s="341"/>
      <c r="I214" s="341">
        <f>I215+I217</f>
        <v>929860</v>
      </c>
      <c r="J214" s="341">
        <f>J215+J217</f>
        <v>100000</v>
      </c>
      <c r="K214" s="258"/>
      <c r="L214" s="258"/>
      <c r="N214" s="337"/>
      <c r="O214" s="337"/>
      <c r="P214" s="337"/>
      <c r="Q214" s="3"/>
    </row>
    <row r="215" spans="1:17" s="33" customFormat="1" ht="35.25" customHeight="1">
      <c r="A215" s="247"/>
      <c r="B215" s="190"/>
      <c r="C215" s="247">
        <v>75405</v>
      </c>
      <c r="D215" s="370"/>
      <c r="E215" s="286" t="s">
        <v>826</v>
      </c>
      <c r="F215" s="257">
        <f>F216</f>
        <v>210000</v>
      </c>
      <c r="G215" s="257">
        <f>G216</f>
        <v>0</v>
      </c>
      <c r="H215" s="257"/>
      <c r="I215" s="257">
        <f>I216</f>
        <v>210000</v>
      </c>
      <c r="J215" s="257">
        <f>J216</f>
        <v>0</v>
      </c>
      <c r="K215" s="258"/>
      <c r="L215" s="258"/>
      <c r="N215" s="337"/>
      <c r="O215" s="337"/>
      <c r="P215" s="337"/>
      <c r="Q215" s="3"/>
    </row>
    <row r="216" spans="1:17" s="33" customFormat="1" ht="35.25" customHeight="1">
      <c r="A216" s="247">
        <v>143</v>
      </c>
      <c r="B216" s="190"/>
      <c r="C216" s="247"/>
      <c r="D216" s="370">
        <v>6170</v>
      </c>
      <c r="E216" s="286" t="s">
        <v>576</v>
      </c>
      <c r="F216" s="257">
        <f>150000+60000</f>
        <v>210000</v>
      </c>
      <c r="G216" s="257"/>
      <c r="H216" s="257" t="s">
        <v>577</v>
      </c>
      <c r="I216" s="257">
        <f>150000+60000</f>
        <v>210000</v>
      </c>
      <c r="J216" s="257"/>
      <c r="K216" s="258" t="s">
        <v>271</v>
      </c>
      <c r="L216" s="258">
        <v>2013</v>
      </c>
      <c r="N216" s="337"/>
      <c r="O216" s="337"/>
      <c r="P216" s="337"/>
      <c r="Q216" s="3"/>
    </row>
    <row r="217" spans="1:17" s="33" customFormat="1" ht="33" customHeight="1">
      <c r="A217" s="247"/>
      <c r="B217" s="259"/>
      <c r="C217" s="260">
        <v>75411</v>
      </c>
      <c r="D217" s="342"/>
      <c r="E217" s="267" t="s">
        <v>640</v>
      </c>
      <c r="F217" s="257">
        <f>SUM(F218:F223)</f>
        <v>719860</v>
      </c>
      <c r="G217" s="257">
        <f>SUM(G218:G223)</f>
        <v>0</v>
      </c>
      <c r="H217" s="257"/>
      <c r="I217" s="257">
        <f>SUM(I218:I223)</f>
        <v>719860</v>
      </c>
      <c r="J217" s="257">
        <f>SUM(J218:J223)</f>
        <v>100000</v>
      </c>
      <c r="K217" s="258"/>
      <c r="L217" s="258"/>
      <c r="N217" s="337"/>
      <c r="O217" s="337"/>
      <c r="P217" s="337"/>
      <c r="Q217" s="3"/>
    </row>
    <row r="218" spans="1:17" s="33" customFormat="1" ht="105.75" customHeight="1">
      <c r="A218" s="990">
        <v>144</v>
      </c>
      <c r="B218" s="190"/>
      <c r="C218" s="256"/>
      <c r="D218" s="327">
        <v>6050</v>
      </c>
      <c r="E218" s="245" t="s">
        <v>672</v>
      </c>
      <c r="F218" s="287">
        <f>100000+9860</f>
        <v>109860</v>
      </c>
      <c r="G218" s="287">
        <v>0</v>
      </c>
      <c r="H218" s="339" t="s">
        <v>673</v>
      </c>
      <c r="I218" s="257">
        <f>100000+9860</f>
        <v>109860</v>
      </c>
      <c r="J218" s="257"/>
      <c r="K218" s="258" t="s">
        <v>674</v>
      </c>
      <c r="L218" s="258">
        <v>2013</v>
      </c>
      <c r="N218" s="337"/>
      <c r="O218" s="337"/>
      <c r="P218" s="337"/>
      <c r="Q218" s="3"/>
    </row>
    <row r="219" spans="1:17" s="33" customFormat="1" ht="105.75" customHeight="1">
      <c r="A219" s="992"/>
      <c r="B219" s="190"/>
      <c r="C219" s="256"/>
      <c r="D219" s="327">
        <v>6050</v>
      </c>
      <c r="E219" s="245" t="s">
        <v>672</v>
      </c>
      <c r="F219" s="287">
        <f>100000+130000</f>
        <v>230000</v>
      </c>
      <c r="G219" s="287"/>
      <c r="H219" s="339" t="s">
        <v>673</v>
      </c>
      <c r="I219" s="257">
        <f>130000+100000</f>
        <v>230000</v>
      </c>
      <c r="J219" s="257"/>
      <c r="K219" s="258" t="s">
        <v>674</v>
      </c>
      <c r="L219" s="258">
        <v>2013</v>
      </c>
      <c r="N219" s="337"/>
      <c r="O219" s="337"/>
      <c r="P219" s="337"/>
      <c r="Q219" s="3"/>
    </row>
    <row r="220" spans="1:17" s="33" customFormat="1" ht="111.75" customHeight="1">
      <c r="A220" s="992"/>
      <c r="B220" s="190"/>
      <c r="C220" s="256"/>
      <c r="D220" s="327">
        <v>6170</v>
      </c>
      <c r="E220" s="245" t="s">
        <v>672</v>
      </c>
      <c r="F220" s="287">
        <f>100000+130000-9860</f>
        <v>220140</v>
      </c>
      <c r="G220" s="287"/>
      <c r="H220" s="339" t="s">
        <v>673</v>
      </c>
      <c r="I220" s="257">
        <f>130000+100000-9860</f>
        <v>220140</v>
      </c>
      <c r="J220" s="257">
        <v>100000</v>
      </c>
      <c r="K220" s="258" t="s">
        <v>271</v>
      </c>
      <c r="L220" s="258">
        <v>2013</v>
      </c>
      <c r="N220" s="337"/>
      <c r="O220" s="337"/>
      <c r="P220" s="337"/>
      <c r="Q220" s="3"/>
    </row>
    <row r="221" spans="1:17" s="33" customFormat="1" ht="105.75" customHeight="1">
      <c r="A221" s="190">
        <v>145</v>
      </c>
      <c r="B221" s="190"/>
      <c r="C221" s="256"/>
      <c r="D221" s="327">
        <v>6060</v>
      </c>
      <c r="E221" s="245" t="s">
        <v>111</v>
      </c>
      <c r="F221" s="287">
        <v>110000</v>
      </c>
      <c r="G221" s="287"/>
      <c r="H221" s="245" t="s">
        <v>60</v>
      </c>
      <c r="I221" s="257">
        <v>110000</v>
      </c>
      <c r="J221" s="257"/>
      <c r="K221" s="258" t="s">
        <v>674</v>
      </c>
      <c r="L221" s="258">
        <v>2013</v>
      </c>
      <c r="N221" s="337"/>
      <c r="O221" s="337"/>
      <c r="P221" s="337"/>
      <c r="Q221" s="3"/>
    </row>
    <row r="222" spans="1:17" s="33" customFormat="1" ht="111.75" customHeight="1">
      <c r="A222" s="990">
        <v>146</v>
      </c>
      <c r="B222" s="256"/>
      <c r="C222" s="256"/>
      <c r="D222" s="327">
        <v>6050</v>
      </c>
      <c r="E222" s="245" t="s">
        <v>796</v>
      </c>
      <c r="F222" s="287">
        <v>20000</v>
      </c>
      <c r="G222" s="287"/>
      <c r="H222" s="339" t="s">
        <v>578</v>
      </c>
      <c r="I222" s="460">
        <v>20000</v>
      </c>
      <c r="J222" s="460"/>
      <c r="K222" s="258" t="s">
        <v>674</v>
      </c>
      <c r="L222" s="258">
        <v>2013</v>
      </c>
      <c r="N222" s="337"/>
      <c r="O222" s="337"/>
      <c r="P222" s="337"/>
      <c r="Q222" s="3"/>
    </row>
    <row r="223" spans="1:17" s="33" customFormat="1" ht="87" customHeight="1">
      <c r="A223" s="989"/>
      <c r="B223" s="256"/>
      <c r="C223" s="256"/>
      <c r="D223" s="327">
        <v>6170</v>
      </c>
      <c r="E223" s="245" t="s">
        <v>796</v>
      </c>
      <c r="F223" s="287">
        <f>20000+9860</f>
        <v>29860</v>
      </c>
      <c r="G223" s="287"/>
      <c r="H223" s="339" t="s">
        <v>578</v>
      </c>
      <c r="I223" s="460">
        <f>20000+9860</f>
        <v>29860</v>
      </c>
      <c r="J223" s="460"/>
      <c r="K223" s="258" t="s">
        <v>271</v>
      </c>
      <c r="L223" s="258">
        <v>2013</v>
      </c>
      <c r="N223" s="337"/>
      <c r="O223" s="337"/>
      <c r="P223" s="337"/>
      <c r="Q223" s="3"/>
    </row>
    <row r="224" spans="1:12" ht="21.75" customHeight="1">
      <c r="A224" s="411"/>
      <c r="B224" s="219">
        <v>758</v>
      </c>
      <c r="C224" s="219"/>
      <c r="D224" s="220"/>
      <c r="E224" s="252" t="s">
        <v>800</v>
      </c>
      <c r="F224" s="253">
        <f>F225</f>
        <v>34338.21999999997</v>
      </c>
      <c r="G224" s="253">
        <f aca="true" t="shared" si="1" ref="G224:J225">G225</f>
        <v>0</v>
      </c>
      <c r="H224" s="253"/>
      <c r="I224" s="253">
        <f t="shared" si="1"/>
        <v>34338.21999999997</v>
      </c>
      <c r="J224" s="253">
        <f t="shared" si="1"/>
        <v>0</v>
      </c>
      <c r="K224" s="216"/>
      <c r="L224" s="216"/>
    </row>
    <row r="225" spans="1:12" ht="22.5" customHeight="1">
      <c r="A225" s="386"/>
      <c r="B225" s="285"/>
      <c r="C225" s="266">
        <v>75818</v>
      </c>
      <c r="D225" s="261"/>
      <c r="E225" s="267" t="s">
        <v>801</v>
      </c>
      <c r="F225" s="268">
        <f>F226</f>
        <v>34338.21999999997</v>
      </c>
      <c r="G225" s="268">
        <f t="shared" si="1"/>
        <v>0</v>
      </c>
      <c r="H225" s="268"/>
      <c r="I225" s="268">
        <f t="shared" si="1"/>
        <v>34338.21999999997</v>
      </c>
      <c r="J225" s="268">
        <f t="shared" si="1"/>
        <v>0</v>
      </c>
      <c r="K225" s="229"/>
      <c r="L225" s="229"/>
    </row>
    <row r="226" spans="1:14" ht="32.25" customHeight="1">
      <c r="A226" s="386"/>
      <c r="B226" s="282"/>
      <c r="C226" s="256"/>
      <c r="D226" s="275">
        <v>6800</v>
      </c>
      <c r="E226" s="286" t="s">
        <v>274</v>
      </c>
      <c r="F226" s="687">
        <f>185000-85000+140536.05-165335+159134.5-99997.33-80000-20000</f>
        <v>34338.21999999997</v>
      </c>
      <c r="G226" s="287"/>
      <c r="H226" s="236"/>
      <c r="I226" s="688">
        <f>185000-85000+140536.05-165335+159134.5-99997.33-80000-20000</f>
        <v>34338.21999999997</v>
      </c>
      <c r="J226" s="284">
        <f>500000-500000</f>
        <v>0</v>
      </c>
      <c r="K226" s="216"/>
      <c r="L226" s="216"/>
      <c r="N226" s="217"/>
    </row>
    <row r="227" spans="1:12" ht="26.25" customHeight="1">
      <c r="A227" s="182"/>
      <c r="B227" s="307">
        <v>801</v>
      </c>
      <c r="C227" s="219"/>
      <c r="D227" s="219"/>
      <c r="E227" s="277" t="s">
        <v>275</v>
      </c>
      <c r="F227" s="253">
        <f>F228+F230+F232</f>
        <v>133105</v>
      </c>
      <c r="G227" s="253">
        <f>G228+G230+G232</f>
        <v>0</v>
      </c>
      <c r="H227" s="253"/>
      <c r="I227" s="253">
        <f>I228+I230+I232</f>
        <v>133105</v>
      </c>
      <c r="J227" s="253">
        <f>J228+J230+J232</f>
        <v>116500</v>
      </c>
      <c r="K227" s="298"/>
      <c r="L227" s="298"/>
    </row>
    <row r="228" spans="1:12" s="349" customFormat="1" ht="26.25" customHeight="1">
      <c r="A228" s="398"/>
      <c r="B228" s="254"/>
      <c r="C228" s="255">
        <v>80120</v>
      </c>
      <c r="D228" s="260"/>
      <c r="E228" s="280" t="s">
        <v>810</v>
      </c>
      <c r="F228" s="228">
        <f>F229</f>
        <v>110000</v>
      </c>
      <c r="G228" s="228">
        <f>G229</f>
        <v>0</v>
      </c>
      <c r="H228" s="228"/>
      <c r="I228" s="228">
        <f>I229</f>
        <v>110000</v>
      </c>
      <c r="J228" s="228">
        <f>J229</f>
        <v>110000</v>
      </c>
      <c r="K228" s="229"/>
      <c r="L228" s="229"/>
    </row>
    <row r="229" spans="1:12" s="658" customFormat="1" ht="35.25" customHeight="1">
      <c r="A229" s="247">
        <v>147</v>
      </c>
      <c r="B229" s="190"/>
      <c r="C229" s="313"/>
      <c r="D229" s="247">
        <v>6050</v>
      </c>
      <c r="E229" s="397" t="s">
        <v>837</v>
      </c>
      <c r="F229" s="246">
        <v>110000</v>
      </c>
      <c r="G229" s="246"/>
      <c r="H229" s="246" t="s">
        <v>845</v>
      </c>
      <c r="I229" s="246">
        <v>110000</v>
      </c>
      <c r="J229" s="246">
        <v>110000</v>
      </c>
      <c r="K229" s="216" t="s">
        <v>809</v>
      </c>
      <c r="L229" s="216">
        <v>2013</v>
      </c>
    </row>
    <row r="230" spans="1:12" s="658" customFormat="1" ht="45" customHeight="1">
      <c r="A230" s="247">
        <v>148</v>
      </c>
      <c r="B230" s="190"/>
      <c r="C230" s="313">
        <v>80140</v>
      </c>
      <c r="D230" s="247"/>
      <c r="E230" s="397" t="s">
        <v>846</v>
      </c>
      <c r="F230" s="246">
        <f>F231</f>
        <v>16605</v>
      </c>
      <c r="G230" s="246">
        <f>G231</f>
        <v>0</v>
      </c>
      <c r="H230" s="246"/>
      <c r="I230" s="246">
        <f>I231</f>
        <v>16605</v>
      </c>
      <c r="J230" s="246">
        <f>J231</f>
        <v>0</v>
      </c>
      <c r="K230" s="216"/>
      <c r="L230" s="216"/>
    </row>
    <row r="231" spans="1:12" s="658" customFormat="1" ht="41.25" customHeight="1">
      <c r="A231" s="247">
        <v>149</v>
      </c>
      <c r="B231" s="190"/>
      <c r="C231" s="313"/>
      <c r="D231" s="247">
        <v>6050</v>
      </c>
      <c r="E231" s="397" t="s">
        <v>838</v>
      </c>
      <c r="F231" s="246">
        <f>200000-183395</f>
        <v>16605</v>
      </c>
      <c r="G231" s="246"/>
      <c r="H231" s="246" t="s">
        <v>188</v>
      </c>
      <c r="I231" s="246">
        <f>200000-183395</f>
        <v>16605</v>
      </c>
      <c r="J231" s="246"/>
      <c r="K231" s="216" t="s">
        <v>808</v>
      </c>
      <c r="L231" s="216">
        <v>2013</v>
      </c>
    </row>
    <row r="232" spans="1:12" ht="32.25" customHeight="1">
      <c r="A232" s="182"/>
      <c r="B232" s="256"/>
      <c r="C232" s="255">
        <v>80146</v>
      </c>
      <c r="D232" s="260"/>
      <c r="E232" s="343" t="s">
        <v>675</v>
      </c>
      <c r="F232" s="228">
        <f>F233</f>
        <v>6500</v>
      </c>
      <c r="G232" s="228">
        <f>G233</f>
        <v>0</v>
      </c>
      <c r="H232" s="228"/>
      <c r="I232" s="228">
        <f>I233</f>
        <v>6500</v>
      </c>
      <c r="J232" s="228">
        <f>J233</f>
        <v>6500</v>
      </c>
      <c r="K232" s="229"/>
      <c r="L232" s="229"/>
    </row>
    <row r="233" spans="1:12" ht="53.25" customHeight="1">
      <c r="A233" s="247">
        <v>150</v>
      </c>
      <c r="B233" s="283"/>
      <c r="C233" s="293"/>
      <c r="D233" s="182">
        <v>6050</v>
      </c>
      <c r="E233" s="344" t="s">
        <v>676</v>
      </c>
      <c r="F233" s="345">
        <v>6500</v>
      </c>
      <c r="G233" s="346">
        <v>0</v>
      </c>
      <c r="H233" s="347" t="s">
        <v>677</v>
      </c>
      <c r="I233" s="284">
        <v>6500</v>
      </c>
      <c r="J233" s="284">
        <v>6500</v>
      </c>
      <c r="K233" s="216" t="s">
        <v>678</v>
      </c>
      <c r="L233" s="216">
        <v>2013</v>
      </c>
    </row>
    <row r="234" spans="1:12" s="299" customFormat="1" ht="28.5" customHeight="1">
      <c r="A234" s="251"/>
      <c r="B234" s="282">
        <v>852</v>
      </c>
      <c r="C234" s="219"/>
      <c r="D234" s="219"/>
      <c r="E234" s="296" t="s">
        <v>679</v>
      </c>
      <c r="F234" s="278">
        <f>F235</f>
        <v>84000</v>
      </c>
      <c r="G234" s="278">
        <f aca="true" t="shared" si="2" ref="G234:J235">G235</f>
        <v>0</v>
      </c>
      <c r="H234" s="278"/>
      <c r="I234" s="278">
        <f t="shared" si="2"/>
        <v>84000</v>
      </c>
      <c r="J234" s="278">
        <f t="shared" si="2"/>
        <v>0</v>
      </c>
      <c r="K234" s="298"/>
      <c r="L234" s="298"/>
    </row>
    <row r="235" spans="1:12" s="349" customFormat="1" ht="24" customHeight="1">
      <c r="A235" s="643"/>
      <c r="B235" s="254"/>
      <c r="C235" s="348">
        <v>85202</v>
      </c>
      <c r="D235" s="260"/>
      <c r="E235" s="300" t="s">
        <v>680</v>
      </c>
      <c r="F235" s="281">
        <f>F236+F237</f>
        <v>84000</v>
      </c>
      <c r="G235" s="281">
        <f t="shared" si="2"/>
        <v>0</v>
      </c>
      <c r="H235" s="281"/>
      <c r="I235" s="281">
        <f>I236+I237</f>
        <v>84000</v>
      </c>
      <c r="J235" s="281">
        <f t="shared" si="2"/>
        <v>0</v>
      </c>
      <c r="K235" s="229"/>
      <c r="L235" s="229"/>
    </row>
    <row r="236" spans="1:12" ht="42" customHeight="1">
      <c r="A236" s="247">
        <v>151</v>
      </c>
      <c r="B236" s="190"/>
      <c r="C236" s="249"/>
      <c r="D236" s="247">
        <v>6060</v>
      </c>
      <c r="E236" s="234" t="s">
        <v>681</v>
      </c>
      <c r="F236" s="346">
        <f>84000-3600</f>
        <v>80400</v>
      </c>
      <c r="G236" s="346"/>
      <c r="H236" s="236" t="s">
        <v>682</v>
      </c>
      <c r="I236" s="284">
        <f>84000-3600</f>
        <v>80400</v>
      </c>
      <c r="J236" s="250"/>
      <c r="K236" s="216" t="s">
        <v>683</v>
      </c>
      <c r="L236" s="216">
        <v>2013</v>
      </c>
    </row>
    <row r="237" spans="1:12" ht="42" customHeight="1">
      <c r="A237" s="247">
        <v>152</v>
      </c>
      <c r="B237" s="200"/>
      <c r="C237" s="249"/>
      <c r="D237" s="275">
        <v>6060</v>
      </c>
      <c r="E237" s="245" t="s">
        <v>811</v>
      </c>
      <c r="F237" s="246">
        <v>3600</v>
      </c>
      <c r="G237" s="246"/>
      <c r="H237" s="242" t="s">
        <v>812</v>
      </c>
      <c r="I237" s="250">
        <v>3600</v>
      </c>
      <c r="J237" s="250"/>
      <c r="K237" s="216" t="s">
        <v>683</v>
      </c>
      <c r="L237" s="216">
        <v>2013</v>
      </c>
    </row>
    <row r="238" spans="1:12" ht="24" customHeight="1">
      <c r="A238" s="219"/>
      <c r="B238" s="644">
        <v>926</v>
      </c>
      <c r="C238" s="219"/>
      <c r="D238" s="220"/>
      <c r="E238" s="252" t="s">
        <v>606</v>
      </c>
      <c r="F238" s="253">
        <f>F239</f>
        <v>1872921</v>
      </c>
      <c r="G238" s="253">
        <f>G239</f>
        <v>0</v>
      </c>
      <c r="H238" s="253"/>
      <c r="I238" s="253">
        <f>I239</f>
        <v>528121</v>
      </c>
      <c r="J238" s="253">
        <f>J239</f>
        <v>100000</v>
      </c>
      <c r="K238" s="216"/>
      <c r="L238" s="216"/>
    </row>
    <row r="239" spans="1:12" ht="24" customHeight="1">
      <c r="A239" s="289"/>
      <c r="B239" s="285"/>
      <c r="C239" s="266">
        <v>92601</v>
      </c>
      <c r="D239" s="261"/>
      <c r="E239" s="227" t="s">
        <v>607</v>
      </c>
      <c r="F239" s="228">
        <f>SUM(F240:F240)</f>
        <v>1872921</v>
      </c>
      <c r="G239" s="228">
        <f>SUM(G240:G240)</f>
        <v>0</v>
      </c>
      <c r="H239" s="228"/>
      <c r="I239" s="228">
        <f>SUM(I240:I240)</f>
        <v>528121</v>
      </c>
      <c r="J239" s="228">
        <f>SUM(J240:J240)</f>
        <v>100000</v>
      </c>
      <c r="K239" s="229"/>
      <c r="L239" s="229"/>
    </row>
    <row r="240" spans="1:12" ht="38.25" customHeight="1">
      <c r="A240" s="312">
        <v>153</v>
      </c>
      <c r="B240" s="279"/>
      <c r="C240" s="224"/>
      <c r="D240" s="327">
        <v>6050</v>
      </c>
      <c r="E240" s="240" t="s">
        <v>684</v>
      </c>
      <c r="F240" s="679">
        <f>50000+450000+1000000+28121+347300-2500</f>
        <v>1872921</v>
      </c>
      <c r="G240" s="246">
        <v>0</v>
      </c>
      <c r="H240" s="236" t="s">
        <v>685</v>
      </c>
      <c r="I240" s="246">
        <f>450000+50000+28121</f>
        <v>528121</v>
      </c>
      <c r="J240" s="246">
        <v>100000</v>
      </c>
      <c r="K240" s="216" t="s">
        <v>217</v>
      </c>
      <c r="L240" s="258" t="s">
        <v>686</v>
      </c>
    </row>
    <row r="241" spans="1:15" ht="28.5" customHeight="1">
      <c r="A241" s="219"/>
      <c r="B241" s="350" t="s">
        <v>81</v>
      </c>
      <c r="C241" s="351"/>
      <c r="D241" s="352"/>
      <c r="E241" s="353"/>
      <c r="F241" s="334">
        <f>F13+F187</f>
        <v>90246291.74</v>
      </c>
      <c r="G241" s="334">
        <f>G13+G187</f>
        <v>23804561.88</v>
      </c>
      <c r="H241" s="334"/>
      <c r="I241" s="334">
        <f>I13+I187</f>
        <v>47436581.03</v>
      </c>
      <c r="J241" s="334">
        <f>J13+J187</f>
        <v>5513303</v>
      </c>
      <c r="K241" s="354"/>
      <c r="L241" s="354"/>
      <c r="N241" s="406"/>
      <c r="O241" s="406"/>
    </row>
    <row r="242" spans="1:15" ht="21.75" customHeight="1">
      <c r="A242" s="159"/>
      <c r="B242" s="167"/>
      <c r="C242" s="167"/>
      <c r="D242" s="159"/>
      <c r="E242" s="161"/>
      <c r="F242" s="355"/>
      <c r="G242" s="355"/>
      <c r="H242" s="167"/>
      <c r="I242" s="3"/>
      <c r="J242" s="3"/>
      <c r="K242" s="163"/>
      <c r="L242" s="163"/>
      <c r="N242" s="407"/>
      <c r="O242" s="407"/>
    </row>
    <row r="243" spans="1:15" ht="22.5" customHeight="1">
      <c r="A243" s="159"/>
      <c r="B243" s="160"/>
      <c r="C243" s="160"/>
      <c r="D243" s="159"/>
      <c r="G243" s="161"/>
      <c r="H243" s="161"/>
      <c r="I243" s="4"/>
      <c r="J243" s="4"/>
      <c r="K243" s="174"/>
      <c r="L243" s="163"/>
      <c r="N243" s="217"/>
      <c r="O243" s="223"/>
    </row>
    <row r="244" spans="1:15" ht="12.75">
      <c r="A244" s="159"/>
      <c r="B244" s="160"/>
      <c r="C244" s="160"/>
      <c r="D244" s="159"/>
      <c r="G244" s="161"/>
      <c r="H244" s="161"/>
      <c r="I244" s="4"/>
      <c r="J244" s="4"/>
      <c r="K244" s="174"/>
      <c r="L244" s="163"/>
      <c r="M244" s="217"/>
      <c r="N244" s="217"/>
      <c r="O244" s="217"/>
    </row>
    <row r="245" spans="8:15" ht="12.75">
      <c r="H245" s="356"/>
      <c r="I245" s="237"/>
      <c r="J245" s="217"/>
      <c r="K245" s="217"/>
      <c r="N245" s="217"/>
      <c r="O245" s="217"/>
    </row>
    <row r="246" spans="8:15" ht="12.75">
      <c r="H246" s="237"/>
      <c r="I246" s="357"/>
      <c r="J246" s="217"/>
      <c r="K246" s="217"/>
      <c r="N246" s="217"/>
      <c r="O246" s="217"/>
    </row>
    <row r="247" spans="8:15" ht="12.75">
      <c r="H247" s="217"/>
      <c r="I247" s="217"/>
      <c r="J247" s="217"/>
      <c r="K247" s="217"/>
      <c r="N247" s="217"/>
      <c r="O247" s="217"/>
    </row>
    <row r="248" spans="8:15" ht="12.75">
      <c r="H248" s="217"/>
      <c r="I248" s="217"/>
      <c r="J248" s="217"/>
      <c r="K248" s="217"/>
      <c r="N248" s="217"/>
      <c r="O248" s="217"/>
    </row>
    <row r="249" spans="8:11" ht="12.75">
      <c r="H249" s="217"/>
      <c r="I249" s="217"/>
      <c r="J249" s="217"/>
      <c r="K249" s="217"/>
    </row>
    <row r="250" spans="8:11" ht="12.75">
      <c r="H250" s="217"/>
      <c r="I250" s="217"/>
      <c r="J250" s="217"/>
      <c r="K250" s="217"/>
    </row>
    <row r="251" spans="8:11" ht="12.75">
      <c r="H251" s="217"/>
      <c r="I251" s="217"/>
      <c r="J251" s="217"/>
      <c r="K251" s="217"/>
    </row>
    <row r="252" spans="8:11" ht="12.75">
      <c r="H252" s="217"/>
      <c r="I252" s="217"/>
      <c r="J252" s="217"/>
      <c r="K252" s="217"/>
    </row>
    <row r="253" spans="8:11" ht="12.75">
      <c r="H253" s="217"/>
      <c r="I253" s="217"/>
      <c r="J253" s="217"/>
      <c r="K253" s="217"/>
    </row>
    <row r="254" spans="8:11" ht="12.75">
      <c r="H254" s="217"/>
      <c r="I254" s="217"/>
      <c r="J254" s="217"/>
      <c r="K254" s="217"/>
    </row>
    <row r="255" spans="8:11" ht="12.75">
      <c r="H255" s="217"/>
      <c r="I255" s="217"/>
      <c r="J255" s="217"/>
      <c r="K255" s="217"/>
    </row>
    <row r="256" spans="8:11" ht="12.75">
      <c r="H256" s="217"/>
      <c r="I256" s="217"/>
      <c r="J256" s="217"/>
      <c r="K256" s="217"/>
    </row>
  </sheetData>
  <sheetProtection/>
  <mergeCells count="5">
    <mergeCell ref="A138:A139"/>
    <mergeCell ref="A169:A170"/>
    <mergeCell ref="A222:A223"/>
    <mergeCell ref="A140:A141"/>
    <mergeCell ref="A218:A220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7109375" style="42" customWidth="1"/>
    <col min="2" max="2" width="31.7109375" style="42" customWidth="1"/>
    <col min="3" max="3" width="15.00390625" style="42" customWidth="1"/>
    <col min="4" max="4" width="8.57421875" style="42" customWidth="1"/>
    <col min="5" max="5" width="17.140625" style="42" customWidth="1"/>
    <col min="6" max="6" width="18.28125" style="42" customWidth="1"/>
    <col min="7" max="7" width="13.28125" style="42" customWidth="1"/>
    <col min="8" max="8" width="22.28125" style="42" customWidth="1"/>
    <col min="9" max="9" width="29.00390625" style="706" customWidth="1"/>
    <col min="10" max="10" width="18.140625" style="42" customWidth="1"/>
    <col min="11" max="11" width="9.140625" style="42" customWidth="1"/>
    <col min="12" max="12" width="10.140625" style="42" bestFit="1" customWidth="1"/>
    <col min="13" max="16384" width="9.140625" style="42" customWidth="1"/>
  </cols>
  <sheetData>
    <row r="1" spans="4:5" ht="20.25">
      <c r="D1" s="705"/>
      <c r="E1" s="705" t="s">
        <v>448</v>
      </c>
    </row>
    <row r="2" spans="4:5" ht="18.75">
      <c r="D2" s="68"/>
      <c r="E2" s="68" t="s">
        <v>461</v>
      </c>
    </row>
    <row r="3" spans="4:5" ht="18.75">
      <c r="D3" s="68"/>
      <c r="E3" s="68" t="s">
        <v>153</v>
      </c>
    </row>
    <row r="4" spans="4:5" ht="18.75">
      <c r="D4" s="68"/>
      <c r="E4" s="68" t="s">
        <v>462</v>
      </c>
    </row>
    <row r="5" spans="4:5" ht="18.75">
      <c r="D5" s="68"/>
      <c r="E5" s="68"/>
    </row>
    <row r="6" spans="1:12" ht="18">
      <c r="A6" s="707"/>
      <c r="B6" s="708"/>
      <c r="C6" s="708"/>
      <c r="D6" s="709"/>
      <c r="E6" s="710"/>
      <c r="F6" s="710"/>
      <c r="G6" s="710"/>
      <c r="H6" s="710"/>
      <c r="I6" s="711"/>
      <c r="J6" s="710"/>
      <c r="K6" s="712"/>
      <c r="L6" s="712"/>
    </row>
    <row r="7" spans="1:12" ht="20.25">
      <c r="A7" s="707"/>
      <c r="B7" s="713" t="s">
        <v>449</v>
      </c>
      <c r="C7" s="16"/>
      <c r="D7" s="714"/>
      <c r="E7" s="710"/>
      <c r="F7" s="710"/>
      <c r="G7" s="710"/>
      <c r="H7" s="710"/>
      <c r="I7" s="711"/>
      <c r="J7" s="710"/>
      <c r="K7" s="712"/>
      <c r="L7" s="712"/>
    </row>
    <row r="8" spans="1:12" ht="20.25">
      <c r="A8" s="707"/>
      <c r="B8" s="713" t="s">
        <v>450</v>
      </c>
      <c r="C8" s="16"/>
      <c r="D8" s="714"/>
      <c r="E8" s="710"/>
      <c r="F8" s="710"/>
      <c r="G8" s="710"/>
      <c r="H8" s="710"/>
      <c r="I8" s="711"/>
      <c r="J8" s="710"/>
      <c r="K8" s="712"/>
      <c r="L8" s="712"/>
    </row>
    <row r="9" spans="1:12" ht="20.25">
      <c r="A9" s="707"/>
      <c r="B9" s="713" t="s">
        <v>451</v>
      </c>
      <c r="C9" s="16"/>
      <c r="D9" s="714"/>
      <c r="E9" s="710"/>
      <c r="F9" s="710"/>
      <c r="G9" s="710"/>
      <c r="H9" s="710"/>
      <c r="I9" s="711"/>
      <c r="J9" s="710"/>
      <c r="K9" s="712"/>
      <c r="L9" s="712"/>
    </row>
    <row r="10" spans="1:12" ht="20.25">
      <c r="A10" s="707"/>
      <c r="B10" s="715"/>
      <c r="C10" s="16"/>
      <c r="D10" s="714"/>
      <c r="E10" s="710"/>
      <c r="F10" s="710"/>
      <c r="G10" s="710"/>
      <c r="H10" s="710"/>
      <c r="I10" s="711"/>
      <c r="J10" s="710"/>
      <c r="K10" s="712"/>
      <c r="L10" s="712"/>
    </row>
    <row r="11" spans="1:12" ht="12.75">
      <c r="A11" s="707"/>
      <c r="B11" s="710"/>
      <c r="C11" s="710"/>
      <c r="D11" s="716"/>
      <c r="E11" s="710"/>
      <c r="F11" s="717" t="s">
        <v>162</v>
      </c>
      <c r="G11" s="710"/>
      <c r="H11" s="710"/>
      <c r="I11" s="711"/>
      <c r="J11" s="710"/>
      <c r="K11" s="712"/>
      <c r="L11" s="712"/>
    </row>
    <row r="12" spans="1:12" ht="29.25" customHeight="1">
      <c r="A12" s="718"/>
      <c r="B12" s="719"/>
      <c r="C12" s="719"/>
      <c r="D12" s="720"/>
      <c r="E12" s="721" t="s">
        <v>452</v>
      </c>
      <c r="F12" s="722"/>
      <c r="G12" s="723"/>
      <c r="H12" s="710"/>
      <c r="I12" s="711"/>
      <c r="J12" s="155"/>
      <c r="K12" s="155"/>
      <c r="L12" s="712"/>
    </row>
    <row r="13" spans="1:12" s="733" customFormat="1" ht="44.25" customHeight="1">
      <c r="A13" s="724" t="s">
        <v>712</v>
      </c>
      <c r="B13" s="725" t="s">
        <v>870</v>
      </c>
      <c r="C13" s="726" t="s">
        <v>871</v>
      </c>
      <c r="D13" s="726" t="s">
        <v>872</v>
      </c>
      <c r="E13" s="727" t="s">
        <v>873</v>
      </c>
      <c r="F13" s="728" t="s">
        <v>453</v>
      </c>
      <c r="G13" s="729"/>
      <c r="H13" s="730"/>
      <c r="I13" s="731"/>
      <c r="J13" s="155"/>
      <c r="K13" s="155"/>
      <c r="L13" s="732"/>
    </row>
    <row r="14" spans="1:13" s="329" customFormat="1" ht="32.25" customHeight="1">
      <c r="A14" s="734" t="s">
        <v>874</v>
      </c>
      <c r="B14" s="735"/>
      <c r="C14" s="736"/>
      <c r="D14" s="736"/>
      <c r="E14" s="737">
        <f>E17+E20+E23+E26+E29+E32</f>
        <v>370002.23</v>
      </c>
      <c r="F14" s="737">
        <f>F17+F20+F23+F26+F29+F32</f>
        <v>2184979.33</v>
      </c>
      <c r="G14" s="738"/>
      <c r="H14" s="739"/>
      <c r="I14" s="749">
        <f>F14+E14</f>
        <v>2554981.56</v>
      </c>
      <c r="J14" s="741"/>
      <c r="K14" s="741"/>
      <c r="L14" s="741"/>
      <c r="M14" s="742"/>
    </row>
    <row r="15" spans="1:12" s="329" customFormat="1" ht="51.75" customHeight="1">
      <c r="A15" s="491">
        <v>1</v>
      </c>
      <c r="B15" s="743" t="s">
        <v>454</v>
      </c>
      <c r="C15" s="744" t="s">
        <v>455</v>
      </c>
      <c r="D15" s="492"/>
      <c r="E15" s="745"/>
      <c r="F15" s="746"/>
      <c r="G15" s="747"/>
      <c r="H15" s="748"/>
      <c r="I15" s="749"/>
      <c r="J15" s="750"/>
      <c r="K15" s="751"/>
      <c r="L15" s="751"/>
    </row>
    <row r="16" spans="1:12" s="329" customFormat="1" ht="36.75" customHeight="1">
      <c r="A16" s="752"/>
      <c r="B16" s="609" t="s">
        <v>456</v>
      </c>
      <c r="C16" s="493"/>
      <c r="D16" s="494"/>
      <c r="E16" s="753"/>
      <c r="F16" s="753"/>
      <c r="G16" s="747"/>
      <c r="H16" s="748"/>
      <c r="I16" s="740"/>
      <c r="J16" s="750"/>
      <c r="K16" s="751"/>
      <c r="L16" s="751"/>
    </row>
    <row r="17" spans="1:12" s="329" customFormat="1" ht="84.75" customHeight="1">
      <c r="A17" s="495"/>
      <c r="B17" s="609" t="s">
        <v>457</v>
      </c>
      <c r="C17" s="496"/>
      <c r="D17" s="494" t="s">
        <v>458</v>
      </c>
      <c r="E17" s="754">
        <f>136899-43357.5</f>
        <v>93541.5</v>
      </c>
      <c r="F17" s="755">
        <f>775761-245692.5</f>
        <v>530068.5</v>
      </c>
      <c r="G17" s="747"/>
      <c r="H17" s="748"/>
      <c r="I17" s="740"/>
      <c r="J17" s="750"/>
      <c r="K17" s="751"/>
      <c r="L17" s="751"/>
    </row>
    <row r="18" spans="1:8" ht="44.25" customHeight="1">
      <c r="A18" s="491">
        <v>2</v>
      </c>
      <c r="B18" s="497" t="s">
        <v>876</v>
      </c>
      <c r="C18" s="498" t="s">
        <v>877</v>
      </c>
      <c r="D18" s="492"/>
      <c r="E18" s="756"/>
      <c r="F18" s="499"/>
      <c r="H18" s="748"/>
    </row>
    <row r="19" spans="1:8" ht="84.75" customHeight="1">
      <c r="A19" s="500"/>
      <c r="B19" s="501" t="s">
        <v>878</v>
      </c>
      <c r="C19" s="502"/>
      <c r="D19" s="494"/>
      <c r="E19" s="503"/>
      <c r="F19" s="504"/>
      <c r="H19" s="748"/>
    </row>
    <row r="20" spans="1:8" ht="45" customHeight="1">
      <c r="A20" s="500"/>
      <c r="B20" s="505" t="s">
        <v>879</v>
      </c>
      <c r="C20" s="757"/>
      <c r="D20" s="506" t="s">
        <v>264</v>
      </c>
      <c r="E20" s="758">
        <f>240000+6000</f>
        <v>246000</v>
      </c>
      <c r="F20" s="507">
        <f>1360000+34000</f>
        <v>1394000</v>
      </c>
      <c r="H20" s="748"/>
    </row>
    <row r="21" spans="1:9" ht="44.25" customHeight="1">
      <c r="A21" s="759">
        <v>3</v>
      </c>
      <c r="B21" s="497" t="s">
        <v>876</v>
      </c>
      <c r="C21" s="508" t="s">
        <v>877</v>
      </c>
      <c r="D21" s="506"/>
      <c r="E21" s="760"/>
      <c r="F21" s="760"/>
      <c r="H21" s="748"/>
      <c r="I21" s="761"/>
    </row>
    <row r="22" spans="1:9" ht="96.75" customHeight="1">
      <c r="A22" s="500"/>
      <c r="B22" s="762" t="s">
        <v>880</v>
      </c>
      <c r="C22" s="763"/>
      <c r="D22" s="494"/>
      <c r="E22" s="753"/>
      <c r="F22" s="753"/>
      <c r="H22" s="748"/>
      <c r="I22" s="764"/>
    </row>
    <row r="23" spans="1:8" ht="45.75" customHeight="1">
      <c r="A23" s="495"/>
      <c r="B23" s="765" t="s">
        <v>459</v>
      </c>
      <c r="C23" s="496"/>
      <c r="D23" s="506" t="s">
        <v>881</v>
      </c>
      <c r="E23" s="767">
        <f>33150-2689.27</f>
        <v>30460.73</v>
      </c>
      <c r="F23" s="767">
        <f>187850-15239.17</f>
        <v>172610.83</v>
      </c>
      <c r="H23" s="748"/>
    </row>
    <row r="24" spans="1:8" ht="44.25" customHeight="1">
      <c r="A24" s="491">
        <v>4</v>
      </c>
      <c r="B24" s="497" t="s">
        <v>876</v>
      </c>
      <c r="C24" s="509" t="s">
        <v>882</v>
      </c>
      <c r="D24" s="510"/>
      <c r="E24" s="499"/>
      <c r="F24" s="499"/>
      <c r="H24" s="748"/>
    </row>
    <row r="25" spans="1:9" ht="89.25">
      <c r="A25" s="500"/>
      <c r="B25" s="511" t="s">
        <v>883</v>
      </c>
      <c r="C25" s="493"/>
      <c r="D25" s="512"/>
      <c r="E25" s="504"/>
      <c r="F25" s="504"/>
      <c r="H25" s="748"/>
      <c r="I25" s="766"/>
    </row>
    <row r="26" spans="1:9" ht="33" customHeight="1">
      <c r="A26" s="495"/>
      <c r="B26" s="511" t="s">
        <v>884</v>
      </c>
      <c r="C26" s="496"/>
      <c r="D26" s="513" t="s">
        <v>264</v>
      </c>
      <c r="E26" s="507"/>
      <c r="F26" s="507">
        <f>38000-7000+13000</f>
        <v>44000</v>
      </c>
      <c r="H26" s="748"/>
      <c r="I26" s="766"/>
    </row>
    <row r="27" spans="1:8" ht="34.5" customHeight="1">
      <c r="A27" s="491">
        <v>5</v>
      </c>
      <c r="B27" s="497" t="s">
        <v>876</v>
      </c>
      <c r="C27" s="509" t="s">
        <v>885</v>
      </c>
      <c r="D27" s="514"/>
      <c r="E27" s="515"/>
      <c r="F27" s="499"/>
      <c r="H27" s="748"/>
    </row>
    <row r="28" spans="1:6" ht="114.75">
      <c r="A28" s="500"/>
      <c r="B28" s="511" t="s">
        <v>752</v>
      </c>
      <c r="C28" s="502"/>
      <c r="D28" s="516"/>
      <c r="E28" s="517"/>
      <c r="F28" s="504"/>
    </row>
    <row r="29" spans="1:6" ht="38.25" customHeight="1">
      <c r="A29" s="495"/>
      <c r="B29" s="511" t="s">
        <v>886</v>
      </c>
      <c r="C29" s="518"/>
      <c r="D29" s="513" t="s">
        <v>590</v>
      </c>
      <c r="E29" s="507"/>
      <c r="F29" s="660">
        <v>9800</v>
      </c>
    </row>
    <row r="30" spans="1:6" ht="71.25" customHeight="1">
      <c r="A30" s="491">
        <v>6</v>
      </c>
      <c r="B30" s="497" t="s">
        <v>876</v>
      </c>
      <c r="C30" s="509" t="s">
        <v>887</v>
      </c>
      <c r="D30" s="514"/>
      <c r="E30" s="499"/>
      <c r="F30" s="499"/>
    </row>
    <row r="31" spans="1:6" ht="69" customHeight="1">
      <c r="A31" s="500"/>
      <c r="B31" s="511" t="s">
        <v>0</v>
      </c>
      <c r="C31" s="502"/>
      <c r="D31" s="516"/>
      <c r="E31" s="504"/>
      <c r="F31" s="504"/>
    </row>
    <row r="32" spans="1:6" ht="36.75" customHeight="1">
      <c r="A32" s="495"/>
      <c r="B32" s="511" t="s">
        <v>460</v>
      </c>
      <c r="C32" s="518"/>
      <c r="D32" s="513" t="s">
        <v>1</v>
      </c>
      <c r="E32" s="507"/>
      <c r="F32" s="660">
        <f>3500+31000</f>
        <v>34500</v>
      </c>
    </row>
    <row r="33" spans="4:6" ht="12.75">
      <c r="D33" s="706"/>
      <c r="E33" s="706"/>
      <c r="F33" s="706"/>
    </row>
    <row r="34" spans="4:6" ht="12.75">
      <c r="D34" s="706"/>
      <c r="E34" s="706"/>
      <c r="F34" s="706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14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7109375" style="2" customWidth="1"/>
    <col min="5" max="5" width="13.57421875" style="2" customWidth="1"/>
    <col min="6" max="6" width="15.140625" style="2" customWidth="1"/>
    <col min="7" max="7" width="13.57421875" style="520" customWidth="1"/>
    <col min="8" max="8" width="18.140625" style="520" customWidth="1"/>
    <col min="9" max="9" width="23.00390625" style="520" customWidth="1"/>
    <col min="10" max="10" width="20.28125" style="467" customWidth="1"/>
    <col min="11" max="11" width="18.140625" style="68" customWidth="1"/>
    <col min="12" max="12" width="15.7109375" style="68" customWidth="1"/>
    <col min="13" max="13" width="10.140625" style="68" bestFit="1" customWidth="1"/>
    <col min="14" max="14" width="9.140625" style="68" customWidth="1"/>
    <col min="15" max="16384" width="9.140625" style="2" customWidth="1"/>
  </cols>
  <sheetData>
    <row r="1" spans="3:4" ht="20.25">
      <c r="C1" s="162" t="s">
        <v>463</v>
      </c>
      <c r="D1" s="519"/>
    </row>
    <row r="2" spans="3:4" ht="18.75">
      <c r="C2" s="164" t="s">
        <v>749</v>
      </c>
      <c r="D2" s="519"/>
    </row>
    <row r="3" spans="3:4" ht="18.75">
      <c r="C3" s="164" t="s">
        <v>153</v>
      </c>
      <c r="D3" s="519"/>
    </row>
    <row r="4" spans="3:4" ht="18.75">
      <c r="C4" s="164" t="s">
        <v>748</v>
      </c>
      <c r="D4" s="519"/>
    </row>
    <row r="5" spans="3:4" ht="18.75">
      <c r="C5" s="519"/>
      <c r="D5" s="519"/>
    </row>
    <row r="6" spans="1:13" ht="18.75">
      <c r="A6" s="519"/>
      <c r="B6" s="519"/>
      <c r="C6" s="519"/>
      <c r="D6" s="519"/>
      <c r="E6" s="519"/>
      <c r="F6" s="519"/>
      <c r="G6" s="521"/>
      <c r="H6" s="521"/>
      <c r="I6" s="521"/>
      <c r="J6" s="522"/>
      <c r="K6" s="523"/>
      <c r="L6" s="523"/>
      <c r="M6" s="523"/>
    </row>
    <row r="7" spans="1:13" ht="20.25">
      <c r="A7" s="519"/>
      <c r="B7" s="524" t="s">
        <v>2</v>
      </c>
      <c r="C7" s="519"/>
      <c r="D7" s="519"/>
      <c r="E7" s="519"/>
      <c r="F7" s="519"/>
      <c r="G7" s="521"/>
      <c r="H7" s="521"/>
      <c r="I7" s="521"/>
      <c r="J7" s="522"/>
      <c r="K7" s="523"/>
      <c r="L7" s="523"/>
      <c r="M7" s="523"/>
    </row>
    <row r="8" spans="1:13" ht="20.25">
      <c r="A8" s="525"/>
      <c r="B8" s="524" t="s">
        <v>3</v>
      </c>
      <c r="C8" s="5"/>
      <c r="D8" s="6"/>
      <c r="E8" s="5"/>
      <c r="F8" s="5"/>
      <c r="G8" s="526"/>
      <c r="H8" s="526"/>
      <c r="I8" s="526"/>
      <c r="J8" s="527"/>
      <c r="K8" s="7"/>
      <c r="L8" s="523"/>
      <c r="M8" s="523"/>
    </row>
    <row r="9" spans="1:13" ht="20.25">
      <c r="A9" s="525"/>
      <c r="B9" s="524" t="s">
        <v>4</v>
      </c>
      <c r="C9" s="5"/>
      <c r="D9" s="6"/>
      <c r="E9" s="5"/>
      <c r="F9" s="5"/>
      <c r="G9" s="526"/>
      <c r="H9" s="526"/>
      <c r="I9" s="526"/>
      <c r="J9" s="527"/>
      <c r="K9" s="7"/>
      <c r="L9" s="523"/>
      <c r="M9" s="523"/>
    </row>
    <row r="10" spans="1:13" ht="18.75">
      <c r="A10" s="525"/>
      <c r="B10" s="23"/>
      <c r="C10" s="23"/>
      <c r="D10" s="528"/>
      <c r="E10" s="5"/>
      <c r="F10" s="5"/>
      <c r="G10" s="526"/>
      <c r="H10" s="526"/>
      <c r="I10" s="526"/>
      <c r="J10" s="527"/>
      <c r="K10" s="7"/>
      <c r="L10" s="523"/>
      <c r="M10" s="523"/>
    </row>
    <row r="11" spans="1:13" ht="18.75">
      <c r="A11" s="525"/>
      <c r="B11" s="5"/>
      <c r="C11" s="5"/>
      <c r="D11" s="6"/>
      <c r="E11" s="5"/>
      <c r="F11" s="529" t="s">
        <v>162</v>
      </c>
      <c r="G11" s="526"/>
      <c r="H11" s="526"/>
      <c r="I11" s="526"/>
      <c r="J11" s="527"/>
      <c r="K11" s="7"/>
      <c r="L11" s="523"/>
      <c r="M11" s="523"/>
    </row>
    <row r="12" spans="1:13" ht="29.25" customHeight="1">
      <c r="A12" s="530"/>
      <c r="B12" s="531"/>
      <c r="C12" s="531"/>
      <c r="D12" s="532"/>
      <c r="E12" s="533" t="s">
        <v>5</v>
      </c>
      <c r="F12" s="534"/>
      <c r="G12" s="526"/>
      <c r="H12" s="526"/>
      <c r="I12" s="526"/>
      <c r="J12" s="527"/>
      <c r="K12" s="7"/>
      <c r="L12" s="523"/>
      <c r="M12" s="523"/>
    </row>
    <row r="13" spans="1:14" s="546" customFormat="1" ht="41.25" customHeight="1">
      <c r="A13" s="535" t="s">
        <v>712</v>
      </c>
      <c r="B13" s="536" t="s">
        <v>870</v>
      </c>
      <c r="C13" s="537" t="s">
        <v>871</v>
      </c>
      <c r="D13" s="537" t="s">
        <v>872</v>
      </c>
      <c r="E13" s="538" t="s">
        <v>873</v>
      </c>
      <c r="F13" s="539" t="s">
        <v>6</v>
      </c>
      <c r="G13" s="540"/>
      <c r="H13" s="541"/>
      <c r="I13" s="542"/>
      <c r="J13" s="543"/>
      <c r="K13" s="7"/>
      <c r="L13" s="544"/>
      <c r="M13" s="544"/>
      <c r="N13" s="545"/>
    </row>
    <row r="14" spans="1:14" s="546" customFormat="1" ht="27.75" customHeight="1">
      <c r="A14" s="547" t="s">
        <v>874</v>
      </c>
      <c r="B14" s="548"/>
      <c r="C14" s="549"/>
      <c r="D14" s="549"/>
      <c r="E14" s="550">
        <f>E17+E20+E23+E26+E29+E35+E38+E41+E44+E47+E50+E53+E56+E59+E68</f>
        <v>834296.5580000001</v>
      </c>
      <c r="F14" s="551">
        <f>F17+F20+F23+F26+F29+F32+F35+F38+F41+F44+F47+F50+F53+F56+F59+F62+F65+F68+F71</f>
        <v>5995780.82</v>
      </c>
      <c r="G14" s="540"/>
      <c r="H14" s="541"/>
      <c r="I14" s="541"/>
      <c r="J14" s="552"/>
      <c r="K14" s="7"/>
      <c r="L14" s="544"/>
      <c r="M14" s="544"/>
      <c r="N14" s="545"/>
    </row>
    <row r="15" spans="1:11" ht="42" customHeight="1">
      <c r="A15" s="553">
        <v>1</v>
      </c>
      <c r="B15" s="497" t="s">
        <v>876</v>
      </c>
      <c r="C15" s="554" t="s">
        <v>7</v>
      </c>
      <c r="D15" s="492"/>
      <c r="E15" s="555"/>
      <c r="F15" s="556"/>
      <c r="H15" s="541"/>
      <c r="I15" s="557"/>
      <c r="J15" s="558"/>
      <c r="K15" s="371"/>
    </row>
    <row r="16" spans="1:11" ht="36.75" customHeight="1">
      <c r="A16" s="500"/>
      <c r="B16" s="559" t="s">
        <v>8</v>
      </c>
      <c r="C16" s="502"/>
      <c r="D16" s="494"/>
      <c r="E16" s="560"/>
      <c r="F16" s="470"/>
      <c r="H16" s="541"/>
      <c r="I16" s="561"/>
      <c r="J16" s="161"/>
      <c r="K16" s="371"/>
    </row>
    <row r="17" spans="1:11" ht="79.5" customHeight="1">
      <c r="A17" s="500"/>
      <c r="B17" s="468" t="s">
        <v>9</v>
      </c>
      <c r="C17" s="562"/>
      <c r="D17" s="506" t="s">
        <v>602</v>
      </c>
      <c r="E17" s="920">
        <f>33715.95-4974</f>
        <v>28741.949999999997</v>
      </c>
      <c r="F17" s="920">
        <f>250886+60195.44-33715.95-32031</f>
        <v>245334.49</v>
      </c>
      <c r="H17" s="541"/>
      <c r="I17" s="561"/>
      <c r="J17" s="161"/>
      <c r="K17" s="371"/>
    </row>
    <row r="18" spans="1:9" ht="41.25" customHeight="1">
      <c r="A18" s="491">
        <v>2</v>
      </c>
      <c r="B18" s="497" t="s">
        <v>876</v>
      </c>
      <c r="C18" s="563" t="s">
        <v>10</v>
      </c>
      <c r="D18" s="516"/>
      <c r="E18" s="469"/>
      <c r="F18" s="469"/>
      <c r="H18" s="541"/>
      <c r="I18" s="561"/>
    </row>
    <row r="19" spans="1:9" ht="37.5" customHeight="1">
      <c r="A19" s="500"/>
      <c r="B19" s="564" t="s">
        <v>11</v>
      </c>
      <c r="C19" s="493"/>
      <c r="D19" s="516"/>
      <c r="E19" s="470"/>
      <c r="F19" s="470"/>
      <c r="H19" s="541"/>
      <c r="I19" s="561"/>
    </row>
    <row r="20" spans="1:9" ht="72.75" customHeight="1">
      <c r="A20" s="495"/>
      <c r="B20" s="511" t="s">
        <v>12</v>
      </c>
      <c r="C20" s="496"/>
      <c r="D20" s="513" t="s">
        <v>602</v>
      </c>
      <c r="E20" s="369">
        <v>5382</v>
      </c>
      <c r="F20" s="369">
        <f>30498+19279.53</f>
        <v>49777.53</v>
      </c>
      <c r="H20" s="541"/>
      <c r="I20" s="565"/>
    </row>
    <row r="21" spans="1:13" s="33" customFormat="1" ht="56.25" customHeight="1">
      <c r="A21" s="491">
        <v>3</v>
      </c>
      <c r="B21" s="497" t="s">
        <v>876</v>
      </c>
      <c r="C21" s="566" t="s">
        <v>13</v>
      </c>
      <c r="D21" s="514"/>
      <c r="E21" s="499"/>
      <c r="F21" s="567"/>
      <c r="G21" s="503"/>
      <c r="H21" s="541"/>
      <c r="I21" s="565"/>
      <c r="J21" s="552"/>
      <c r="K21" s="568"/>
      <c r="L21" s="569"/>
      <c r="M21" s="569"/>
    </row>
    <row r="22" spans="1:13" s="33" customFormat="1" ht="39.75" customHeight="1">
      <c r="A22" s="500"/>
      <c r="B22" s="564" t="s">
        <v>11</v>
      </c>
      <c r="C22" s="562"/>
      <c r="D22" s="516"/>
      <c r="E22" s="504"/>
      <c r="F22" s="570"/>
      <c r="G22" s="503"/>
      <c r="H22" s="541"/>
      <c r="I22" s="565"/>
      <c r="J22" s="552"/>
      <c r="K22" s="568"/>
      <c r="L22" s="569"/>
      <c r="M22" s="569"/>
    </row>
    <row r="23" spans="1:13" s="33" customFormat="1" ht="56.25" customHeight="1">
      <c r="A23" s="500"/>
      <c r="B23" s="511" t="s">
        <v>14</v>
      </c>
      <c r="C23" s="562"/>
      <c r="D23" s="513" t="s">
        <v>881</v>
      </c>
      <c r="E23" s="507">
        <v>1540.61</v>
      </c>
      <c r="F23" s="571">
        <v>10459.39</v>
      </c>
      <c r="G23" s="503"/>
      <c r="H23" s="541"/>
      <c r="I23" s="565"/>
      <c r="J23" s="552"/>
      <c r="K23" s="568"/>
      <c r="L23" s="569"/>
      <c r="M23" s="569"/>
    </row>
    <row r="24" spans="1:13" s="33" customFormat="1" ht="44.25" customHeight="1">
      <c r="A24" s="491">
        <v>4</v>
      </c>
      <c r="B24" s="497" t="s">
        <v>876</v>
      </c>
      <c r="C24" s="508" t="s">
        <v>877</v>
      </c>
      <c r="D24" s="514"/>
      <c r="E24" s="515"/>
      <c r="F24" s="499"/>
      <c r="G24" s="503"/>
      <c r="H24" s="541"/>
      <c r="I24" s="565"/>
      <c r="J24" s="552"/>
      <c r="K24" s="568"/>
      <c r="L24" s="569"/>
      <c r="M24" s="569"/>
    </row>
    <row r="25" spans="1:13" s="33" customFormat="1" ht="77.25" customHeight="1">
      <c r="A25" s="500"/>
      <c r="B25" s="501" t="s">
        <v>880</v>
      </c>
      <c r="C25" s="502"/>
      <c r="D25" s="516"/>
      <c r="E25" s="517"/>
      <c r="F25" s="504"/>
      <c r="G25" s="503"/>
      <c r="H25" s="541"/>
      <c r="I25" s="565"/>
      <c r="J25" s="552"/>
      <c r="K25" s="568"/>
      <c r="L25" s="569"/>
      <c r="M25" s="569"/>
    </row>
    <row r="26" spans="1:13" s="33" customFormat="1" ht="39.75" customHeight="1">
      <c r="A26" s="500"/>
      <c r="B26" s="501" t="s">
        <v>15</v>
      </c>
      <c r="C26" s="518"/>
      <c r="D26" s="516" t="s">
        <v>881</v>
      </c>
      <c r="E26" s="916">
        <f>60546.79+9148.1-10308.9</f>
        <v>59385.99</v>
      </c>
      <c r="F26" s="917">
        <f>343098.46+51839.22-58417.15</f>
        <v>336520.53</v>
      </c>
      <c r="G26" s="503"/>
      <c r="H26" s="541"/>
      <c r="I26" s="565"/>
      <c r="J26" s="552"/>
      <c r="K26" s="568"/>
      <c r="L26" s="569"/>
      <c r="M26" s="569"/>
    </row>
    <row r="27" spans="1:13" s="33" customFormat="1" ht="39" customHeight="1">
      <c r="A27" s="491">
        <v>5</v>
      </c>
      <c r="B27" s="497" t="s">
        <v>876</v>
      </c>
      <c r="C27" s="498" t="s">
        <v>877</v>
      </c>
      <c r="D27" s="514"/>
      <c r="E27" s="515"/>
      <c r="F27" s="499"/>
      <c r="G27" s="503"/>
      <c r="H27" s="541"/>
      <c r="I27" s="565"/>
      <c r="J27" s="552"/>
      <c r="K27" s="568"/>
      <c r="L27" s="569"/>
      <c r="M27" s="569"/>
    </row>
    <row r="28" spans="1:13" s="33" customFormat="1" ht="54.75" customHeight="1">
      <c r="A28" s="500"/>
      <c r="B28" s="501" t="s">
        <v>16</v>
      </c>
      <c r="C28" s="502"/>
      <c r="D28" s="516"/>
      <c r="E28" s="517"/>
      <c r="F28" s="504"/>
      <c r="G28" s="503"/>
      <c r="H28" s="541"/>
      <c r="I28" s="565"/>
      <c r="J28" s="552"/>
      <c r="K28" s="568"/>
      <c r="L28" s="569"/>
      <c r="M28" s="569"/>
    </row>
    <row r="29" spans="1:13" s="33" customFormat="1" ht="50.25" customHeight="1">
      <c r="A29" s="495"/>
      <c r="B29" s="501" t="s">
        <v>17</v>
      </c>
      <c r="C29" s="518"/>
      <c r="D29" s="513" t="s">
        <v>264</v>
      </c>
      <c r="E29" s="918">
        <f>32377.98+3176.74-12030.222+2325</f>
        <v>25849.498</v>
      </c>
      <c r="F29" s="919">
        <f>183475.22+18001.53-68171.25+13175</f>
        <v>146480.5</v>
      </c>
      <c r="G29" s="503"/>
      <c r="H29" s="541"/>
      <c r="I29" s="565"/>
      <c r="J29" s="552"/>
      <c r="K29" s="568"/>
      <c r="L29" s="569"/>
      <c r="M29" s="569"/>
    </row>
    <row r="30" spans="1:13" s="33" customFormat="1" ht="50.25" customHeight="1">
      <c r="A30" s="553">
        <v>6</v>
      </c>
      <c r="B30" s="497" t="s">
        <v>876</v>
      </c>
      <c r="C30" s="572" t="s">
        <v>18</v>
      </c>
      <c r="D30" s="510"/>
      <c r="E30" s="499"/>
      <c r="F30" s="499"/>
      <c r="G30" s="503"/>
      <c r="H30" s="541"/>
      <c r="I30" s="565"/>
      <c r="J30" s="552"/>
      <c r="K30" s="568"/>
      <c r="L30" s="569"/>
      <c r="M30" s="569"/>
    </row>
    <row r="31" spans="1:13" s="33" customFormat="1" ht="42.75" customHeight="1">
      <c r="A31" s="500"/>
      <c r="B31" s="511" t="s">
        <v>11</v>
      </c>
      <c r="C31" s="493"/>
      <c r="D31" s="512"/>
      <c r="E31" s="504"/>
      <c r="F31" s="504"/>
      <c r="G31" s="503"/>
      <c r="H31" s="541">
        <f>SUM(H26:H30)</f>
        <v>0</v>
      </c>
      <c r="I31" s="565"/>
      <c r="J31" s="552"/>
      <c r="K31" s="568"/>
      <c r="L31" s="569"/>
      <c r="M31" s="569"/>
    </row>
    <row r="32" spans="1:13" s="33" customFormat="1" ht="57" customHeight="1">
      <c r="A32" s="495"/>
      <c r="B32" s="511" t="s">
        <v>19</v>
      </c>
      <c r="C32" s="496"/>
      <c r="D32" s="513" t="s">
        <v>264</v>
      </c>
      <c r="E32" s="507" t="s">
        <v>20</v>
      </c>
      <c r="F32" s="507">
        <f>71940+5590.02</f>
        <v>77530.02</v>
      </c>
      <c r="G32" s="503"/>
      <c r="H32" s="541"/>
      <c r="I32" s="565"/>
      <c r="J32" s="552"/>
      <c r="K32" s="568"/>
      <c r="L32" s="569"/>
      <c r="M32" s="569"/>
    </row>
    <row r="33" spans="1:13" s="33" customFormat="1" ht="44.25" customHeight="1">
      <c r="A33" s="553">
        <v>7</v>
      </c>
      <c r="B33" s="497" t="s">
        <v>876</v>
      </c>
      <c r="C33" s="572" t="s">
        <v>882</v>
      </c>
      <c r="D33" s="510"/>
      <c r="E33" s="499"/>
      <c r="F33" s="499"/>
      <c r="G33" s="503"/>
      <c r="H33" s="541"/>
      <c r="I33" s="565"/>
      <c r="J33" s="552"/>
      <c r="K33" s="568"/>
      <c r="L33" s="569"/>
      <c r="M33" s="569"/>
    </row>
    <row r="34" spans="1:13" s="33" customFormat="1" ht="35.25" customHeight="1">
      <c r="A34" s="500"/>
      <c r="B34" s="511" t="s">
        <v>21</v>
      </c>
      <c r="C34" s="493"/>
      <c r="D34" s="512"/>
      <c r="E34" s="504"/>
      <c r="F34" s="504"/>
      <c r="G34" s="503"/>
      <c r="H34" s="541"/>
      <c r="I34" s="565"/>
      <c r="J34" s="552"/>
      <c r="K34" s="568"/>
      <c r="L34" s="569"/>
      <c r="M34" s="569"/>
    </row>
    <row r="35" spans="1:13" s="33" customFormat="1" ht="48" customHeight="1">
      <c r="A35" s="495"/>
      <c r="B35" s="511" t="s">
        <v>22</v>
      </c>
      <c r="C35" s="496"/>
      <c r="D35" s="516" t="s">
        <v>264</v>
      </c>
      <c r="E35" s="573">
        <v>400</v>
      </c>
      <c r="F35" s="504">
        <f>105742+1372.24</f>
        <v>107114.24</v>
      </c>
      <c r="G35" s="503"/>
      <c r="H35" s="541"/>
      <c r="I35" s="565"/>
      <c r="J35" s="552"/>
      <c r="K35" s="568"/>
      <c r="L35" s="569"/>
      <c r="M35" s="569"/>
    </row>
    <row r="36" spans="1:13" s="33" customFormat="1" ht="40.5" customHeight="1">
      <c r="A36" s="553">
        <v>8</v>
      </c>
      <c r="B36" s="497" t="s">
        <v>876</v>
      </c>
      <c r="C36" s="498" t="s">
        <v>877</v>
      </c>
      <c r="D36" s="510"/>
      <c r="E36" s="499"/>
      <c r="F36" s="499"/>
      <c r="G36" s="503"/>
      <c r="H36" s="541"/>
      <c r="I36" s="565"/>
      <c r="J36" s="552"/>
      <c r="K36" s="568"/>
      <c r="L36" s="569"/>
      <c r="M36" s="569"/>
    </row>
    <row r="37" spans="1:13" s="33" customFormat="1" ht="35.25" customHeight="1">
      <c r="A37" s="500"/>
      <c r="B37" s="511" t="s">
        <v>11</v>
      </c>
      <c r="C37" s="493"/>
      <c r="D37" s="512"/>
      <c r="E37" s="504"/>
      <c r="F37" s="504"/>
      <c r="G37" s="503"/>
      <c r="H37" s="541"/>
      <c r="I37" s="565"/>
      <c r="J37" s="552"/>
      <c r="K37" s="568"/>
      <c r="L37" s="569"/>
      <c r="M37" s="569"/>
    </row>
    <row r="38" spans="1:13" s="33" customFormat="1" ht="74.25" customHeight="1">
      <c r="A38" s="495"/>
      <c r="B38" s="511" t="s">
        <v>23</v>
      </c>
      <c r="C38" s="496"/>
      <c r="D38" s="516" t="s">
        <v>881</v>
      </c>
      <c r="E38" s="504">
        <f>68355+32313.86</f>
        <v>100668.86</v>
      </c>
      <c r="F38" s="504">
        <f>387345+183111.9</f>
        <v>570456.9</v>
      </c>
      <c r="G38" s="503"/>
      <c r="H38" s="541"/>
      <c r="I38" s="565"/>
      <c r="J38" s="552"/>
      <c r="K38" s="568"/>
      <c r="L38" s="569"/>
      <c r="M38" s="569"/>
    </row>
    <row r="39" spans="1:13" s="33" customFormat="1" ht="45" customHeight="1">
      <c r="A39" s="491">
        <v>9</v>
      </c>
      <c r="B39" s="497" t="s">
        <v>876</v>
      </c>
      <c r="C39" s="498" t="s">
        <v>877</v>
      </c>
      <c r="D39" s="492"/>
      <c r="E39" s="499"/>
      <c r="F39" s="499"/>
      <c r="G39" s="503"/>
      <c r="H39" s="541"/>
      <c r="I39" s="565"/>
      <c r="J39" s="552"/>
      <c r="K39" s="568"/>
      <c r="L39" s="569"/>
      <c r="M39" s="569"/>
    </row>
    <row r="40" spans="1:13" s="33" customFormat="1" ht="51" customHeight="1">
      <c r="A40" s="500"/>
      <c r="B40" s="501" t="s">
        <v>24</v>
      </c>
      <c r="C40" s="502"/>
      <c r="D40" s="494"/>
      <c r="E40" s="504"/>
      <c r="F40" s="504"/>
      <c r="G40" s="503"/>
      <c r="H40" s="541"/>
      <c r="I40" s="565"/>
      <c r="J40" s="552"/>
      <c r="K40" s="568"/>
      <c r="L40" s="569"/>
      <c r="M40" s="569"/>
    </row>
    <row r="41" spans="1:13" s="33" customFormat="1" ht="42" customHeight="1">
      <c r="A41" s="500"/>
      <c r="B41" s="501" t="s">
        <v>25</v>
      </c>
      <c r="C41" s="518"/>
      <c r="D41" s="506" t="s">
        <v>264</v>
      </c>
      <c r="E41" s="507">
        <f>89935.11+754.55</f>
        <v>90689.66</v>
      </c>
      <c r="F41" s="507">
        <f>509632.28+4275.76</f>
        <v>513908.04000000004</v>
      </c>
      <c r="G41" s="503"/>
      <c r="H41" s="541"/>
      <c r="I41" s="565"/>
      <c r="J41" s="552"/>
      <c r="K41" s="568"/>
      <c r="L41" s="569"/>
      <c r="M41" s="569"/>
    </row>
    <row r="42" spans="1:13" s="33" customFormat="1" ht="41.25" customHeight="1">
      <c r="A42" s="491">
        <v>10</v>
      </c>
      <c r="B42" s="497" t="s">
        <v>876</v>
      </c>
      <c r="C42" s="498" t="s">
        <v>877</v>
      </c>
      <c r="D42" s="492"/>
      <c r="E42" s="499"/>
      <c r="F42" s="499"/>
      <c r="G42" s="503"/>
      <c r="H42" s="541"/>
      <c r="I42" s="565"/>
      <c r="J42" s="552"/>
      <c r="K42" s="568"/>
      <c r="L42" s="569"/>
      <c r="M42" s="569"/>
    </row>
    <row r="43" spans="1:13" s="33" customFormat="1" ht="74.25" customHeight="1">
      <c r="A43" s="500"/>
      <c r="B43" s="501" t="s">
        <v>878</v>
      </c>
      <c r="C43" s="502"/>
      <c r="D43" s="494"/>
      <c r="E43" s="504"/>
      <c r="F43" s="504"/>
      <c r="G43" s="503"/>
      <c r="H43" s="541"/>
      <c r="I43" s="565"/>
      <c r="J43" s="552"/>
      <c r="K43" s="568"/>
      <c r="L43" s="569"/>
      <c r="M43" s="569"/>
    </row>
    <row r="44" spans="1:13" s="33" customFormat="1" ht="42" customHeight="1">
      <c r="A44" s="500"/>
      <c r="B44" s="501" t="s">
        <v>879</v>
      </c>
      <c r="C44" s="518"/>
      <c r="D44" s="506" t="s">
        <v>264</v>
      </c>
      <c r="E44" s="507">
        <f>130298.25+3685.52-6000-900</f>
        <v>127083.76999999999</v>
      </c>
      <c r="F44" s="507">
        <f>738356.75+20884.58-34000-5100</f>
        <v>720141.33</v>
      </c>
      <c r="G44" s="503"/>
      <c r="H44" s="541"/>
      <c r="I44" s="565"/>
      <c r="J44" s="552"/>
      <c r="K44" s="568"/>
      <c r="L44" s="569"/>
      <c r="M44" s="569"/>
    </row>
    <row r="45" spans="1:13" s="33" customFormat="1" ht="39" customHeight="1">
      <c r="A45" s="491">
        <v>11</v>
      </c>
      <c r="B45" s="497" t="s">
        <v>876</v>
      </c>
      <c r="C45" s="508" t="s">
        <v>877</v>
      </c>
      <c r="D45" s="494"/>
      <c r="E45" s="504"/>
      <c r="F45" s="504"/>
      <c r="G45" s="503"/>
      <c r="H45" s="541"/>
      <c r="I45" s="565"/>
      <c r="J45" s="552"/>
      <c r="K45" s="568"/>
      <c r="L45" s="569"/>
      <c r="M45" s="569"/>
    </row>
    <row r="46" spans="1:13" s="33" customFormat="1" ht="42" customHeight="1">
      <c r="A46" s="500"/>
      <c r="B46" s="501" t="s">
        <v>26</v>
      </c>
      <c r="C46" s="562"/>
      <c r="D46" s="494"/>
      <c r="E46" s="504"/>
      <c r="F46" s="504"/>
      <c r="G46" s="503"/>
      <c r="H46" s="541"/>
      <c r="I46" s="565"/>
      <c r="J46" s="552"/>
      <c r="K46" s="568"/>
      <c r="L46" s="569"/>
      <c r="M46" s="569"/>
    </row>
    <row r="47" spans="1:13" s="33" customFormat="1" ht="39" customHeight="1">
      <c r="A47" s="500"/>
      <c r="B47" s="574" t="s">
        <v>27</v>
      </c>
      <c r="C47" s="562"/>
      <c r="D47" s="506" t="s">
        <v>28</v>
      </c>
      <c r="E47" s="504">
        <v>25172.76</v>
      </c>
      <c r="F47" s="504">
        <v>142645.62</v>
      </c>
      <c r="G47" s="503"/>
      <c r="H47" s="541"/>
      <c r="I47" s="565"/>
      <c r="J47" s="552"/>
      <c r="K47" s="568"/>
      <c r="L47" s="569"/>
      <c r="M47" s="569"/>
    </row>
    <row r="48" spans="1:13" s="33" customFormat="1" ht="42" customHeight="1">
      <c r="A48" s="491">
        <v>12</v>
      </c>
      <c r="B48" s="497" t="s">
        <v>876</v>
      </c>
      <c r="C48" s="575" t="s">
        <v>877</v>
      </c>
      <c r="D48" s="514"/>
      <c r="E48" s="499"/>
      <c r="F48" s="576"/>
      <c r="G48" s="503"/>
      <c r="H48" s="541"/>
      <c r="I48" s="565"/>
      <c r="J48" s="552"/>
      <c r="K48" s="568"/>
      <c r="L48" s="569"/>
      <c r="M48" s="569"/>
    </row>
    <row r="49" spans="1:13" s="33" customFormat="1" ht="42" customHeight="1">
      <c r="A49" s="500"/>
      <c r="B49" s="501" t="s">
        <v>29</v>
      </c>
      <c r="C49" s="502"/>
      <c r="D49" s="516"/>
      <c r="E49" s="504"/>
      <c r="F49" s="577"/>
      <c r="G49" s="503"/>
      <c r="H49" s="541"/>
      <c r="I49" s="565"/>
      <c r="J49" s="552"/>
      <c r="K49" s="568"/>
      <c r="L49" s="569"/>
      <c r="M49" s="569"/>
    </row>
    <row r="50" spans="1:13" s="33" customFormat="1" ht="42" customHeight="1">
      <c r="A50" s="495"/>
      <c r="B50" s="501" t="s">
        <v>30</v>
      </c>
      <c r="C50" s="518"/>
      <c r="D50" s="506" t="s">
        <v>264</v>
      </c>
      <c r="E50" s="507">
        <v>133415.64</v>
      </c>
      <c r="F50" s="578">
        <v>756021.95</v>
      </c>
      <c r="G50" s="503"/>
      <c r="H50" s="541"/>
      <c r="I50" s="565"/>
      <c r="J50" s="552"/>
      <c r="K50" s="568"/>
      <c r="L50" s="569"/>
      <c r="M50" s="569"/>
    </row>
    <row r="51" spans="1:13" s="33" customFormat="1" ht="42.75" customHeight="1">
      <c r="A51" s="553">
        <v>13</v>
      </c>
      <c r="B51" s="497" t="s">
        <v>876</v>
      </c>
      <c r="C51" s="579" t="s">
        <v>31</v>
      </c>
      <c r="D51" s="494"/>
      <c r="E51" s="504"/>
      <c r="F51" s="504"/>
      <c r="G51" s="503"/>
      <c r="H51" s="541"/>
      <c r="I51" s="565"/>
      <c r="J51" s="552"/>
      <c r="K51" s="568"/>
      <c r="L51" s="569"/>
      <c r="M51" s="569"/>
    </row>
    <row r="52" spans="1:13" s="33" customFormat="1" ht="35.25" customHeight="1">
      <c r="A52" s="500"/>
      <c r="B52" s="505" t="s">
        <v>32</v>
      </c>
      <c r="C52" s="493"/>
      <c r="D52" s="580"/>
      <c r="E52" s="504"/>
      <c r="F52" s="504"/>
      <c r="G52" s="503"/>
      <c r="H52" s="541"/>
      <c r="I52" s="565"/>
      <c r="J52" s="552"/>
      <c r="K52" s="568"/>
      <c r="L52" s="569"/>
      <c r="M52" s="569"/>
    </row>
    <row r="53" spans="1:13" s="33" customFormat="1" ht="86.25" customHeight="1">
      <c r="A53" s="495"/>
      <c r="B53" s="505" t="s">
        <v>33</v>
      </c>
      <c r="C53" s="496"/>
      <c r="D53" s="581" t="s">
        <v>264</v>
      </c>
      <c r="E53" s="507">
        <f>1980.96+4.22</f>
        <v>1985.18</v>
      </c>
      <c r="F53" s="507">
        <f>298488.76+2979.61</f>
        <v>301468.37</v>
      </c>
      <c r="G53" s="503"/>
      <c r="H53" s="541"/>
      <c r="I53" s="565"/>
      <c r="J53" s="552"/>
      <c r="K53" s="568"/>
      <c r="L53" s="569"/>
      <c r="M53" s="569"/>
    </row>
    <row r="54" spans="1:13" s="33" customFormat="1" ht="54" customHeight="1">
      <c r="A54" s="491">
        <v>14</v>
      </c>
      <c r="B54" s="582" t="s">
        <v>34</v>
      </c>
      <c r="C54" s="572" t="s">
        <v>882</v>
      </c>
      <c r="D54" s="492"/>
      <c r="E54" s="499"/>
      <c r="F54" s="499"/>
      <c r="G54" s="503"/>
      <c r="H54" s="541"/>
      <c r="I54" s="565"/>
      <c r="J54" s="552"/>
      <c r="K54" s="568"/>
      <c r="L54" s="569"/>
      <c r="M54" s="569"/>
    </row>
    <row r="55" spans="1:13" s="33" customFormat="1" ht="52.5" customHeight="1">
      <c r="A55" s="500"/>
      <c r="B55" s="505" t="s">
        <v>35</v>
      </c>
      <c r="C55" s="493"/>
      <c r="D55" s="580"/>
      <c r="E55" s="504"/>
      <c r="F55" s="504"/>
      <c r="G55" s="503"/>
      <c r="H55" s="541"/>
      <c r="I55" s="565"/>
      <c r="J55" s="552"/>
      <c r="K55" s="568"/>
      <c r="L55" s="569"/>
      <c r="M55" s="569"/>
    </row>
    <row r="56" spans="1:13" s="33" customFormat="1" ht="58.5" customHeight="1">
      <c r="A56" s="495"/>
      <c r="B56" s="505" t="s">
        <v>36</v>
      </c>
      <c r="C56" s="496"/>
      <c r="D56" s="581" t="s">
        <v>264</v>
      </c>
      <c r="E56" s="507"/>
      <c r="F56" s="507">
        <f>45885+7262.01</f>
        <v>53147.01</v>
      </c>
      <c r="G56" s="503"/>
      <c r="H56" s="541"/>
      <c r="I56" s="583"/>
      <c r="J56" s="552"/>
      <c r="K56" s="568"/>
      <c r="L56" s="569"/>
      <c r="M56" s="569"/>
    </row>
    <row r="57" spans="1:13" s="33" customFormat="1" ht="39" customHeight="1">
      <c r="A57" s="553">
        <v>15</v>
      </c>
      <c r="B57" s="497" t="s">
        <v>876</v>
      </c>
      <c r="C57" s="572" t="s">
        <v>882</v>
      </c>
      <c r="D57" s="510"/>
      <c r="E57" s="499"/>
      <c r="F57" s="499"/>
      <c r="G57" s="503"/>
      <c r="H57" s="541"/>
      <c r="I57" s="583"/>
      <c r="J57" s="552"/>
      <c r="K57" s="568"/>
      <c r="L57" s="569"/>
      <c r="M57" s="569"/>
    </row>
    <row r="58" spans="1:13" s="33" customFormat="1" ht="75" customHeight="1">
      <c r="A58" s="500"/>
      <c r="B58" s="511" t="s">
        <v>883</v>
      </c>
      <c r="C58" s="493"/>
      <c r="D58" s="512"/>
      <c r="E58" s="504"/>
      <c r="F58" s="504"/>
      <c r="G58" s="503"/>
      <c r="H58" s="541"/>
      <c r="I58" s="583"/>
      <c r="J58" s="552"/>
      <c r="K58" s="568"/>
      <c r="L58" s="569"/>
      <c r="M58" s="569"/>
    </row>
    <row r="59" spans="1:13" s="33" customFormat="1" ht="35.25" customHeight="1">
      <c r="A59" s="495"/>
      <c r="B59" s="511" t="s">
        <v>884</v>
      </c>
      <c r="C59" s="496"/>
      <c r="D59" s="513" t="s">
        <v>264</v>
      </c>
      <c r="E59" s="507">
        <f>26400+40.04</f>
        <v>26440.04</v>
      </c>
      <c r="F59" s="507">
        <f>77240+107215-14400</f>
        <v>170055</v>
      </c>
      <c r="G59" s="503"/>
      <c r="H59" s="541"/>
      <c r="I59" s="583"/>
      <c r="J59" s="552"/>
      <c r="K59" s="568"/>
      <c r="L59" s="569"/>
      <c r="M59" s="569"/>
    </row>
    <row r="60" spans="1:13" s="33" customFormat="1" ht="56.25" customHeight="1">
      <c r="A60" s="491">
        <v>16</v>
      </c>
      <c r="B60" s="497" t="s">
        <v>876</v>
      </c>
      <c r="C60" s="509" t="s">
        <v>887</v>
      </c>
      <c r="D60" s="514"/>
      <c r="E60" s="499"/>
      <c r="F60" s="499"/>
      <c r="G60" s="503"/>
      <c r="H60" s="541"/>
      <c r="I60" s="583"/>
      <c r="J60" s="552"/>
      <c r="K60" s="568"/>
      <c r="L60" s="569"/>
      <c r="M60" s="569"/>
    </row>
    <row r="61" spans="1:13" s="33" customFormat="1" ht="60.75" customHeight="1">
      <c r="A61" s="500"/>
      <c r="B61" s="511" t="s">
        <v>0</v>
      </c>
      <c r="C61" s="502"/>
      <c r="D61" s="516"/>
      <c r="E61" s="504"/>
      <c r="F61" s="504"/>
      <c r="G61" s="503"/>
      <c r="H61" s="541"/>
      <c r="I61" s="583"/>
      <c r="J61" s="552"/>
      <c r="K61" s="568"/>
      <c r="L61" s="569"/>
      <c r="M61" s="569"/>
    </row>
    <row r="62" spans="1:13" s="33" customFormat="1" ht="38.25" customHeight="1">
      <c r="A62" s="495"/>
      <c r="B62" s="511" t="s">
        <v>753</v>
      </c>
      <c r="C62" s="518"/>
      <c r="D62" s="516" t="s">
        <v>1</v>
      </c>
      <c r="E62" s="504" t="s">
        <v>20</v>
      </c>
      <c r="F62" s="504">
        <f>392366.5-3500-31000-10240</f>
        <v>347626.5</v>
      </c>
      <c r="G62" s="503"/>
      <c r="H62" s="541"/>
      <c r="I62" s="583"/>
      <c r="J62" s="552"/>
      <c r="K62" s="568"/>
      <c r="L62" s="569"/>
      <c r="M62" s="569"/>
    </row>
    <row r="63" spans="1:13" s="33" customFormat="1" ht="38.25" customHeight="1">
      <c r="A63" s="491">
        <v>17</v>
      </c>
      <c r="B63" s="497" t="s">
        <v>876</v>
      </c>
      <c r="C63" s="509" t="s">
        <v>885</v>
      </c>
      <c r="D63" s="514"/>
      <c r="E63" s="515"/>
      <c r="F63" s="499"/>
      <c r="G63" s="503"/>
      <c r="H63" s="541"/>
      <c r="I63" s="583"/>
      <c r="J63" s="552"/>
      <c r="K63" s="568"/>
      <c r="L63" s="569"/>
      <c r="M63" s="569"/>
    </row>
    <row r="64" spans="1:13" s="33" customFormat="1" ht="91.5" customHeight="1">
      <c r="A64" s="500"/>
      <c r="B64" s="511" t="s">
        <v>752</v>
      </c>
      <c r="C64" s="502"/>
      <c r="D64" s="516"/>
      <c r="E64" s="517"/>
      <c r="F64" s="504"/>
      <c r="G64" s="503"/>
      <c r="H64" s="541"/>
      <c r="I64" s="583"/>
      <c r="J64" s="552"/>
      <c r="K64" s="568"/>
      <c r="L64" s="569"/>
      <c r="M64" s="569"/>
    </row>
    <row r="65" spans="1:13" s="33" customFormat="1" ht="38.25" customHeight="1">
      <c r="A65" s="495"/>
      <c r="B65" s="511" t="s">
        <v>886</v>
      </c>
      <c r="C65" s="518"/>
      <c r="D65" s="513" t="s">
        <v>590</v>
      </c>
      <c r="E65" s="507" t="s">
        <v>20</v>
      </c>
      <c r="F65" s="660">
        <f>253578-7848+300</f>
        <v>246030</v>
      </c>
      <c r="G65" s="503"/>
      <c r="H65" s="541"/>
      <c r="I65" s="583"/>
      <c r="J65" s="552"/>
      <c r="K65" s="568"/>
      <c r="L65" s="569"/>
      <c r="M65" s="569"/>
    </row>
    <row r="66" spans="1:13" s="33" customFormat="1" ht="56.25" customHeight="1">
      <c r="A66" s="491">
        <v>18</v>
      </c>
      <c r="B66" s="584" t="s">
        <v>876</v>
      </c>
      <c r="C66" s="575" t="s">
        <v>37</v>
      </c>
      <c r="D66" s="514"/>
      <c r="E66" s="515"/>
      <c r="F66" s="499"/>
      <c r="G66" s="503"/>
      <c r="H66" s="541"/>
      <c r="I66" s="565"/>
      <c r="J66" s="552"/>
      <c r="K66" s="568"/>
      <c r="L66" s="569"/>
      <c r="M66" s="569"/>
    </row>
    <row r="67" spans="1:13" s="33" customFormat="1" ht="42" customHeight="1">
      <c r="A67" s="500"/>
      <c r="B67" s="511" t="s">
        <v>38</v>
      </c>
      <c r="C67" s="502"/>
      <c r="D67" s="516"/>
      <c r="E67" s="517"/>
      <c r="F67" s="504"/>
      <c r="G67" s="503"/>
      <c r="H67" s="541"/>
      <c r="I67" s="565"/>
      <c r="J67" s="552"/>
      <c r="K67" s="568"/>
      <c r="L67" s="569"/>
      <c r="M67" s="569"/>
    </row>
    <row r="68" spans="1:13" s="33" customFormat="1" ht="66" customHeight="1">
      <c r="A68" s="500"/>
      <c r="B68" s="585" t="s">
        <v>39</v>
      </c>
      <c r="C68" s="562"/>
      <c r="D68" s="516">
        <v>2013</v>
      </c>
      <c r="E68" s="517">
        <f>62262.18+145278.42</f>
        <v>207540.6</v>
      </c>
      <c r="F68" s="504">
        <v>1176063.4</v>
      </c>
      <c r="G68" s="503"/>
      <c r="H68" s="541"/>
      <c r="I68" s="565"/>
      <c r="J68" s="552"/>
      <c r="K68" s="568"/>
      <c r="L68" s="569"/>
      <c r="M68" s="569"/>
    </row>
    <row r="69" spans="1:13" s="33" customFormat="1" ht="55.5" customHeight="1">
      <c r="A69" s="491">
        <v>19</v>
      </c>
      <c r="B69" s="611" t="s">
        <v>34</v>
      </c>
      <c r="C69" s="508" t="s">
        <v>65</v>
      </c>
      <c r="D69" s="514"/>
      <c r="E69" s="499"/>
      <c r="F69" s="499"/>
      <c r="G69" s="503"/>
      <c r="H69" s="541"/>
      <c r="I69" s="565"/>
      <c r="J69" s="552"/>
      <c r="K69" s="568"/>
      <c r="L69" s="569"/>
      <c r="M69" s="569"/>
    </row>
    <row r="70" spans="1:13" s="33" customFormat="1" ht="39.75" customHeight="1">
      <c r="A70" s="500"/>
      <c r="B70" s="511" t="s">
        <v>66</v>
      </c>
      <c r="C70" s="562"/>
      <c r="D70" s="516"/>
      <c r="E70" s="504"/>
      <c r="F70" s="504"/>
      <c r="G70" s="503"/>
      <c r="H70" s="541"/>
      <c r="I70" s="565"/>
      <c r="J70" s="552"/>
      <c r="K70" s="568"/>
      <c r="L70" s="569"/>
      <c r="M70" s="569"/>
    </row>
    <row r="71" spans="1:13" s="33" customFormat="1" ht="38.25" customHeight="1">
      <c r="A71" s="495"/>
      <c r="B71" s="511" t="s">
        <v>212</v>
      </c>
      <c r="C71" s="518"/>
      <c r="D71" s="513" t="s">
        <v>590</v>
      </c>
      <c r="E71" s="507"/>
      <c r="F71" s="507">
        <v>25000</v>
      </c>
      <c r="G71" s="503"/>
      <c r="H71" s="541"/>
      <c r="I71" s="565"/>
      <c r="J71" s="552"/>
      <c r="K71" s="568"/>
      <c r="L71" s="569"/>
      <c r="M71" s="569"/>
    </row>
    <row r="72" spans="1:11" ht="32.25" customHeight="1">
      <c r="A72" s="625" t="s">
        <v>40</v>
      </c>
      <c r="B72" s="586"/>
      <c r="C72" s="587"/>
      <c r="D72" s="588"/>
      <c r="E72" s="375">
        <f>E75+E78+E81+E84+E87+E90+E93</f>
        <v>76770.04000000001</v>
      </c>
      <c r="F72" s="375">
        <f>F75+F78+F81+F84+F87+F90+F93</f>
        <v>1507615.2200000002</v>
      </c>
      <c r="H72" s="541"/>
      <c r="I72" s="589"/>
      <c r="J72" s="355"/>
      <c r="K72" s="590"/>
    </row>
    <row r="73" spans="1:10" ht="51">
      <c r="A73" s="491">
        <v>1</v>
      </c>
      <c r="B73" s="497" t="s">
        <v>41</v>
      </c>
      <c r="C73" s="566" t="s">
        <v>42</v>
      </c>
      <c r="D73" s="591"/>
      <c r="E73" s="592"/>
      <c r="F73" s="592"/>
      <c r="H73" s="541"/>
      <c r="I73" s="593"/>
      <c r="J73" s="594"/>
    </row>
    <row r="74" spans="1:10" ht="34.5" customHeight="1">
      <c r="A74" s="500"/>
      <c r="B74" s="595" t="s">
        <v>11</v>
      </c>
      <c r="C74" s="372"/>
      <c r="D74" s="596"/>
      <c r="E74" s="597"/>
      <c r="F74" s="598"/>
      <c r="H74" s="541"/>
      <c r="I74" s="565"/>
      <c r="J74" s="161"/>
    </row>
    <row r="75" spans="1:10" ht="60" customHeight="1">
      <c r="A75" s="495"/>
      <c r="B75" s="599" t="s">
        <v>43</v>
      </c>
      <c r="C75" s="373"/>
      <c r="D75" s="600" t="s">
        <v>602</v>
      </c>
      <c r="E75" s="601">
        <f>35403.08+4568.71+4543.43</f>
        <v>44515.22</v>
      </c>
      <c r="F75" s="602">
        <f>200617.54+30295.19+25883.66-4543.43</f>
        <v>252252.96000000002</v>
      </c>
      <c r="H75" s="541"/>
      <c r="I75" s="565"/>
      <c r="J75" s="161"/>
    </row>
    <row r="76" spans="1:8" ht="36.75" customHeight="1">
      <c r="A76" s="553">
        <v>2</v>
      </c>
      <c r="B76" s="497" t="s">
        <v>41</v>
      </c>
      <c r="C76" s="603" t="s">
        <v>44</v>
      </c>
      <c r="D76" s="604" t="s">
        <v>218</v>
      </c>
      <c r="E76" s="469"/>
      <c r="F76" s="605"/>
      <c r="H76" s="541"/>
    </row>
    <row r="77" spans="1:9" ht="37.5" customHeight="1">
      <c r="A77" s="500"/>
      <c r="B77" s="595" t="s">
        <v>11</v>
      </c>
      <c r="C77" s="270"/>
      <c r="D77" s="606"/>
      <c r="E77" s="470"/>
      <c r="F77" s="607"/>
      <c r="H77" s="541"/>
      <c r="I77" s="608"/>
    </row>
    <row r="78" spans="1:8" ht="27" customHeight="1">
      <c r="A78" s="495"/>
      <c r="B78" s="609" t="s">
        <v>45</v>
      </c>
      <c r="C78" s="376"/>
      <c r="D78" s="610"/>
      <c r="E78" s="369"/>
      <c r="F78" s="369">
        <f>673470-48000+7466.42</f>
        <v>632936.42</v>
      </c>
      <c r="H78" s="541"/>
    </row>
    <row r="79" spans="1:9" ht="45" customHeight="1">
      <c r="A79" s="553">
        <v>3</v>
      </c>
      <c r="B79" s="611" t="s">
        <v>34</v>
      </c>
      <c r="C79" s="612" t="s">
        <v>46</v>
      </c>
      <c r="D79" s="492"/>
      <c r="E79" s="556"/>
      <c r="F79" s="555"/>
      <c r="H79" s="541"/>
      <c r="I79" s="565"/>
    </row>
    <row r="80" spans="1:9" ht="45" customHeight="1">
      <c r="A80" s="500"/>
      <c r="B80" s="511" t="s">
        <v>47</v>
      </c>
      <c r="C80" s="493"/>
      <c r="D80" s="494"/>
      <c r="E80" s="613"/>
      <c r="F80" s="560"/>
      <c r="H80" s="541"/>
      <c r="I80" s="565"/>
    </row>
    <row r="81" spans="1:10" ht="36" customHeight="1">
      <c r="A81" s="495"/>
      <c r="B81" s="511" t="s">
        <v>48</v>
      </c>
      <c r="C81" s="496"/>
      <c r="D81" s="506" t="s">
        <v>224</v>
      </c>
      <c r="E81" s="601"/>
      <c r="F81" s="614">
        <f>62610.4-2148.8+306.52</f>
        <v>60768.119999999995</v>
      </c>
      <c r="H81" s="541"/>
      <c r="I81" s="565"/>
      <c r="J81" s="615"/>
    </row>
    <row r="82" spans="1:8" ht="42" customHeight="1">
      <c r="A82" s="553">
        <v>4</v>
      </c>
      <c r="B82" s="497" t="s">
        <v>41</v>
      </c>
      <c r="C82" s="603" t="s">
        <v>44</v>
      </c>
      <c r="D82" s="604"/>
      <c r="E82" s="469"/>
      <c r="F82" s="605"/>
      <c r="H82" s="541"/>
    </row>
    <row r="83" spans="1:9" ht="36.75" customHeight="1">
      <c r="A83" s="500"/>
      <c r="B83" s="595" t="s">
        <v>49</v>
      </c>
      <c r="C83" s="270"/>
      <c r="D83" s="606"/>
      <c r="E83" s="470"/>
      <c r="F83" s="607"/>
      <c r="H83" s="541"/>
      <c r="I83" s="608"/>
    </row>
    <row r="84" spans="1:9" ht="36" customHeight="1">
      <c r="A84" s="495"/>
      <c r="B84" s="609" t="s">
        <v>50</v>
      </c>
      <c r="C84" s="376"/>
      <c r="D84" s="506" t="s">
        <v>224</v>
      </c>
      <c r="E84" s="369">
        <f>12190.75+170.31-10106.28+0.04</f>
        <v>2254.819999999999</v>
      </c>
      <c r="F84" s="369">
        <f>7029.69+397439.25+2913.82-0.04</f>
        <v>407382.72000000003</v>
      </c>
      <c r="H84" s="541"/>
      <c r="I84" s="608"/>
    </row>
    <row r="85" spans="1:10" ht="39" customHeight="1">
      <c r="A85" s="553">
        <v>5</v>
      </c>
      <c r="B85" s="497" t="s">
        <v>51</v>
      </c>
      <c r="C85" s="508" t="s">
        <v>877</v>
      </c>
      <c r="D85" s="604"/>
      <c r="E85" s="469"/>
      <c r="F85" s="605"/>
      <c r="H85" s="541"/>
      <c r="I85" s="608"/>
      <c r="J85" s="615"/>
    </row>
    <row r="86" spans="1:8" ht="60.75" customHeight="1">
      <c r="A86" s="500"/>
      <c r="B86" s="595" t="s">
        <v>52</v>
      </c>
      <c r="C86" s="270"/>
      <c r="D86" s="606"/>
      <c r="E86" s="470"/>
      <c r="F86" s="607"/>
      <c r="H86" s="541"/>
    </row>
    <row r="87" spans="1:8" ht="46.5" customHeight="1">
      <c r="A87" s="495"/>
      <c r="B87" s="595" t="s">
        <v>53</v>
      </c>
      <c r="C87" s="376"/>
      <c r="D87" s="506" t="s">
        <v>224</v>
      </c>
      <c r="E87" s="369">
        <v>30000</v>
      </c>
      <c r="F87" s="369"/>
      <c r="H87" s="541"/>
    </row>
    <row r="88" spans="1:11" ht="51">
      <c r="A88" s="307">
        <v>6</v>
      </c>
      <c r="B88" s="497" t="s">
        <v>41</v>
      </c>
      <c r="C88" s="566" t="s">
        <v>42</v>
      </c>
      <c r="D88" s="591"/>
      <c r="E88" s="592"/>
      <c r="F88" s="592"/>
      <c r="H88" s="541"/>
      <c r="I88" s="608"/>
      <c r="K88" s="616"/>
    </row>
    <row r="89" spans="1:11" ht="34.5" customHeight="1">
      <c r="A89" s="374"/>
      <c r="B89" s="595" t="s">
        <v>11</v>
      </c>
      <c r="C89" s="372"/>
      <c r="D89" s="596"/>
      <c r="E89" s="597"/>
      <c r="F89" s="598"/>
      <c r="H89" s="541"/>
      <c r="I89" s="617"/>
      <c r="K89" s="590"/>
    </row>
    <row r="90" spans="1:11" ht="51" customHeight="1">
      <c r="A90" s="373"/>
      <c r="B90" s="599" t="s">
        <v>54</v>
      </c>
      <c r="C90" s="373"/>
      <c r="D90" s="600" t="s">
        <v>602</v>
      </c>
      <c r="E90" s="601"/>
      <c r="F90" s="602">
        <v>1075</v>
      </c>
      <c r="H90" s="541"/>
      <c r="K90" s="618"/>
    </row>
    <row r="91" spans="1:8" ht="40.5" customHeight="1">
      <c r="A91" s="553">
        <v>7</v>
      </c>
      <c r="B91" s="619" t="s">
        <v>55</v>
      </c>
      <c r="C91" s="620" t="s">
        <v>61</v>
      </c>
      <c r="D91" s="604" t="s">
        <v>686</v>
      </c>
      <c r="E91" s="469"/>
      <c r="F91" s="605"/>
      <c r="H91" s="541"/>
    </row>
    <row r="92" spans="1:11" ht="34.5" customHeight="1">
      <c r="A92" s="500"/>
      <c r="B92" s="609" t="s">
        <v>62</v>
      </c>
      <c r="C92" s="270"/>
      <c r="D92" s="606"/>
      <c r="E92" s="470"/>
      <c r="F92" s="607"/>
      <c r="H92" s="541"/>
      <c r="K92" s="618"/>
    </row>
    <row r="93" spans="1:8" ht="35.25" customHeight="1">
      <c r="A93" s="495"/>
      <c r="B93" s="609" t="s">
        <v>63</v>
      </c>
      <c r="C93" s="376"/>
      <c r="D93" s="610"/>
      <c r="E93" s="369"/>
      <c r="F93" s="369">
        <v>153200</v>
      </c>
      <c r="H93" s="541"/>
    </row>
    <row r="94" spans="4:8" ht="18.75">
      <c r="D94" s="621"/>
      <c r="E94" s="28"/>
      <c r="F94" s="1"/>
      <c r="H94" s="541"/>
    </row>
    <row r="95" spans="4:6" ht="18.75">
      <c r="D95" s="621"/>
      <c r="E95" s="1"/>
      <c r="F95" s="1"/>
    </row>
    <row r="96" spans="4:6" ht="18.75">
      <c r="D96" s="621"/>
      <c r="E96" s="1"/>
      <c r="F96" s="1"/>
    </row>
    <row r="97" spans="4:6" ht="18.75">
      <c r="D97" s="621"/>
      <c r="E97" s="1"/>
      <c r="F97" s="1"/>
    </row>
    <row r="98" spans="4:6" ht="18.75">
      <c r="D98" s="621"/>
      <c r="E98" s="1"/>
      <c r="F98" s="1"/>
    </row>
    <row r="99" spans="4:6" ht="18.75">
      <c r="D99" s="621"/>
      <c r="E99" s="1"/>
      <c r="F99" s="1"/>
    </row>
    <row r="100" spans="4:11" ht="18.75">
      <c r="D100" s="621"/>
      <c r="E100" s="28"/>
      <c r="F100" s="1"/>
      <c r="K100" s="618"/>
    </row>
    <row r="101" spans="4:6" ht="18.75">
      <c r="D101" s="621"/>
      <c r="E101" s="28"/>
      <c r="F101" s="1"/>
    </row>
    <row r="102" spans="4:6" ht="18.75">
      <c r="D102" s="621"/>
      <c r="E102" s="28"/>
      <c r="F102" s="1"/>
    </row>
    <row r="103" spans="4:6" ht="18.75">
      <c r="D103" s="621"/>
      <c r="E103" s="28"/>
      <c r="F103" s="1"/>
    </row>
    <row r="104" spans="5:6" ht="18.75">
      <c r="E104" s="484"/>
      <c r="F104" s="1"/>
    </row>
    <row r="105" spans="4:6" ht="18.75">
      <c r="D105" s="622"/>
      <c r="E105" s="1"/>
      <c r="F105" s="28"/>
    </row>
    <row r="106" spans="5:6" ht="18.75">
      <c r="E106" s="1"/>
      <c r="F106" s="28"/>
    </row>
    <row r="107" spans="3:6" ht="18.75">
      <c r="C107" s="4"/>
      <c r="D107" s="4"/>
      <c r="E107" s="484"/>
      <c r="F107" s="28"/>
    </row>
    <row r="108" spans="3:6" ht="18.75">
      <c r="C108" s="4"/>
      <c r="D108" s="4"/>
      <c r="E108" s="484"/>
      <c r="F108" s="28"/>
    </row>
    <row r="109" spans="3:11" ht="18.75">
      <c r="C109" s="4"/>
      <c r="D109" s="4"/>
      <c r="E109" s="484"/>
      <c r="F109" s="28"/>
      <c r="K109" s="618"/>
    </row>
    <row r="110" spans="3:6" ht="18.75">
      <c r="C110" s="4"/>
      <c r="D110" s="4"/>
      <c r="E110" s="51"/>
      <c r="F110" s="623"/>
    </row>
    <row r="111" spans="3:6" ht="18.75">
      <c r="C111" s="4"/>
      <c r="D111" s="4"/>
      <c r="E111" s="51"/>
      <c r="F111" s="623"/>
    </row>
    <row r="112" spans="3:6" ht="18.75">
      <c r="C112" s="4"/>
      <c r="D112" s="4"/>
      <c r="E112" s="28"/>
      <c r="F112" s="28"/>
    </row>
    <row r="113" spans="3:6" ht="18.75">
      <c r="C113" s="4"/>
      <c r="D113" s="4"/>
      <c r="E113" s="51"/>
      <c r="F113" s="623"/>
    </row>
    <row r="114" spans="3:6" ht="18.75">
      <c r="C114" s="4"/>
      <c r="D114" s="4"/>
      <c r="E114" s="28"/>
      <c r="F114" s="28"/>
    </row>
    <row r="115" spans="3:6" ht="18.75">
      <c r="C115" s="4"/>
      <c r="D115" s="4"/>
      <c r="E115" s="28"/>
      <c r="F115" s="28"/>
    </row>
    <row r="116" spans="3:6" ht="18.75">
      <c r="C116" s="4"/>
      <c r="D116" s="4"/>
      <c r="E116" s="28"/>
      <c r="F116" s="28"/>
    </row>
    <row r="117" spans="3:6" ht="18.75">
      <c r="C117" s="4"/>
      <c r="D117" s="4"/>
      <c r="E117" s="28"/>
      <c r="F117" s="28"/>
    </row>
    <row r="118" spans="3:6" ht="18.75">
      <c r="C118" s="4"/>
      <c r="D118" s="4"/>
      <c r="E118" s="28"/>
      <c r="F118" s="28"/>
    </row>
    <row r="119" spans="3:6" ht="18.75">
      <c r="C119" s="4"/>
      <c r="D119" s="4"/>
      <c r="E119" s="28"/>
      <c r="F119" s="28"/>
    </row>
    <row r="120" spans="3:6" ht="18.75">
      <c r="C120" s="4"/>
      <c r="D120" s="4"/>
      <c r="E120" s="28"/>
      <c r="F120" s="28"/>
    </row>
    <row r="121" spans="3:6" ht="18.75">
      <c r="C121" s="4"/>
      <c r="D121" s="4"/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  <row r="197" spans="5:6" ht="18.75">
      <c r="E197" s="28"/>
      <c r="F197" s="28"/>
    </row>
    <row r="198" spans="5:6" ht="18.75">
      <c r="E198" s="28"/>
      <c r="F198" s="28"/>
    </row>
    <row r="199" spans="5:6" ht="18.75">
      <c r="E199" s="28"/>
      <c r="F199" s="28"/>
    </row>
    <row r="200" spans="5:6" ht="18.75">
      <c r="E200" s="28"/>
      <c r="F200" s="28"/>
    </row>
    <row r="201" spans="5:6" ht="18.75">
      <c r="E201" s="28"/>
      <c r="F201" s="28"/>
    </row>
    <row r="202" spans="5:6" ht="18.75">
      <c r="E202" s="28"/>
      <c r="F202" s="28"/>
    </row>
    <row r="203" spans="5:6" ht="18.75">
      <c r="E203" s="28"/>
      <c r="F203" s="28"/>
    </row>
    <row r="204" spans="5:6" ht="18.75">
      <c r="E204" s="28"/>
      <c r="F204" s="28"/>
    </row>
    <row r="205" spans="5:6" ht="18.75">
      <c r="E205" s="28"/>
      <c r="F205" s="28"/>
    </row>
    <row r="206" spans="5:6" ht="18.75">
      <c r="E206" s="28"/>
      <c r="F206" s="28"/>
    </row>
    <row r="207" spans="5:6" ht="18.75">
      <c r="E207" s="28"/>
      <c r="F207" s="28"/>
    </row>
    <row r="208" spans="5:6" ht="18.75">
      <c r="E208" s="28"/>
      <c r="F208" s="28"/>
    </row>
    <row r="209" spans="5:6" ht="18.75">
      <c r="E209" s="28"/>
      <c r="F209" s="28"/>
    </row>
    <row r="210" spans="5:6" ht="18.75">
      <c r="E210" s="28"/>
      <c r="F210" s="28"/>
    </row>
    <row r="211" spans="5:6" ht="18.75">
      <c r="E211" s="28"/>
      <c r="F211" s="28"/>
    </row>
    <row r="212" spans="5:6" ht="18.75">
      <c r="E212" s="28"/>
      <c r="F212" s="28"/>
    </row>
    <row r="213" spans="5:6" ht="18.75">
      <c r="E213" s="28"/>
      <c r="F213" s="28"/>
    </row>
    <row r="214" spans="5:6" ht="18.75">
      <c r="E214" s="28"/>
      <c r="F214" s="28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57421875" style="2" customWidth="1"/>
    <col min="2" max="2" width="24.7109375" style="2" customWidth="1"/>
    <col min="3" max="3" width="45.8515625" style="467" customWidth="1"/>
    <col min="4" max="4" width="20.57421875" style="2" customWidth="1"/>
    <col min="5" max="5" width="21.57421875" style="4" customWidth="1"/>
    <col min="6" max="6" width="19.7109375" style="4" customWidth="1"/>
    <col min="7" max="7" width="18.00390625" style="2" customWidth="1"/>
    <col min="8" max="8" width="28.140625" style="2" customWidth="1"/>
    <col min="9" max="16384" width="9.140625" style="2" customWidth="1"/>
  </cols>
  <sheetData>
    <row r="1" ht="19.5" customHeight="1">
      <c r="C1" s="162" t="s">
        <v>555</v>
      </c>
    </row>
    <row r="2" ht="19.5" customHeight="1">
      <c r="C2" s="164" t="s">
        <v>535</v>
      </c>
    </row>
    <row r="3" ht="19.5" customHeight="1">
      <c r="C3" s="164" t="s">
        <v>153</v>
      </c>
    </row>
    <row r="4" ht="19.5" customHeight="1">
      <c r="C4" s="164" t="s">
        <v>748</v>
      </c>
    </row>
    <row r="5" ht="15" customHeight="1"/>
    <row r="6" ht="14.25" customHeight="1"/>
    <row r="7" spans="1:6" s="26" customFormat="1" ht="19.5" customHeight="1">
      <c r="A7" s="768" t="s">
        <v>464</v>
      </c>
      <c r="B7" s="769"/>
      <c r="C7" s="161"/>
      <c r="D7" s="2"/>
      <c r="E7" s="4"/>
      <c r="F7" s="770"/>
    </row>
    <row r="8" spans="1:6" s="26" customFormat="1" ht="19.5" customHeight="1">
      <c r="A8" s="768" t="s">
        <v>465</v>
      </c>
      <c r="B8" s="769"/>
      <c r="C8" s="161"/>
      <c r="D8" s="2"/>
      <c r="E8" s="4"/>
      <c r="F8" s="770"/>
    </row>
    <row r="9" spans="1:3" ht="18.75" customHeight="1">
      <c r="A9" s="768"/>
      <c r="B9" s="33"/>
      <c r="C9" s="161"/>
    </row>
    <row r="10" spans="1:2" ht="13.5">
      <c r="A10" s="88" t="s">
        <v>72</v>
      </c>
      <c r="B10" s="771"/>
    </row>
    <row r="11" spans="3:4" ht="11.25" customHeight="1">
      <c r="C11" s="772"/>
      <c r="D11" s="773" t="s">
        <v>162</v>
      </c>
    </row>
    <row r="12" spans="1:6" ht="42.75" customHeight="1">
      <c r="A12" s="247" t="s">
        <v>165</v>
      </c>
      <c r="B12" s="247" t="s">
        <v>466</v>
      </c>
      <c r="C12" s="230" t="s">
        <v>467</v>
      </c>
      <c r="D12" s="774" t="s">
        <v>468</v>
      </c>
      <c r="F12" s="775"/>
    </row>
    <row r="13" spans="1:7" s="33" customFormat="1" ht="22.5" customHeight="1">
      <c r="A13" s="776" t="s">
        <v>469</v>
      </c>
      <c r="B13" s="777"/>
      <c r="C13" s="778"/>
      <c r="D13" s="779">
        <f>D14+D25</f>
        <v>9674771.629999999</v>
      </c>
      <c r="E13" s="3"/>
      <c r="F13" s="775"/>
      <c r="G13" s="3"/>
    </row>
    <row r="14" spans="1:7" s="33" customFormat="1" ht="24.75" customHeight="1">
      <c r="A14" s="780" t="s">
        <v>470</v>
      </c>
      <c r="B14" s="781"/>
      <c r="C14" s="782"/>
      <c r="D14" s="779">
        <f>D15</f>
        <v>2229734</v>
      </c>
      <c r="E14" s="783"/>
      <c r="F14" s="3"/>
      <c r="G14" s="3"/>
    </row>
    <row r="15" spans="1:7" s="33" customFormat="1" ht="30" customHeight="1">
      <c r="A15" s="784">
        <v>801</v>
      </c>
      <c r="B15" s="785" t="s">
        <v>275</v>
      </c>
      <c r="C15" s="468"/>
      <c r="D15" s="786">
        <f>SUM(D16:D24)</f>
        <v>2229734</v>
      </c>
      <c r="E15" s="787"/>
      <c r="F15" s="3"/>
      <c r="G15" s="3"/>
    </row>
    <row r="16" spans="1:6" s="33" customFormat="1" ht="17.25" customHeight="1">
      <c r="A16" s="788"/>
      <c r="B16" s="789"/>
      <c r="C16" s="234" t="s">
        <v>471</v>
      </c>
      <c r="D16" s="790">
        <f>325260-20000+22604</f>
        <v>327864</v>
      </c>
      <c r="E16" s="3"/>
      <c r="F16" s="3"/>
    </row>
    <row r="17" spans="1:6" s="33" customFormat="1" ht="18.75" customHeight="1">
      <c r="A17" s="788"/>
      <c r="B17" s="791"/>
      <c r="C17" s="234" t="s">
        <v>472</v>
      </c>
      <c r="D17" s="792">
        <f>587136-20000-20848</f>
        <v>546288</v>
      </c>
      <c r="E17" s="3"/>
      <c r="F17" s="3"/>
    </row>
    <row r="18" spans="1:6" s="33" customFormat="1" ht="18.75" customHeight="1">
      <c r="A18" s="788"/>
      <c r="B18" s="791"/>
      <c r="C18" s="234" t="s">
        <v>473</v>
      </c>
      <c r="D18" s="792">
        <f>108982-90000-11000</f>
        <v>7982</v>
      </c>
      <c r="E18" s="3"/>
      <c r="F18" s="3"/>
    </row>
    <row r="19" spans="1:6" s="33" customFormat="1" ht="18.75" customHeight="1">
      <c r="A19" s="788"/>
      <c r="B19" s="791"/>
      <c r="C19" s="234" t="s">
        <v>474</v>
      </c>
      <c r="D19" s="792">
        <f>570172+94000+242000</f>
        <v>906172</v>
      </c>
      <c r="E19" s="3"/>
      <c r="F19" s="3"/>
    </row>
    <row r="20" spans="1:6" s="33" customFormat="1" ht="21.75" customHeight="1">
      <c r="A20" s="788"/>
      <c r="B20" s="791"/>
      <c r="C20" s="234" t="s">
        <v>475</v>
      </c>
      <c r="D20" s="792">
        <f>80880-30000+43000+5000</f>
        <v>98880</v>
      </c>
      <c r="E20" s="3"/>
      <c r="F20" s="3"/>
    </row>
    <row r="21" spans="1:6" s="33" customFormat="1" ht="18.75" customHeight="1">
      <c r="A21" s="788"/>
      <c r="B21" s="791"/>
      <c r="C21" s="234" t="s">
        <v>476</v>
      </c>
      <c r="D21" s="792">
        <f>133548-16000</f>
        <v>117548</v>
      </c>
      <c r="E21" s="3"/>
      <c r="F21" s="3"/>
    </row>
    <row r="22" spans="1:6" s="33" customFormat="1" ht="21" customHeight="1">
      <c r="A22" s="788"/>
      <c r="B22" s="791"/>
      <c r="C22" s="234" t="s">
        <v>477</v>
      </c>
      <c r="D22" s="792">
        <f>60312+9600</f>
        <v>69912</v>
      </c>
      <c r="E22" s="3"/>
      <c r="F22" s="3"/>
    </row>
    <row r="23" spans="1:6" s="33" customFormat="1" ht="21" customHeight="1">
      <c r="A23" s="788"/>
      <c r="B23" s="791"/>
      <c r="C23" s="234" t="s">
        <v>478</v>
      </c>
      <c r="D23" s="793">
        <v>103392</v>
      </c>
      <c r="E23" s="3"/>
      <c r="F23" s="3"/>
    </row>
    <row r="24" spans="1:6" s="33" customFormat="1" ht="21" customHeight="1">
      <c r="A24" s="788"/>
      <c r="B24" s="791"/>
      <c r="C24" s="239" t="s">
        <v>479</v>
      </c>
      <c r="D24" s="793">
        <v>51696</v>
      </c>
      <c r="E24" s="3"/>
      <c r="F24" s="3"/>
    </row>
    <row r="25" spans="1:6" s="33" customFormat="1" ht="24.75" customHeight="1">
      <c r="A25" s="780" t="s">
        <v>480</v>
      </c>
      <c r="B25" s="781"/>
      <c r="C25" s="782"/>
      <c r="D25" s="794">
        <f>D26+D28+D39+D43+D49+D53+D57</f>
        <v>7445037.63</v>
      </c>
      <c r="E25" s="3"/>
      <c r="F25" s="3"/>
    </row>
    <row r="26" spans="1:6" s="33" customFormat="1" ht="33.75" customHeight="1">
      <c r="A26" s="795">
        <v>754</v>
      </c>
      <c r="B26" s="785" t="s">
        <v>267</v>
      </c>
      <c r="C26" s="796"/>
      <c r="D26" s="794">
        <f>D27</f>
        <v>10962</v>
      </c>
      <c r="E26" s="3"/>
      <c r="F26" s="3"/>
    </row>
    <row r="27" spans="1:6" s="33" customFormat="1" ht="55.5" customHeight="1">
      <c r="A27" s="780"/>
      <c r="B27" s="797"/>
      <c r="C27" s="234" t="s">
        <v>481</v>
      </c>
      <c r="D27" s="915">
        <f>15000-4038</f>
        <v>10962</v>
      </c>
      <c r="E27" s="3"/>
      <c r="F27" s="3"/>
    </row>
    <row r="28" spans="1:6" s="33" customFormat="1" ht="21.75" customHeight="1">
      <c r="A28" s="251">
        <v>851</v>
      </c>
      <c r="B28" s="798" t="s">
        <v>311</v>
      </c>
      <c r="C28" s="799"/>
      <c r="D28" s="800">
        <f>SUM(D29:D38)</f>
        <v>970100</v>
      </c>
      <c r="E28" s="787"/>
      <c r="F28" s="3"/>
    </row>
    <row r="29" spans="1:6" s="33" customFormat="1" ht="35.25" customHeight="1">
      <c r="A29" s="307"/>
      <c r="B29" s="801"/>
      <c r="C29" s="234" t="s">
        <v>482</v>
      </c>
      <c r="D29" s="790">
        <v>95000</v>
      </c>
      <c r="E29" s="3"/>
      <c r="F29" s="3"/>
    </row>
    <row r="30" spans="1:6" s="33" customFormat="1" ht="27.75" customHeight="1">
      <c r="A30" s="282"/>
      <c r="B30" s="802"/>
      <c r="C30" s="234" t="s">
        <v>483</v>
      </c>
      <c r="D30" s="790">
        <v>440000</v>
      </c>
      <c r="E30" s="3"/>
      <c r="F30" s="3"/>
    </row>
    <row r="31" spans="1:6" s="33" customFormat="1" ht="52.5" customHeight="1">
      <c r="A31" s="282"/>
      <c r="B31" s="802"/>
      <c r="C31" s="234" t="s">
        <v>484</v>
      </c>
      <c r="D31" s="790">
        <v>50000</v>
      </c>
      <c r="E31" s="3"/>
      <c r="F31" s="3"/>
    </row>
    <row r="32" spans="1:6" s="33" customFormat="1" ht="27.75" customHeight="1">
      <c r="A32" s="282"/>
      <c r="B32" s="802"/>
      <c r="C32" s="234" t="s">
        <v>485</v>
      </c>
      <c r="D32" s="790">
        <v>10000</v>
      </c>
      <c r="E32" s="3"/>
      <c r="F32" s="3"/>
    </row>
    <row r="33" spans="1:6" s="33" customFormat="1" ht="48.75" customHeight="1">
      <c r="A33" s="282"/>
      <c r="B33" s="802"/>
      <c r="C33" s="234" t="s">
        <v>486</v>
      </c>
      <c r="D33" s="790">
        <f>35000+67000-8900</f>
        <v>93100</v>
      </c>
      <c r="E33" s="3"/>
      <c r="F33" s="3"/>
    </row>
    <row r="34" spans="1:6" s="33" customFormat="1" ht="30.75" customHeight="1">
      <c r="A34" s="282"/>
      <c r="B34" s="802"/>
      <c r="C34" s="234" t="s">
        <v>487</v>
      </c>
      <c r="D34" s="790">
        <v>60000</v>
      </c>
      <c r="E34" s="3"/>
      <c r="F34" s="3"/>
    </row>
    <row r="35" spans="1:6" s="33" customFormat="1" ht="27.75" customHeight="1">
      <c r="A35" s="282"/>
      <c r="B35" s="802"/>
      <c r="C35" s="234" t="s">
        <v>488</v>
      </c>
      <c r="D35" s="790">
        <v>101000</v>
      </c>
      <c r="E35" s="3"/>
      <c r="F35" s="3"/>
    </row>
    <row r="36" spans="1:6" s="33" customFormat="1" ht="31.5" customHeight="1">
      <c r="A36" s="282"/>
      <c r="B36" s="802"/>
      <c r="C36" s="234" t="s">
        <v>489</v>
      </c>
      <c r="D36" s="790">
        <v>90000</v>
      </c>
      <c r="E36" s="3"/>
      <c r="F36" s="3"/>
    </row>
    <row r="37" spans="1:6" s="33" customFormat="1" ht="25.5" customHeight="1">
      <c r="A37" s="282"/>
      <c r="B37" s="802"/>
      <c r="C37" s="234" t="s">
        <v>490</v>
      </c>
      <c r="D37" s="790">
        <v>25000</v>
      </c>
      <c r="E37" s="3"/>
      <c r="F37" s="3"/>
    </row>
    <row r="38" spans="1:6" s="33" customFormat="1" ht="26.25" customHeight="1">
      <c r="A38" s="282"/>
      <c r="B38" s="802"/>
      <c r="C38" s="803" t="s">
        <v>491</v>
      </c>
      <c r="D38" s="369">
        <v>6000</v>
      </c>
      <c r="E38" s="3"/>
      <c r="F38" s="3"/>
    </row>
    <row r="39" spans="1:6" s="33" customFormat="1" ht="21" customHeight="1">
      <c r="A39" s="307">
        <v>852</v>
      </c>
      <c r="B39" s="804" t="s">
        <v>679</v>
      </c>
      <c r="C39" s="799"/>
      <c r="D39" s="805">
        <f>SUM(D40:D42)</f>
        <v>1485000</v>
      </c>
      <c r="E39" s="3"/>
      <c r="F39" s="3"/>
    </row>
    <row r="40" spans="1:6" s="33" customFormat="1" ht="34.5" customHeight="1">
      <c r="A40" s="806"/>
      <c r="B40" s="804"/>
      <c r="C40" s="807" t="s">
        <v>492</v>
      </c>
      <c r="D40" s="790">
        <v>1200000</v>
      </c>
      <c r="E40" s="3"/>
      <c r="F40" s="3"/>
    </row>
    <row r="41" spans="1:6" s="33" customFormat="1" ht="26.25" customHeight="1">
      <c r="A41" s="289"/>
      <c r="B41" s="808"/>
      <c r="C41" s="809" t="s">
        <v>493</v>
      </c>
      <c r="D41" s="790">
        <f>200000</f>
        <v>200000</v>
      </c>
      <c r="E41" s="3"/>
      <c r="F41" s="3"/>
    </row>
    <row r="42" spans="1:6" s="33" customFormat="1" ht="32.25" customHeight="1">
      <c r="A42" s="289"/>
      <c r="B42" s="808"/>
      <c r="C42" s="809" t="s">
        <v>494</v>
      </c>
      <c r="D42" s="790">
        <v>85000</v>
      </c>
      <c r="E42" s="3"/>
      <c r="F42" s="3"/>
    </row>
    <row r="43" spans="1:6" s="33" customFormat="1" ht="39" customHeight="1">
      <c r="A43" s="219">
        <v>853</v>
      </c>
      <c r="B43" s="810" t="s">
        <v>316</v>
      </c>
      <c r="C43" s="811"/>
      <c r="D43" s="786">
        <f>SUM(D44:D48)</f>
        <v>2109975.63</v>
      </c>
      <c r="E43" s="3"/>
      <c r="F43" s="3"/>
    </row>
    <row r="44" spans="1:8" s="33" customFormat="1" ht="28.5" customHeight="1">
      <c r="A44" s="289"/>
      <c r="B44" s="808"/>
      <c r="C44" s="811" t="s">
        <v>495</v>
      </c>
      <c r="D44" s="790">
        <f>168000-10400-15000</f>
        <v>142600</v>
      </c>
      <c r="E44" s="3"/>
      <c r="F44" s="3"/>
      <c r="G44" s="325"/>
      <c r="H44" s="325"/>
    </row>
    <row r="45" spans="1:8" s="33" customFormat="1" ht="36" customHeight="1">
      <c r="A45" s="289"/>
      <c r="B45" s="808"/>
      <c r="C45" s="809" t="s">
        <v>496</v>
      </c>
      <c r="D45" s="790">
        <f>9000+40000</f>
        <v>49000</v>
      </c>
      <c r="E45" s="3"/>
      <c r="F45" s="3"/>
      <c r="G45" s="325"/>
      <c r="H45" s="812"/>
    </row>
    <row r="46" spans="1:8" s="33" customFormat="1" ht="40.5" customHeight="1">
      <c r="A46" s="289"/>
      <c r="B46" s="808"/>
      <c r="C46" s="809" t="s">
        <v>497</v>
      </c>
      <c r="D46" s="790">
        <f>1360000+240000+40000</f>
        <v>1640000</v>
      </c>
      <c r="E46" s="3"/>
      <c r="F46" s="3"/>
      <c r="G46" s="325"/>
      <c r="H46" s="325"/>
    </row>
    <row r="47" spans="1:6" s="33" customFormat="1" ht="40.5" customHeight="1">
      <c r="A47" s="289"/>
      <c r="B47" s="808"/>
      <c r="C47" s="809" t="s">
        <v>498</v>
      </c>
      <c r="D47" s="914">
        <f>221000-15239.17-2689.27</f>
        <v>203071.56</v>
      </c>
      <c r="E47" s="3"/>
      <c r="F47" s="3"/>
    </row>
    <row r="48" spans="1:6" s="33" customFormat="1" ht="42.75" customHeight="1">
      <c r="A48" s="289"/>
      <c r="B48" s="808"/>
      <c r="C48" s="809" t="s">
        <v>499</v>
      </c>
      <c r="D48" s="790">
        <f>58174.85+10266.15+5833.61+1029.46</f>
        <v>75304.07</v>
      </c>
      <c r="E48" s="3"/>
      <c r="F48" s="3"/>
    </row>
    <row r="49" spans="1:6" s="33" customFormat="1" ht="37.5" customHeight="1">
      <c r="A49" s="307">
        <v>900</v>
      </c>
      <c r="B49" s="813" t="s">
        <v>500</v>
      </c>
      <c r="C49" s="814"/>
      <c r="D49" s="779">
        <f>SUM(D50:D52)</f>
        <v>750000</v>
      </c>
      <c r="E49" s="3"/>
      <c r="F49" s="3"/>
    </row>
    <row r="50" spans="1:6" s="33" customFormat="1" ht="62.25" customHeight="1">
      <c r="A50" s="327"/>
      <c r="B50" s="815"/>
      <c r="C50" s="816" t="s">
        <v>501</v>
      </c>
      <c r="D50" s="790">
        <v>270000</v>
      </c>
      <c r="E50" s="3"/>
      <c r="F50" s="3"/>
    </row>
    <row r="51" spans="1:6" s="820" customFormat="1" ht="42.75" customHeight="1">
      <c r="A51" s="312"/>
      <c r="B51" s="817"/>
      <c r="C51" s="818" t="s">
        <v>502</v>
      </c>
      <c r="D51" s="819">
        <v>30000</v>
      </c>
      <c r="E51" s="787"/>
      <c r="F51" s="787"/>
    </row>
    <row r="52" spans="1:6" s="33" customFormat="1" ht="37.5" customHeight="1">
      <c r="A52" s="370"/>
      <c r="B52" s="821"/>
      <c r="C52" s="818" t="s">
        <v>503</v>
      </c>
      <c r="D52" s="790">
        <f>50000+100000+300000</f>
        <v>450000</v>
      </c>
      <c r="E52" s="3"/>
      <c r="F52" s="3"/>
    </row>
    <row r="53" spans="1:6" s="33" customFormat="1" ht="39" customHeight="1">
      <c r="A53" s="219">
        <v>921</v>
      </c>
      <c r="B53" s="822" t="s">
        <v>705</v>
      </c>
      <c r="C53" s="810"/>
      <c r="D53" s="779">
        <f>SUM(D54:D56)</f>
        <v>173000</v>
      </c>
      <c r="E53" s="3"/>
      <c r="F53" s="3"/>
    </row>
    <row r="54" spans="1:6" s="33" customFormat="1" ht="31.5" customHeight="1">
      <c r="A54" s="312"/>
      <c r="B54" s="817"/>
      <c r="C54" s="823" t="s">
        <v>504</v>
      </c>
      <c r="D54" s="792">
        <f>60000+40000</f>
        <v>100000</v>
      </c>
      <c r="E54" s="3"/>
      <c r="F54" s="3"/>
    </row>
    <row r="55" spans="1:6" s="33" customFormat="1" ht="35.25" customHeight="1">
      <c r="A55" s="312"/>
      <c r="B55" s="817"/>
      <c r="C55" s="404" t="s">
        <v>505</v>
      </c>
      <c r="D55" s="792">
        <v>45000</v>
      </c>
      <c r="E55" s="3"/>
      <c r="F55" s="3"/>
    </row>
    <row r="56" spans="1:6" s="33" customFormat="1" ht="28.5" customHeight="1">
      <c r="A56" s="370"/>
      <c r="B56" s="821"/>
      <c r="C56" s="824" t="s">
        <v>506</v>
      </c>
      <c r="D56" s="792">
        <v>28000</v>
      </c>
      <c r="E56" s="3"/>
      <c r="F56" s="3"/>
    </row>
    <row r="57" spans="1:10" s="33" customFormat="1" ht="29.25" customHeight="1">
      <c r="A57" s="251">
        <v>926</v>
      </c>
      <c r="B57" s="825" t="s">
        <v>507</v>
      </c>
      <c r="C57" s="814"/>
      <c r="D57" s="779">
        <f>SUM(D58:D63)</f>
        <v>1946000</v>
      </c>
      <c r="E57" s="3"/>
      <c r="F57" s="361"/>
      <c r="G57" s="329"/>
      <c r="H57" s="329"/>
      <c r="I57" s="329"/>
      <c r="J57" s="329"/>
    </row>
    <row r="58" spans="1:10" s="360" customFormat="1" ht="69.75" customHeight="1">
      <c r="A58" s="327"/>
      <c r="B58" s="182"/>
      <c r="C58" s="824" t="s">
        <v>508</v>
      </c>
      <c r="D58" s="826">
        <v>1700000</v>
      </c>
      <c r="E58" s="3"/>
      <c r="F58" s="827"/>
      <c r="G58" s="828"/>
      <c r="H58" s="828"/>
      <c r="I58" s="828"/>
      <c r="J58" s="828"/>
    </row>
    <row r="59" spans="1:10" s="360" customFormat="1" ht="37.5" customHeight="1">
      <c r="A59" s="312"/>
      <c r="B59" s="190"/>
      <c r="C59" s="824" t="s">
        <v>509</v>
      </c>
      <c r="D59" s="826">
        <v>100000</v>
      </c>
      <c r="E59" s="3"/>
      <c r="F59" s="827"/>
      <c r="G59" s="828"/>
      <c r="H59" s="828"/>
      <c r="I59" s="828"/>
      <c r="J59" s="828"/>
    </row>
    <row r="60" spans="1:10" s="360" customFormat="1" ht="32.25" customHeight="1">
      <c r="A60" s="312"/>
      <c r="B60" s="190"/>
      <c r="C60" s="824" t="s">
        <v>510</v>
      </c>
      <c r="D60" s="826">
        <v>15000</v>
      </c>
      <c r="E60" s="3"/>
      <c r="F60" s="827"/>
      <c r="G60" s="828"/>
      <c r="H60" s="828"/>
      <c r="I60" s="828"/>
      <c r="J60" s="828"/>
    </row>
    <row r="61" spans="1:10" s="360" customFormat="1" ht="40.5" customHeight="1">
      <c r="A61" s="312"/>
      <c r="B61" s="190"/>
      <c r="C61" s="824" t="s">
        <v>511</v>
      </c>
      <c r="D61" s="826">
        <v>10000</v>
      </c>
      <c r="E61" s="3"/>
      <c r="F61" s="827"/>
      <c r="G61" s="828"/>
      <c r="H61" s="828"/>
      <c r="I61" s="828"/>
      <c r="J61" s="828"/>
    </row>
    <row r="62" spans="1:10" s="360" customFormat="1" ht="33" customHeight="1">
      <c r="A62" s="829"/>
      <c r="B62" s="270"/>
      <c r="C62" s="830" t="s">
        <v>512</v>
      </c>
      <c r="D62" s="826">
        <f>115000-19000</f>
        <v>96000</v>
      </c>
      <c r="E62" s="3"/>
      <c r="F62" s="827"/>
      <c r="G62" s="828"/>
      <c r="H62" s="828"/>
      <c r="I62" s="828"/>
      <c r="J62" s="828"/>
    </row>
    <row r="63" spans="1:10" s="33" customFormat="1" ht="39" customHeight="1">
      <c r="A63" s="829"/>
      <c r="B63" s="270"/>
      <c r="C63" s="824" t="s">
        <v>513</v>
      </c>
      <c r="D63" s="790">
        <v>25000</v>
      </c>
      <c r="E63" s="3"/>
      <c r="F63" s="775"/>
      <c r="G63" s="361"/>
      <c r="H63" s="329"/>
      <c r="I63" s="329"/>
      <c r="J63" s="329"/>
    </row>
    <row r="64" spans="1:10" s="33" customFormat="1" ht="36.75" customHeight="1">
      <c r="A64" s="831" t="s">
        <v>514</v>
      </c>
      <c r="B64" s="832"/>
      <c r="C64" s="833"/>
      <c r="D64" s="805">
        <f>D65+D84</f>
        <v>8041634</v>
      </c>
      <c r="E64" s="3"/>
      <c r="F64" s="834"/>
      <c r="G64" s="361"/>
      <c r="H64" s="329"/>
      <c r="I64" s="329"/>
      <c r="J64" s="329"/>
    </row>
    <row r="65" spans="1:10" s="33" customFormat="1" ht="27" customHeight="1">
      <c r="A65" s="835" t="s">
        <v>470</v>
      </c>
      <c r="B65" s="836"/>
      <c r="C65" s="837"/>
      <c r="D65" s="838">
        <f>D66+D80+D82</f>
        <v>7276549</v>
      </c>
      <c r="E65" s="3"/>
      <c r="F65" s="361"/>
      <c r="G65" s="361"/>
      <c r="H65" s="329"/>
      <c r="I65" s="329"/>
      <c r="J65" s="329"/>
    </row>
    <row r="66" spans="1:10" s="33" customFormat="1" ht="19.5" customHeight="1">
      <c r="A66" s="784">
        <v>801</v>
      </c>
      <c r="B66" s="839" t="s">
        <v>275</v>
      </c>
      <c r="C66" s="234"/>
      <c r="D66" s="786">
        <f>SUM(D67:D79)</f>
        <v>5586108</v>
      </c>
      <c r="E66" s="3"/>
      <c r="F66" s="361"/>
      <c r="G66" s="361"/>
      <c r="H66" s="329"/>
      <c r="I66" s="329"/>
      <c r="J66" s="329"/>
    </row>
    <row r="67" spans="1:10" s="33" customFormat="1" ht="30" customHeight="1">
      <c r="A67" s="840"/>
      <c r="B67" s="285"/>
      <c r="C67" s="841" t="s">
        <v>515</v>
      </c>
      <c r="D67" s="792">
        <f>460000+956468-174000+155000</f>
        <v>1397468</v>
      </c>
      <c r="E67" s="3"/>
      <c r="F67" s="361"/>
      <c r="G67" s="329"/>
      <c r="H67" s="329"/>
      <c r="I67" s="329"/>
      <c r="J67" s="329"/>
    </row>
    <row r="68" spans="1:10" s="33" customFormat="1" ht="26.25" customHeight="1">
      <c r="A68" s="842"/>
      <c r="B68" s="279"/>
      <c r="C68" s="234" t="s">
        <v>516</v>
      </c>
      <c r="D68" s="792">
        <f>200000+400000-183350-137000-40611-202016</f>
        <v>37023</v>
      </c>
      <c r="E68" s="3"/>
      <c r="F68" s="361"/>
      <c r="G68" s="329"/>
      <c r="H68" s="329"/>
      <c r="I68" s="329"/>
      <c r="J68" s="329"/>
    </row>
    <row r="69" spans="1:10" s="33" customFormat="1" ht="25.5" customHeight="1">
      <c r="A69" s="842"/>
      <c r="B69" s="279"/>
      <c r="C69" s="841" t="s">
        <v>517</v>
      </c>
      <c r="D69" s="792">
        <f>400000-258000</f>
        <v>142000</v>
      </c>
      <c r="E69" s="3"/>
      <c r="F69" s="361"/>
      <c r="G69" s="329"/>
      <c r="H69" s="329"/>
      <c r="I69" s="329"/>
      <c r="J69" s="329"/>
    </row>
    <row r="70" spans="1:10" s="33" customFormat="1" ht="25.5" customHeight="1">
      <c r="A70" s="842"/>
      <c r="B70" s="279"/>
      <c r="C70" s="843" t="s">
        <v>518</v>
      </c>
      <c r="D70" s="792">
        <f>670000-215800</f>
        <v>454200</v>
      </c>
      <c r="E70" s="3"/>
      <c r="F70" s="361"/>
      <c r="G70" s="329"/>
      <c r="H70" s="329"/>
      <c r="I70" s="329"/>
      <c r="J70" s="329"/>
    </row>
    <row r="71" spans="1:10" s="33" customFormat="1" ht="25.5" customHeight="1">
      <c r="A71" s="842"/>
      <c r="B71" s="279"/>
      <c r="C71" s="843" t="s">
        <v>471</v>
      </c>
      <c r="D71" s="792">
        <f>350000+175000+300000-131000-139000</f>
        <v>555000</v>
      </c>
      <c r="E71" s="3"/>
      <c r="F71" s="361"/>
      <c r="G71" s="329"/>
      <c r="H71" s="329"/>
      <c r="I71" s="329"/>
      <c r="J71" s="329"/>
    </row>
    <row r="72" spans="1:10" s="33" customFormat="1" ht="29.25" customHeight="1">
      <c r="A72" s="842"/>
      <c r="B72" s="279"/>
      <c r="C72" s="843" t="s">
        <v>519</v>
      </c>
      <c r="D72" s="792">
        <f>700000+200000-208500-125800</f>
        <v>565700</v>
      </c>
      <c r="E72" s="3"/>
      <c r="F72" s="361"/>
      <c r="G72" s="329"/>
      <c r="H72" s="329"/>
      <c r="I72" s="329"/>
      <c r="J72" s="329"/>
    </row>
    <row r="73" spans="1:10" s="33" customFormat="1" ht="24.75" customHeight="1">
      <c r="A73" s="842"/>
      <c r="B73" s="279"/>
      <c r="C73" s="844" t="s">
        <v>520</v>
      </c>
      <c r="D73" s="792">
        <f>350000+800000+70000-50000</f>
        <v>1170000</v>
      </c>
      <c r="E73" s="3"/>
      <c r="F73" s="361"/>
      <c r="G73" s="329"/>
      <c r="H73" s="329"/>
      <c r="I73" s="329"/>
      <c r="J73" s="329"/>
    </row>
    <row r="74" spans="1:10" s="33" customFormat="1" ht="30.75" customHeight="1">
      <c r="A74" s="842"/>
      <c r="B74" s="279"/>
      <c r="C74" s="843" t="s">
        <v>521</v>
      </c>
      <c r="D74" s="792">
        <f>170000-83995</f>
        <v>86005</v>
      </c>
      <c r="E74" s="3"/>
      <c r="F74" s="361"/>
      <c r="G74" s="329"/>
      <c r="H74" s="329"/>
      <c r="I74" s="329"/>
      <c r="J74" s="329"/>
    </row>
    <row r="75" spans="1:10" s="33" customFormat="1" ht="23.25" customHeight="1">
      <c r="A75" s="842"/>
      <c r="B75" s="279"/>
      <c r="C75" s="844" t="s">
        <v>522</v>
      </c>
      <c r="D75" s="792">
        <f>200000+500000-110100-327000</f>
        <v>262900</v>
      </c>
      <c r="E75" s="3"/>
      <c r="F75" s="361"/>
      <c r="G75" s="329"/>
      <c r="H75" s="329"/>
      <c r="I75" s="329"/>
      <c r="J75" s="329"/>
    </row>
    <row r="76" spans="1:10" s="33" customFormat="1" ht="24" customHeight="1">
      <c r="A76" s="842"/>
      <c r="B76" s="279"/>
      <c r="C76" s="844" t="s">
        <v>523</v>
      </c>
      <c r="D76" s="792">
        <f>100000+90000</f>
        <v>190000</v>
      </c>
      <c r="E76" s="3"/>
      <c r="F76" s="361"/>
      <c r="G76" s="329"/>
      <c r="H76" s="329"/>
      <c r="I76" s="329"/>
      <c r="J76" s="329"/>
    </row>
    <row r="77" spans="1:10" s="33" customFormat="1" ht="28.5" customHeight="1">
      <c r="A77" s="842"/>
      <c r="B77" s="279"/>
      <c r="C77" s="843" t="s">
        <v>524</v>
      </c>
      <c r="D77" s="819">
        <f>130000-32000</f>
        <v>98000</v>
      </c>
      <c r="E77" s="3"/>
      <c r="F77" s="361"/>
      <c r="G77" s="329"/>
      <c r="H77" s="329"/>
      <c r="I77" s="329"/>
      <c r="J77" s="329"/>
    </row>
    <row r="78" spans="1:10" s="33" customFormat="1" ht="24.75" customHeight="1">
      <c r="A78" s="842"/>
      <c r="B78" s="279"/>
      <c r="C78" s="845" t="s">
        <v>525</v>
      </c>
      <c r="D78" s="790">
        <f>600000-172188</f>
        <v>427812</v>
      </c>
      <c r="E78" s="3"/>
      <c r="F78" s="361"/>
      <c r="G78" s="329"/>
      <c r="H78" s="329"/>
      <c r="I78" s="329"/>
      <c r="J78" s="329"/>
    </row>
    <row r="79" spans="1:10" s="33" customFormat="1" ht="28.5" customHeight="1">
      <c r="A79" s="846"/>
      <c r="B79" s="847"/>
      <c r="C79" s="843" t="s">
        <v>526</v>
      </c>
      <c r="D79" s="470">
        <f>250000-50000</f>
        <v>200000</v>
      </c>
      <c r="E79" s="3"/>
      <c r="F79" s="361"/>
      <c r="G79" s="329"/>
      <c r="H79" s="329"/>
      <c r="I79" s="329"/>
      <c r="J79" s="329"/>
    </row>
    <row r="80" spans="1:10" s="33" customFormat="1" ht="33.75" customHeight="1">
      <c r="A80" s="307">
        <v>853</v>
      </c>
      <c r="B80" s="839" t="s">
        <v>316</v>
      </c>
      <c r="C80" s="830"/>
      <c r="D80" s="779">
        <f>SUM(D81:D81)</f>
        <v>308105</v>
      </c>
      <c r="E80" s="3"/>
      <c r="F80" s="361"/>
      <c r="G80" s="329"/>
      <c r="H80" s="329"/>
      <c r="I80" s="329"/>
      <c r="J80" s="329"/>
    </row>
    <row r="81" spans="1:10" s="164" customFormat="1" ht="36" customHeight="1">
      <c r="A81" s="806"/>
      <c r="B81" s="839"/>
      <c r="C81" s="848" t="s">
        <v>527</v>
      </c>
      <c r="D81" s="819">
        <v>308105</v>
      </c>
      <c r="E81" s="3"/>
      <c r="F81" s="849"/>
      <c r="G81" s="850"/>
      <c r="H81" s="850"/>
      <c r="I81" s="850"/>
      <c r="J81" s="850"/>
    </row>
    <row r="82" spans="1:10" s="33" customFormat="1" ht="33.75" customHeight="1">
      <c r="A82" s="851">
        <v>854</v>
      </c>
      <c r="B82" s="785" t="s">
        <v>528</v>
      </c>
      <c r="C82" s="234"/>
      <c r="D82" s="786">
        <f>D83</f>
        <v>1382336</v>
      </c>
      <c r="E82" s="787"/>
      <c r="F82" s="361"/>
      <c r="G82" s="329"/>
      <c r="H82" s="329"/>
      <c r="I82" s="329"/>
      <c r="J82" s="329"/>
    </row>
    <row r="83" spans="1:10" s="33" customFormat="1" ht="37.5" customHeight="1">
      <c r="A83" s="852"/>
      <c r="B83" s="853"/>
      <c r="C83" s="234" t="s">
        <v>529</v>
      </c>
      <c r="D83" s="790">
        <f>1350000+32336</f>
        <v>1382336</v>
      </c>
      <c r="E83" s="3"/>
      <c r="F83" s="361"/>
      <c r="G83" s="329"/>
      <c r="H83" s="329"/>
      <c r="I83" s="329"/>
      <c r="J83" s="329"/>
    </row>
    <row r="84" spans="1:10" s="33" customFormat="1" ht="26.25" customHeight="1">
      <c r="A84" s="780" t="s">
        <v>480</v>
      </c>
      <c r="B84" s="854"/>
      <c r="C84" s="855"/>
      <c r="D84" s="856">
        <f>D85+D88+D90</f>
        <v>765085</v>
      </c>
      <c r="E84" s="3"/>
      <c r="F84" s="361"/>
      <c r="G84" s="329"/>
      <c r="H84" s="329"/>
      <c r="I84" s="329"/>
      <c r="J84" s="329"/>
    </row>
    <row r="85" spans="1:10" s="33" customFormat="1" ht="28.5" customHeight="1">
      <c r="A85" s="282">
        <v>630</v>
      </c>
      <c r="B85" s="857" t="s">
        <v>706</v>
      </c>
      <c r="C85" s="841" t="s">
        <v>72</v>
      </c>
      <c r="D85" s="779">
        <f>SUM(D86:D87)</f>
        <v>90000</v>
      </c>
      <c r="E85" s="3"/>
      <c r="F85" s="361"/>
      <c r="G85" s="329"/>
      <c r="H85" s="329"/>
      <c r="I85" s="329"/>
      <c r="J85" s="329"/>
    </row>
    <row r="86" spans="1:10" s="33" customFormat="1" ht="35.25" customHeight="1">
      <c r="A86" s="806"/>
      <c r="B86" s="858"/>
      <c r="C86" s="859" t="s">
        <v>530</v>
      </c>
      <c r="D86" s="819">
        <f>30000+30000</f>
        <v>60000</v>
      </c>
      <c r="E86" s="3"/>
      <c r="F86" s="361"/>
      <c r="G86" s="329"/>
      <c r="H86" s="329"/>
      <c r="I86" s="329"/>
      <c r="J86" s="329"/>
    </row>
    <row r="87" spans="1:10" s="33" customFormat="1" ht="30" customHeight="1">
      <c r="A87" s="312"/>
      <c r="B87" s="860"/>
      <c r="C87" s="816" t="s">
        <v>531</v>
      </c>
      <c r="D87" s="790">
        <v>30000</v>
      </c>
      <c r="E87" s="3"/>
      <c r="F87" s="361"/>
      <c r="G87" s="329"/>
      <c r="H87" s="329"/>
      <c r="I87" s="329"/>
      <c r="J87" s="329"/>
    </row>
    <row r="88" spans="1:10" s="33" customFormat="1" ht="26.25" customHeight="1">
      <c r="A88" s="219">
        <v>852</v>
      </c>
      <c r="B88" s="861" t="s">
        <v>679</v>
      </c>
      <c r="C88" s="830"/>
      <c r="D88" s="779">
        <f>SUM(D89:D89)</f>
        <v>200000</v>
      </c>
      <c r="E88" s="3"/>
      <c r="F88" s="361"/>
      <c r="G88" s="329"/>
      <c r="H88" s="329"/>
      <c r="I88" s="329"/>
      <c r="J88" s="329"/>
    </row>
    <row r="89" spans="1:6" s="33" customFormat="1" ht="29.25" customHeight="1">
      <c r="A89" s="270"/>
      <c r="B89" s="270"/>
      <c r="C89" s="848" t="s">
        <v>532</v>
      </c>
      <c r="D89" s="790">
        <v>200000</v>
      </c>
      <c r="E89" s="783"/>
      <c r="F89" s="3"/>
    </row>
    <row r="90" spans="1:6" s="33" customFormat="1" ht="32.25" customHeight="1">
      <c r="A90" s="307">
        <v>853</v>
      </c>
      <c r="B90" s="839" t="s">
        <v>316</v>
      </c>
      <c r="C90" s="848"/>
      <c r="D90" s="786">
        <f>D91</f>
        <v>475085</v>
      </c>
      <c r="E90" s="783"/>
      <c r="F90" s="3"/>
    </row>
    <row r="91" spans="1:6" s="33" customFormat="1" ht="33.75" customHeight="1">
      <c r="A91" s="862"/>
      <c r="B91" s="862"/>
      <c r="C91" s="848" t="s">
        <v>533</v>
      </c>
      <c r="D91" s="790">
        <f>1000000-524915</f>
        <v>475085</v>
      </c>
      <c r="E91" s="783"/>
      <c r="F91" s="775"/>
    </row>
    <row r="92" spans="1:6" s="33" customFormat="1" ht="29.25" customHeight="1">
      <c r="A92" s="993" t="s">
        <v>534</v>
      </c>
      <c r="B92" s="994"/>
      <c r="C92" s="995"/>
      <c r="D92" s="863">
        <f>D13+D64</f>
        <v>17716405.63</v>
      </c>
      <c r="E92" s="783"/>
      <c r="F92" s="775"/>
    </row>
    <row r="93" spans="3:7" s="33" customFormat="1" ht="12.75">
      <c r="C93" s="161"/>
      <c r="E93" s="783"/>
      <c r="F93" s="3"/>
      <c r="G93" s="3"/>
    </row>
    <row r="94" spans="3:6" s="33" customFormat="1" ht="12.75">
      <c r="C94" s="161"/>
      <c r="E94" s="3"/>
      <c r="F94" s="3"/>
    </row>
    <row r="95" spans="3:6" s="33" customFormat="1" ht="12.75">
      <c r="C95" s="161"/>
      <c r="E95" s="3"/>
      <c r="F95" s="3"/>
    </row>
    <row r="96" spans="3:6" s="33" customFormat="1" ht="12.75">
      <c r="C96" s="161"/>
      <c r="E96" s="3"/>
      <c r="F96" s="3"/>
    </row>
    <row r="97" spans="3:7" s="33" customFormat="1" ht="12.75">
      <c r="C97" s="161"/>
      <c r="E97" s="3"/>
      <c r="F97" s="3"/>
      <c r="G97" s="3"/>
    </row>
    <row r="98" spans="3:6" s="33" customFormat="1" ht="12.75">
      <c r="C98" s="161"/>
      <c r="E98" s="3"/>
      <c r="F98" s="3"/>
    </row>
    <row r="99" spans="3:6" s="33" customFormat="1" ht="12.75">
      <c r="C99" s="161"/>
      <c r="E99" s="3"/>
      <c r="F99" s="3"/>
    </row>
    <row r="100" spans="3:6" s="33" customFormat="1" ht="12.75">
      <c r="C100" s="161"/>
      <c r="E100" s="3"/>
      <c r="F100" s="3"/>
    </row>
    <row r="101" spans="3:6" s="33" customFormat="1" ht="12.75">
      <c r="C101" s="161"/>
      <c r="E101" s="3"/>
      <c r="F101" s="3"/>
    </row>
    <row r="102" spans="3:6" s="33" customFormat="1" ht="12.75">
      <c r="C102" s="161"/>
      <c r="E102" s="3"/>
      <c r="F102" s="3"/>
    </row>
    <row r="103" spans="3:6" s="33" customFormat="1" ht="12.75">
      <c r="C103" s="161"/>
      <c r="E103" s="3"/>
      <c r="F103" s="3"/>
    </row>
    <row r="104" spans="3:6" s="33" customFormat="1" ht="12.75">
      <c r="C104" s="161"/>
      <c r="E104" s="3"/>
      <c r="F104" s="3"/>
    </row>
    <row r="105" spans="3:6" s="33" customFormat="1" ht="12.75">
      <c r="C105" s="161"/>
      <c r="E105" s="3"/>
      <c r="F105" s="3"/>
    </row>
    <row r="106" spans="3:6" s="33" customFormat="1" ht="12.75">
      <c r="C106" s="161"/>
      <c r="E106" s="3"/>
      <c r="F106" s="3"/>
    </row>
    <row r="107" spans="3:6" s="33" customFormat="1" ht="12.75">
      <c r="C107" s="161"/>
      <c r="E107" s="3"/>
      <c r="F107" s="3"/>
    </row>
    <row r="108" spans="3:6" s="33" customFormat="1" ht="12.75">
      <c r="C108" s="161"/>
      <c r="E108" s="3"/>
      <c r="F108" s="3"/>
    </row>
    <row r="109" spans="3:6" s="33" customFormat="1" ht="12.75">
      <c r="C109" s="161"/>
      <c r="E109" s="3"/>
      <c r="F109" s="3"/>
    </row>
    <row r="110" spans="3:6" s="33" customFormat="1" ht="12.75">
      <c r="C110" s="161"/>
      <c r="E110" s="3"/>
      <c r="F110" s="3"/>
    </row>
    <row r="111" spans="3:6" s="33" customFormat="1" ht="12.75">
      <c r="C111" s="161"/>
      <c r="E111" s="3"/>
      <c r="F111" s="3"/>
    </row>
    <row r="133" ht="12.75">
      <c r="G133" s="4"/>
    </row>
  </sheetData>
  <sheetProtection/>
  <mergeCells count="1">
    <mergeCell ref="A92:C9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.421875" style="2" customWidth="1"/>
    <col min="2" max="2" width="30.7109375" style="2" customWidth="1"/>
    <col min="3" max="3" width="33.57421875" style="2" customWidth="1"/>
    <col min="4" max="4" width="19.7109375" style="2" customWidth="1"/>
    <col min="5" max="5" width="17.8515625" style="4" customWidth="1"/>
    <col min="6" max="6" width="24.7109375" style="2" customWidth="1"/>
    <col min="7" max="7" width="9.140625" style="2" customWidth="1"/>
    <col min="8" max="8" width="8.8515625" style="2" customWidth="1"/>
    <col min="9" max="16384" width="9.140625" style="2" customWidth="1"/>
  </cols>
  <sheetData>
    <row r="1" spans="3:6" ht="19.5" customHeight="1">
      <c r="C1" s="864" t="s">
        <v>554</v>
      </c>
      <c r="F1" s="864"/>
    </row>
    <row r="2" spans="3:6" ht="23.25" customHeight="1">
      <c r="C2" s="371" t="s">
        <v>552</v>
      </c>
      <c r="F2" s="371"/>
    </row>
    <row r="3" spans="3:6" ht="21.75" customHeight="1">
      <c r="C3" s="371" t="s">
        <v>153</v>
      </c>
      <c r="F3" s="371"/>
    </row>
    <row r="4" spans="3:6" ht="21" customHeight="1">
      <c r="C4" s="371" t="s">
        <v>553</v>
      </c>
      <c r="F4" s="371"/>
    </row>
    <row r="5" spans="3:6" ht="21" customHeight="1">
      <c r="C5" s="371"/>
      <c r="F5" s="371"/>
    </row>
    <row r="6" ht="18" customHeight="1">
      <c r="C6" s="865"/>
    </row>
    <row r="7" spans="1:5" s="26" customFormat="1" ht="17.25" customHeight="1">
      <c r="A7" s="768" t="s">
        <v>536</v>
      </c>
      <c r="B7" s="768"/>
      <c r="C7" s="741"/>
      <c r="D7" s="2"/>
      <c r="E7" s="770"/>
    </row>
    <row r="8" spans="1:5" s="26" customFormat="1" ht="17.25" customHeight="1">
      <c r="A8" s="768" t="s">
        <v>537</v>
      </c>
      <c r="B8" s="768"/>
      <c r="C8" s="741"/>
      <c r="D8" s="2"/>
      <c r="E8" s="770"/>
    </row>
    <row r="9" spans="1:3" ht="17.25" customHeight="1">
      <c r="A9" s="768" t="s">
        <v>538</v>
      </c>
      <c r="B9" s="768"/>
      <c r="C9" s="741"/>
    </row>
    <row r="10" spans="1:3" ht="17.25" customHeight="1">
      <c r="A10" s="768"/>
      <c r="B10" s="768"/>
      <c r="C10" s="741"/>
    </row>
    <row r="11" spans="1:2" ht="13.5">
      <c r="A11" s="88" t="s">
        <v>72</v>
      </c>
      <c r="B11" s="771"/>
    </row>
    <row r="12" spans="3:4" ht="11.25" customHeight="1">
      <c r="C12" s="866"/>
      <c r="D12" s="867" t="s">
        <v>162</v>
      </c>
    </row>
    <row r="13" spans="1:4" ht="29.25" customHeight="1">
      <c r="A13" s="247" t="s">
        <v>165</v>
      </c>
      <c r="B13" s="247" t="s">
        <v>466</v>
      </c>
      <c r="C13" s="247" t="s">
        <v>467</v>
      </c>
      <c r="D13" s="774" t="s">
        <v>468</v>
      </c>
    </row>
    <row r="14" spans="1:4" ht="24" customHeight="1">
      <c r="A14" s="831" t="s">
        <v>469</v>
      </c>
      <c r="B14" s="868"/>
      <c r="C14" s="869"/>
      <c r="D14" s="870">
        <f>D15+D19+D22</f>
        <v>16214023.58</v>
      </c>
    </row>
    <row r="15" spans="1:5" s="379" customFormat="1" ht="24" customHeight="1">
      <c r="A15" s="835" t="s">
        <v>539</v>
      </c>
      <c r="B15" s="871"/>
      <c r="C15" s="872"/>
      <c r="D15" s="873">
        <f>D16</f>
        <v>4931400</v>
      </c>
      <c r="E15" s="60"/>
    </row>
    <row r="16" spans="1:6" ht="37.5" customHeight="1">
      <c r="A16" s="874">
        <v>921</v>
      </c>
      <c r="B16" s="813" t="s">
        <v>705</v>
      </c>
      <c r="C16" s="875"/>
      <c r="D16" s="870">
        <f>D17+D18</f>
        <v>4931400</v>
      </c>
      <c r="F16" s="876"/>
    </row>
    <row r="17" spans="1:6" ht="22.5" customHeight="1">
      <c r="A17" s="877"/>
      <c r="B17" s="878"/>
      <c r="C17" s="879" t="s">
        <v>540</v>
      </c>
      <c r="D17" s="914">
        <f>3496900+10000+15000+12700+7300+3100</f>
        <v>3545000</v>
      </c>
      <c r="F17" s="876"/>
    </row>
    <row r="18" spans="1:6" ht="22.5" customHeight="1">
      <c r="A18" s="880"/>
      <c r="B18" s="881"/>
      <c r="C18" s="879" t="s">
        <v>541</v>
      </c>
      <c r="D18" s="913">
        <f>1253100+50000+60000+10300+13000</f>
        <v>1386400</v>
      </c>
      <c r="F18" s="876"/>
    </row>
    <row r="19" spans="1:6" ht="29.25" customHeight="1">
      <c r="A19" s="835" t="s">
        <v>542</v>
      </c>
      <c r="B19" s="882"/>
      <c r="C19" s="879"/>
      <c r="D19" s="873">
        <f>D20</f>
        <v>10840561.08</v>
      </c>
      <c r="F19" s="876"/>
    </row>
    <row r="20" spans="1:6" ht="27" customHeight="1">
      <c r="A20" s="883">
        <v>600</v>
      </c>
      <c r="B20" s="861" t="s">
        <v>179</v>
      </c>
      <c r="C20" s="879"/>
      <c r="D20" s="870">
        <f>D21</f>
        <v>10840561.08</v>
      </c>
      <c r="F20" s="876"/>
    </row>
    <row r="21" spans="1:6" ht="30.75" customHeight="1">
      <c r="A21" s="884"/>
      <c r="B21" s="885"/>
      <c r="C21" s="816" t="s">
        <v>543</v>
      </c>
      <c r="D21" s="792">
        <f>10995992.22-92060.08+36631.61-100002.67</f>
        <v>10840561.08</v>
      </c>
      <c r="F21" s="876"/>
    </row>
    <row r="22" spans="1:6" ht="32.25" customHeight="1">
      <c r="A22" s="780" t="s">
        <v>480</v>
      </c>
      <c r="B22" s="886"/>
      <c r="C22" s="875"/>
      <c r="D22" s="873">
        <f>D24+D25+D27+D30+D32</f>
        <v>442062.5</v>
      </c>
      <c r="F22" s="876"/>
    </row>
    <row r="23" spans="1:6" ht="29.25" customHeight="1">
      <c r="A23" s="883">
        <v>600</v>
      </c>
      <c r="B23" s="861" t="s">
        <v>179</v>
      </c>
      <c r="C23" s="879"/>
      <c r="D23" s="870">
        <f>D24</f>
        <v>200000</v>
      </c>
      <c r="F23" s="876"/>
    </row>
    <row r="24" spans="1:6" ht="29.25" customHeight="1">
      <c r="A24" s="884"/>
      <c r="B24" s="885"/>
      <c r="C24" s="816" t="s">
        <v>544</v>
      </c>
      <c r="D24" s="792">
        <v>200000</v>
      </c>
      <c r="F24" s="876"/>
    </row>
    <row r="25" spans="1:6" ht="37.5" customHeight="1">
      <c r="A25" s="887">
        <v>750</v>
      </c>
      <c r="B25" s="888" t="s">
        <v>257</v>
      </c>
      <c r="C25" s="816"/>
      <c r="D25" s="870">
        <f>D26</f>
        <v>5062.5</v>
      </c>
      <c r="F25" s="876"/>
    </row>
    <row r="26" spans="1:6" ht="48" customHeight="1">
      <c r="A26" s="889"/>
      <c r="B26" s="887"/>
      <c r="C26" s="816" t="s">
        <v>545</v>
      </c>
      <c r="D26" s="890">
        <v>5062.5</v>
      </c>
      <c r="F26" s="876"/>
    </row>
    <row r="27" spans="1:6" ht="29.25" customHeight="1">
      <c r="A27" s="307">
        <v>851</v>
      </c>
      <c r="B27" s="804" t="s">
        <v>311</v>
      </c>
      <c r="C27" s="887"/>
      <c r="D27" s="870">
        <f>D28+D29</f>
        <v>200000</v>
      </c>
      <c r="F27" s="876"/>
    </row>
    <row r="28" spans="1:6" ht="57.75" customHeight="1">
      <c r="A28" s="910"/>
      <c r="B28" s="892"/>
      <c r="C28" s="816" t="s">
        <v>822</v>
      </c>
      <c r="D28" s="890">
        <v>100000</v>
      </c>
      <c r="F28" s="876"/>
    </row>
    <row r="29" spans="1:6" ht="57.75" customHeight="1">
      <c r="A29" s="899"/>
      <c r="B29" s="909"/>
      <c r="C29" s="911" t="s">
        <v>443</v>
      </c>
      <c r="D29" s="912">
        <v>100000</v>
      </c>
      <c r="F29" s="876"/>
    </row>
    <row r="30" spans="1:6" ht="34.5" customHeight="1">
      <c r="A30" s="282">
        <v>900</v>
      </c>
      <c r="B30" s="891" t="s">
        <v>546</v>
      </c>
      <c r="C30" s="879"/>
      <c r="D30" s="375">
        <f>D31</f>
        <v>12000</v>
      </c>
      <c r="F30" s="876"/>
    </row>
    <row r="31" spans="1:10" ht="42.75" customHeight="1">
      <c r="A31" s="877"/>
      <c r="B31" s="892"/>
      <c r="C31" s="366" t="s">
        <v>502</v>
      </c>
      <c r="D31" s="893">
        <v>12000</v>
      </c>
      <c r="E31" s="1"/>
      <c r="F31" s="42"/>
      <c r="G31" s="42"/>
      <c r="H31" s="42"/>
      <c r="I31" s="42"/>
      <c r="J31" s="42"/>
    </row>
    <row r="32" spans="1:10" ht="42.75" customHeight="1">
      <c r="A32" s="874">
        <v>921</v>
      </c>
      <c r="B32" s="810" t="s">
        <v>705</v>
      </c>
      <c r="C32" s="894"/>
      <c r="D32" s="779">
        <f>D33</f>
        <v>25000</v>
      </c>
      <c r="E32" s="1"/>
      <c r="F32" s="42"/>
      <c r="G32" s="42"/>
      <c r="H32" s="42"/>
      <c r="I32" s="42"/>
      <c r="J32" s="42"/>
    </row>
    <row r="33" spans="1:10" ht="41.25" customHeight="1">
      <c r="A33" s="877"/>
      <c r="B33" s="874"/>
      <c r="C33" s="895" t="s">
        <v>547</v>
      </c>
      <c r="D33" s="826">
        <v>25000</v>
      </c>
      <c r="E33" s="1"/>
      <c r="F33" s="42"/>
      <c r="G33" s="42"/>
      <c r="H33" s="42"/>
      <c r="I33" s="42"/>
      <c r="J33" s="42"/>
    </row>
    <row r="34" spans="1:10" ht="30.75" customHeight="1">
      <c r="A34" s="831" t="s">
        <v>514</v>
      </c>
      <c r="B34" s="896"/>
      <c r="C34" s="897"/>
      <c r="D34" s="805">
        <f>D35+D38</f>
        <v>4774100</v>
      </c>
      <c r="E34" s="898"/>
      <c r="F34" s="42"/>
      <c r="G34" s="42"/>
      <c r="H34" s="42"/>
      <c r="I34" s="42"/>
      <c r="J34" s="42"/>
    </row>
    <row r="35" spans="1:10" ht="33" customHeight="1">
      <c r="A35" s="899" t="s">
        <v>539</v>
      </c>
      <c r="B35" s="900"/>
      <c r="C35" s="901"/>
      <c r="D35" s="902">
        <f>D36</f>
        <v>2618700</v>
      </c>
      <c r="E35" s="898"/>
      <c r="F35" s="42"/>
      <c r="G35" s="42"/>
      <c r="H35" s="42"/>
      <c r="I35" s="42"/>
      <c r="J35" s="42"/>
    </row>
    <row r="36" spans="1:5" ht="33.75" customHeight="1">
      <c r="A36" s="883">
        <v>921</v>
      </c>
      <c r="B36" s="813" t="s">
        <v>705</v>
      </c>
      <c r="C36" s="833"/>
      <c r="D36" s="903">
        <f>D37</f>
        <v>2618700</v>
      </c>
      <c r="E36" s="60"/>
    </row>
    <row r="37" spans="1:5" ht="26.25" customHeight="1">
      <c r="A37" s="904"/>
      <c r="B37" s="814"/>
      <c r="C37" s="816" t="s">
        <v>548</v>
      </c>
      <c r="D37" s="790">
        <f>2610000+2200+6500</f>
        <v>2618700</v>
      </c>
      <c r="E37" s="51"/>
    </row>
    <row r="38" spans="1:5" ht="30.75" customHeight="1">
      <c r="A38" s="780" t="s">
        <v>480</v>
      </c>
      <c r="B38" s="905"/>
      <c r="C38" s="816"/>
      <c r="D38" s="856">
        <f>D39+D42</f>
        <v>2155400</v>
      </c>
      <c r="E38" s="51"/>
    </row>
    <row r="39" spans="1:5" ht="21" customHeight="1">
      <c r="A39" s="892">
        <v>852</v>
      </c>
      <c r="B39" s="858" t="s">
        <v>679</v>
      </c>
      <c r="C39" s="830"/>
      <c r="D39" s="779">
        <f>D40+D41</f>
        <v>1005400</v>
      </c>
      <c r="E39" s="51"/>
    </row>
    <row r="40" spans="1:5" ht="39.75" customHeight="1">
      <c r="A40" s="878"/>
      <c r="B40" s="906"/>
      <c r="C40" s="848" t="s">
        <v>549</v>
      </c>
      <c r="D40" s="790">
        <f>558000+10400+30000</f>
        <v>598400</v>
      </c>
      <c r="E40" s="51"/>
    </row>
    <row r="41" spans="1:5" ht="47.25" customHeight="1">
      <c r="A41" s="881"/>
      <c r="B41" s="907"/>
      <c r="C41" s="848" t="s">
        <v>550</v>
      </c>
      <c r="D41" s="790">
        <v>407000</v>
      </c>
      <c r="E41" s="1"/>
    </row>
    <row r="42" spans="1:5" ht="30" customHeight="1">
      <c r="A42" s="908">
        <v>853</v>
      </c>
      <c r="B42" s="888" t="s">
        <v>316</v>
      </c>
      <c r="C42" s="848"/>
      <c r="D42" s="779">
        <f>D43</f>
        <v>1150000</v>
      </c>
      <c r="E42" s="1"/>
    </row>
    <row r="43" spans="1:5" ht="30.75" customHeight="1">
      <c r="A43" s="887"/>
      <c r="B43" s="296"/>
      <c r="C43" s="848" t="s">
        <v>551</v>
      </c>
      <c r="D43" s="790">
        <v>1150000</v>
      </c>
      <c r="E43" s="1"/>
    </row>
    <row r="44" spans="1:5" ht="27.75" customHeight="1">
      <c r="A44" s="996" t="s">
        <v>534</v>
      </c>
      <c r="B44" s="997"/>
      <c r="C44" s="995"/>
      <c r="D44" s="863">
        <f>D14+D34</f>
        <v>20988123.58</v>
      </c>
      <c r="E44" s="1"/>
    </row>
    <row r="45" spans="4:6" ht="15.75">
      <c r="D45" s="1"/>
      <c r="E45" s="1"/>
      <c r="F45" s="4"/>
    </row>
    <row r="46" ht="15.75">
      <c r="D46" s="1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</sheetData>
  <sheetProtection/>
  <mergeCells count="1">
    <mergeCell ref="A44:C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4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7109375" style="2" customWidth="1"/>
    <col min="5" max="5" width="13.57421875" style="2" customWidth="1"/>
    <col min="6" max="6" width="15.140625" style="2" customWidth="1"/>
    <col min="7" max="8" width="13.57421875" style="520" customWidth="1"/>
    <col min="9" max="9" width="18.140625" style="520" customWidth="1"/>
    <col min="10" max="10" width="23.00390625" style="520" customWidth="1"/>
    <col min="11" max="11" width="20.28125" style="467" customWidth="1"/>
    <col min="12" max="12" width="18.140625" style="68" customWidth="1"/>
    <col min="13" max="13" width="15.7109375" style="68" customWidth="1"/>
    <col min="14" max="14" width="10.140625" style="68" bestFit="1" customWidth="1"/>
    <col min="15" max="15" width="9.140625" style="68" customWidth="1"/>
    <col min="16" max="16384" width="9.140625" style="2" customWidth="1"/>
  </cols>
  <sheetData>
    <row r="1" spans="1:15" ht="18.75">
      <c r="A1" s="520"/>
      <c r="B1" s="520"/>
      <c r="C1" s="520"/>
      <c r="D1" s="467"/>
      <c r="E1" s="68"/>
      <c r="F1" s="68"/>
      <c r="G1" s="68"/>
      <c r="H1" s="68"/>
      <c r="I1" s="2"/>
      <c r="J1" s="2"/>
      <c r="K1" s="2"/>
      <c r="L1" s="2"/>
      <c r="M1" s="2"/>
      <c r="N1" s="2"/>
      <c r="O1" s="2"/>
    </row>
    <row r="2" spans="1:15" ht="18.75">
      <c r="A2" s="520"/>
      <c r="B2" s="520"/>
      <c r="C2" s="520"/>
      <c r="D2" s="467"/>
      <c r="E2" s="68"/>
      <c r="F2" s="68"/>
      <c r="G2" s="68"/>
      <c r="H2" s="68"/>
      <c r="I2" s="2"/>
      <c r="J2" s="2"/>
      <c r="K2" s="2"/>
      <c r="L2" s="2"/>
      <c r="M2" s="2"/>
      <c r="N2" s="2"/>
      <c r="O2" s="2"/>
    </row>
    <row r="3" spans="1:15" ht="18.75">
      <c r="A3" s="520"/>
      <c r="B3" s="520"/>
      <c r="C3" s="520"/>
      <c r="D3" s="467"/>
      <c r="E3" s="68"/>
      <c r="F3" s="68"/>
      <c r="G3" s="68"/>
      <c r="H3" s="68"/>
      <c r="I3" s="2"/>
      <c r="J3" s="2"/>
      <c r="K3" s="2"/>
      <c r="L3" s="2"/>
      <c r="M3" s="2"/>
      <c r="N3" s="2"/>
      <c r="O3" s="2"/>
    </row>
    <row r="4" spans="1:15" ht="18.75">
      <c r="A4" s="520"/>
      <c r="B4" s="520"/>
      <c r="C4" s="520"/>
      <c r="D4" s="467"/>
      <c r="E4" s="68"/>
      <c r="F4" s="68"/>
      <c r="G4" s="68"/>
      <c r="H4" s="68"/>
      <c r="I4" s="2"/>
      <c r="J4" s="2"/>
      <c r="K4" s="2"/>
      <c r="L4" s="2"/>
      <c r="M4" s="2"/>
      <c r="N4" s="2"/>
      <c r="O4" s="2"/>
    </row>
    <row r="5" spans="1:15" ht="18.75">
      <c r="A5" s="520"/>
      <c r="B5" s="520"/>
      <c r="C5" s="520"/>
      <c r="D5" s="467"/>
      <c r="E5" s="68"/>
      <c r="F5" s="68"/>
      <c r="G5" s="68"/>
      <c r="H5" s="68"/>
      <c r="I5" s="2"/>
      <c r="J5" s="2"/>
      <c r="K5" s="2"/>
      <c r="L5" s="2"/>
      <c r="M5" s="2"/>
      <c r="N5" s="2"/>
      <c r="O5" s="2"/>
    </row>
    <row r="6" spans="1:15" ht="18.75">
      <c r="A6" s="521"/>
      <c r="B6" s="521"/>
      <c r="C6" s="521"/>
      <c r="D6" s="522"/>
      <c r="E6" s="523"/>
      <c r="F6" s="523"/>
      <c r="G6" s="523"/>
      <c r="H6" s="68"/>
      <c r="I6" s="2"/>
      <c r="J6" s="2"/>
      <c r="K6" s="2"/>
      <c r="L6" s="2"/>
      <c r="M6" s="2"/>
      <c r="N6" s="2"/>
      <c r="O6" s="2"/>
    </row>
    <row r="7" spans="1:15" ht="18.75">
      <c r="A7" s="521"/>
      <c r="B7" s="521"/>
      <c r="C7" s="521"/>
      <c r="D7" s="522"/>
      <c r="E7" s="523"/>
      <c r="F7" s="523"/>
      <c r="G7" s="523"/>
      <c r="H7" s="68"/>
      <c r="I7" s="2"/>
      <c r="J7" s="2"/>
      <c r="K7" s="2"/>
      <c r="L7" s="2"/>
      <c r="M7" s="2"/>
      <c r="N7" s="2"/>
      <c r="O7" s="2"/>
    </row>
    <row r="8" spans="1:15" ht="18.75">
      <c r="A8" s="526"/>
      <c r="B8" s="526"/>
      <c r="C8" s="526"/>
      <c r="D8" s="527"/>
      <c r="E8" s="7"/>
      <c r="F8" s="523"/>
      <c r="G8" s="523"/>
      <c r="H8" s="68"/>
      <c r="I8" s="2"/>
      <c r="J8" s="2"/>
      <c r="K8" s="2"/>
      <c r="L8" s="2"/>
      <c r="M8" s="2"/>
      <c r="N8" s="2"/>
      <c r="O8" s="2"/>
    </row>
    <row r="9" spans="1:15" ht="18.75">
      <c r="A9" s="526"/>
      <c r="B9" s="526"/>
      <c r="C9" s="526"/>
      <c r="D9" s="527"/>
      <c r="E9" s="7"/>
      <c r="F9" s="523"/>
      <c r="G9" s="523"/>
      <c r="H9" s="68"/>
      <c r="I9" s="2"/>
      <c r="J9" s="2"/>
      <c r="K9" s="2"/>
      <c r="L9" s="2"/>
      <c r="M9" s="2"/>
      <c r="N9" s="2"/>
      <c r="O9" s="2"/>
    </row>
    <row r="10" spans="1:15" ht="18.75">
      <c r="A10" s="526"/>
      <c r="B10" s="526"/>
      <c r="C10" s="526"/>
      <c r="D10" s="527"/>
      <c r="E10" s="7"/>
      <c r="F10" s="523"/>
      <c r="G10" s="523"/>
      <c r="H10" s="68"/>
      <c r="I10" s="2"/>
      <c r="J10" s="2"/>
      <c r="K10" s="2"/>
      <c r="L10" s="2"/>
      <c r="M10" s="2"/>
      <c r="N10" s="2"/>
      <c r="O10" s="2"/>
    </row>
    <row r="11" spans="1:15" ht="18.75">
      <c r="A11" s="526"/>
      <c r="B11" s="526"/>
      <c r="C11" s="526"/>
      <c r="D11" s="527"/>
      <c r="E11" s="7"/>
      <c r="F11" s="523"/>
      <c r="G11" s="523"/>
      <c r="H11" s="68"/>
      <c r="I11" s="2"/>
      <c r="J11" s="2"/>
      <c r="K11" s="2"/>
      <c r="L11" s="2"/>
      <c r="M11" s="2"/>
      <c r="N11" s="2"/>
      <c r="O11" s="2"/>
    </row>
    <row r="12" spans="1:15" ht="29.25" customHeight="1">
      <c r="A12" s="526"/>
      <c r="B12" s="526"/>
      <c r="C12" s="526"/>
      <c r="D12" s="527"/>
      <c r="E12" s="7"/>
      <c r="F12" s="523"/>
      <c r="G12" s="523"/>
      <c r="H12" s="68"/>
      <c r="I12" s="2"/>
      <c r="J12" s="2"/>
      <c r="K12" s="2"/>
      <c r="L12" s="2"/>
      <c r="M12" s="2"/>
      <c r="N12" s="2"/>
      <c r="O12" s="2"/>
    </row>
    <row r="13" spans="1:8" s="546" customFormat="1" ht="41.25" customHeight="1">
      <c r="A13" s="540"/>
      <c r="B13" s="541"/>
      <c r="C13" s="542"/>
      <c r="D13" s="543"/>
      <c r="E13" s="7"/>
      <c r="F13" s="544"/>
      <c r="G13" s="544"/>
      <c r="H13" s="545"/>
    </row>
    <row r="14" spans="1:8" s="546" customFormat="1" ht="27.75" customHeight="1">
      <c r="A14" s="540"/>
      <c r="B14" s="541"/>
      <c r="C14" s="541"/>
      <c r="D14" s="552"/>
      <c r="E14" s="7"/>
      <c r="F14" s="544"/>
      <c r="G14" s="544"/>
      <c r="H14" s="545"/>
    </row>
    <row r="15" spans="1:15" ht="42" customHeight="1">
      <c r="A15" s="520"/>
      <c r="B15" s="541"/>
      <c r="C15" s="557"/>
      <c r="D15" s="558"/>
      <c r="E15" s="371"/>
      <c r="F15" s="68"/>
      <c r="G15" s="68"/>
      <c r="H15" s="68"/>
      <c r="I15" s="2"/>
      <c r="J15" s="2"/>
      <c r="K15" s="2"/>
      <c r="L15" s="2"/>
      <c r="M15" s="2"/>
      <c r="N15" s="2"/>
      <c r="O15" s="2"/>
    </row>
    <row r="16" spans="1:15" ht="36.75" customHeight="1">
      <c r="A16" s="520"/>
      <c r="B16" s="541"/>
      <c r="C16" s="561"/>
      <c r="D16" s="161"/>
      <c r="E16" s="371"/>
      <c r="F16" s="68"/>
      <c r="G16" s="68"/>
      <c r="H16" s="68"/>
      <c r="I16" s="2"/>
      <c r="J16" s="2"/>
      <c r="K16" s="2"/>
      <c r="L16" s="2"/>
      <c r="M16" s="2"/>
      <c r="N16" s="2"/>
      <c r="O16" s="2"/>
    </row>
    <row r="17" spans="1:15" ht="79.5" customHeight="1">
      <c r="A17" s="520"/>
      <c r="B17" s="541"/>
      <c r="C17" s="561"/>
      <c r="D17" s="161"/>
      <c r="E17" s="371"/>
      <c r="F17" s="68"/>
      <c r="G17" s="68"/>
      <c r="H17" s="68"/>
      <c r="I17" s="2"/>
      <c r="J17" s="2"/>
      <c r="K17" s="2"/>
      <c r="L17" s="2"/>
      <c r="M17" s="2"/>
      <c r="N17" s="2"/>
      <c r="O17" s="2"/>
    </row>
    <row r="18" spans="1:15" ht="41.25" customHeight="1">
      <c r="A18" s="520"/>
      <c r="B18" s="541"/>
      <c r="C18" s="561"/>
      <c r="D18" s="467"/>
      <c r="E18" s="68"/>
      <c r="F18" s="68"/>
      <c r="G18" s="68"/>
      <c r="H18" s="68"/>
      <c r="I18" s="2"/>
      <c r="J18" s="2"/>
      <c r="K18" s="2"/>
      <c r="L18" s="2"/>
      <c r="M18" s="2"/>
      <c r="N18" s="2"/>
      <c r="O18" s="2"/>
    </row>
    <row r="19" spans="1:15" ht="37.5" customHeight="1">
      <c r="A19" s="520"/>
      <c r="B19" s="541"/>
      <c r="C19" s="561"/>
      <c r="D19" s="467"/>
      <c r="E19" s="68"/>
      <c r="F19" s="68"/>
      <c r="G19" s="68"/>
      <c r="H19" s="68"/>
      <c r="I19" s="2"/>
      <c r="J19" s="2"/>
      <c r="K19" s="2"/>
      <c r="L19" s="2"/>
      <c r="M19" s="2"/>
      <c r="N19" s="2"/>
      <c r="O19" s="2"/>
    </row>
    <row r="20" spans="1:15" ht="72.75" customHeight="1">
      <c r="A20" s="520"/>
      <c r="B20" s="541"/>
      <c r="C20" s="565"/>
      <c r="D20" s="467"/>
      <c r="E20" s="68"/>
      <c r="F20" s="68"/>
      <c r="G20" s="68"/>
      <c r="H20" s="68"/>
      <c r="I20" s="2"/>
      <c r="J20" s="2"/>
      <c r="K20" s="2"/>
      <c r="L20" s="2"/>
      <c r="M20" s="2"/>
      <c r="N20" s="2"/>
      <c r="O20" s="2"/>
    </row>
    <row r="21" spans="1:7" s="33" customFormat="1" ht="56.25" customHeight="1">
      <c r="A21" s="503"/>
      <c r="B21" s="541"/>
      <c r="C21" s="565"/>
      <c r="D21" s="552"/>
      <c r="E21" s="568"/>
      <c r="F21" s="569"/>
      <c r="G21" s="569"/>
    </row>
    <row r="22" spans="1:7" s="33" customFormat="1" ht="39.75" customHeight="1">
      <c r="A22" s="503"/>
      <c r="B22" s="541"/>
      <c r="C22" s="565"/>
      <c r="D22" s="552"/>
      <c r="E22" s="568"/>
      <c r="F22" s="569"/>
      <c r="G22" s="569"/>
    </row>
    <row r="23" spans="1:7" s="33" customFormat="1" ht="56.25" customHeight="1">
      <c r="A23" s="503"/>
      <c r="B23" s="541"/>
      <c r="C23" s="565"/>
      <c r="D23" s="552"/>
      <c r="E23" s="568"/>
      <c r="F23" s="569"/>
      <c r="G23" s="569"/>
    </row>
    <row r="24" spans="1:7" s="33" customFormat="1" ht="44.25" customHeight="1">
      <c r="A24" s="503"/>
      <c r="B24" s="541"/>
      <c r="C24" s="565"/>
      <c r="D24" s="552"/>
      <c r="E24" s="568"/>
      <c r="F24" s="569"/>
      <c r="G24" s="569"/>
    </row>
    <row r="25" spans="1:7" s="33" customFormat="1" ht="77.25" customHeight="1">
      <c r="A25" s="503"/>
      <c r="B25" s="541"/>
      <c r="C25" s="565"/>
      <c r="D25" s="552"/>
      <c r="E25" s="568"/>
      <c r="F25" s="569"/>
      <c r="G25" s="569"/>
    </row>
    <row r="26" spans="1:7" s="33" customFormat="1" ht="39.75" customHeight="1">
      <c r="A26" s="503"/>
      <c r="B26" s="541"/>
      <c r="C26" s="565"/>
      <c r="D26" s="552"/>
      <c r="E26" s="568"/>
      <c r="F26" s="569"/>
      <c r="G26" s="569"/>
    </row>
    <row r="27" spans="1:7" s="33" customFormat="1" ht="39" customHeight="1">
      <c r="A27" s="503"/>
      <c r="B27" s="541"/>
      <c r="C27" s="565"/>
      <c r="D27" s="552"/>
      <c r="E27" s="568"/>
      <c r="F27" s="569"/>
      <c r="G27" s="569"/>
    </row>
    <row r="28" spans="1:7" s="33" customFormat="1" ht="54.75" customHeight="1">
      <c r="A28" s="503"/>
      <c r="B28" s="541"/>
      <c r="C28" s="565"/>
      <c r="D28" s="552"/>
      <c r="E28" s="568"/>
      <c r="F28" s="569"/>
      <c r="G28" s="569"/>
    </row>
    <row r="29" spans="1:7" s="33" customFormat="1" ht="50.25" customHeight="1">
      <c r="A29" s="503"/>
      <c r="B29" s="541"/>
      <c r="C29" s="565"/>
      <c r="D29" s="552"/>
      <c r="E29" s="568"/>
      <c r="F29" s="569"/>
      <c r="G29" s="569"/>
    </row>
    <row r="30" spans="1:7" s="33" customFormat="1" ht="50.25" customHeight="1">
      <c r="A30" s="503"/>
      <c r="B30" s="541"/>
      <c r="C30" s="565"/>
      <c r="D30" s="552"/>
      <c r="E30" s="568"/>
      <c r="F30" s="569"/>
      <c r="G30" s="569"/>
    </row>
    <row r="31" spans="1:7" s="33" customFormat="1" ht="42.75" customHeight="1">
      <c r="A31" s="503"/>
      <c r="B31" s="541"/>
      <c r="C31" s="565"/>
      <c r="D31" s="552"/>
      <c r="E31" s="568"/>
      <c r="F31" s="569"/>
      <c r="G31" s="569"/>
    </row>
    <row r="32" spans="1:7" s="33" customFormat="1" ht="57" customHeight="1">
      <c r="A32" s="503"/>
      <c r="B32" s="541"/>
      <c r="C32" s="565"/>
      <c r="D32" s="552"/>
      <c r="E32" s="568"/>
      <c r="F32" s="569"/>
      <c r="G32" s="569"/>
    </row>
    <row r="33" spans="1:7" s="33" customFormat="1" ht="44.25" customHeight="1">
      <c r="A33" s="503"/>
      <c r="B33" s="541"/>
      <c r="C33" s="565"/>
      <c r="D33" s="552"/>
      <c r="E33" s="568"/>
      <c r="F33" s="569"/>
      <c r="G33" s="569"/>
    </row>
    <row r="34" spans="1:7" s="33" customFormat="1" ht="35.25" customHeight="1">
      <c r="A34" s="503"/>
      <c r="B34" s="541"/>
      <c r="C34" s="565"/>
      <c r="D34" s="552"/>
      <c r="E34" s="568"/>
      <c r="F34" s="569"/>
      <c r="G34" s="569"/>
    </row>
    <row r="35" spans="1:7" s="33" customFormat="1" ht="48" customHeight="1">
      <c r="A35" s="503"/>
      <c r="B35" s="541"/>
      <c r="C35" s="565"/>
      <c r="D35" s="552"/>
      <c r="E35" s="568"/>
      <c r="F35" s="569"/>
      <c r="G35" s="569"/>
    </row>
    <row r="36" spans="1:7" s="33" customFormat="1" ht="40.5" customHeight="1">
      <c r="A36" s="503"/>
      <c r="B36" s="541"/>
      <c r="C36" s="565"/>
      <c r="D36" s="552"/>
      <c r="E36" s="568"/>
      <c r="F36" s="569"/>
      <c r="G36" s="569"/>
    </row>
    <row r="37" spans="1:7" s="33" customFormat="1" ht="35.25" customHeight="1">
      <c r="A37" s="503"/>
      <c r="B37" s="541"/>
      <c r="C37" s="565"/>
      <c r="D37" s="552"/>
      <c r="E37" s="568"/>
      <c r="F37" s="569"/>
      <c r="G37" s="569"/>
    </row>
    <row r="38" spans="1:7" s="33" customFormat="1" ht="74.25" customHeight="1">
      <c r="A38" s="503"/>
      <c r="B38" s="541"/>
      <c r="C38" s="565"/>
      <c r="D38" s="552"/>
      <c r="E38" s="568"/>
      <c r="F38" s="569"/>
      <c r="G38" s="569"/>
    </row>
    <row r="39" spans="1:7" s="33" customFormat="1" ht="45" customHeight="1">
      <c r="A39" s="503"/>
      <c r="B39" s="541"/>
      <c r="C39" s="565"/>
      <c r="D39" s="552"/>
      <c r="E39" s="568"/>
      <c r="F39" s="569"/>
      <c r="G39" s="569"/>
    </row>
    <row r="40" spans="1:7" s="33" customFormat="1" ht="51" customHeight="1">
      <c r="A40" s="503"/>
      <c r="B40" s="541"/>
      <c r="C40" s="565"/>
      <c r="D40" s="552"/>
      <c r="E40" s="568"/>
      <c r="F40" s="569"/>
      <c r="G40" s="569"/>
    </row>
    <row r="41" spans="1:7" s="33" customFormat="1" ht="42" customHeight="1">
      <c r="A41" s="503"/>
      <c r="B41" s="541"/>
      <c r="C41" s="565"/>
      <c r="D41" s="552"/>
      <c r="E41" s="568"/>
      <c r="F41" s="569"/>
      <c r="G41" s="569"/>
    </row>
    <row r="42" spans="1:7" s="33" customFormat="1" ht="41.25" customHeight="1">
      <c r="A42" s="503"/>
      <c r="B42" s="541"/>
      <c r="C42" s="565"/>
      <c r="D42" s="552"/>
      <c r="E42" s="568"/>
      <c r="F42" s="569"/>
      <c r="G42" s="569"/>
    </row>
    <row r="43" spans="1:7" s="33" customFormat="1" ht="74.25" customHeight="1">
      <c r="A43" s="503"/>
      <c r="B43" s="541"/>
      <c r="C43" s="565"/>
      <c r="D43" s="552"/>
      <c r="E43" s="568"/>
      <c r="F43" s="569"/>
      <c r="G43" s="569"/>
    </row>
    <row r="44" spans="1:7" s="33" customFormat="1" ht="42" customHeight="1">
      <c r="A44" s="503"/>
      <c r="B44" s="541"/>
      <c r="C44" s="565"/>
      <c r="D44" s="552"/>
      <c r="E44" s="568"/>
      <c r="F44" s="569"/>
      <c r="G44" s="569"/>
    </row>
    <row r="45" spans="1:7" s="33" customFormat="1" ht="39" customHeight="1">
      <c r="A45" s="503"/>
      <c r="B45" s="541"/>
      <c r="C45" s="565"/>
      <c r="D45" s="552"/>
      <c r="E45" s="568"/>
      <c r="F45" s="569"/>
      <c r="G45" s="569"/>
    </row>
    <row r="46" spans="1:7" s="33" customFormat="1" ht="42" customHeight="1">
      <c r="A46" s="503"/>
      <c r="B46" s="541"/>
      <c r="C46" s="565"/>
      <c r="D46" s="552"/>
      <c r="E46" s="568"/>
      <c r="F46" s="569"/>
      <c r="G46" s="569"/>
    </row>
    <row r="47" spans="1:7" s="33" customFormat="1" ht="39" customHeight="1">
      <c r="A47" s="503"/>
      <c r="B47" s="541"/>
      <c r="C47" s="565"/>
      <c r="D47" s="552"/>
      <c r="E47" s="568"/>
      <c r="F47" s="569"/>
      <c r="G47" s="569"/>
    </row>
    <row r="48" spans="1:7" s="33" customFormat="1" ht="42" customHeight="1">
      <c r="A48" s="503"/>
      <c r="B48" s="541"/>
      <c r="C48" s="565"/>
      <c r="D48" s="552"/>
      <c r="E48" s="568"/>
      <c r="F48" s="569"/>
      <c r="G48" s="569"/>
    </row>
    <row r="49" spans="1:7" s="33" customFormat="1" ht="42" customHeight="1">
      <c r="A49" s="503"/>
      <c r="B49" s="541"/>
      <c r="C49" s="565"/>
      <c r="D49" s="552"/>
      <c r="E49" s="568"/>
      <c r="F49" s="569"/>
      <c r="G49" s="569"/>
    </row>
    <row r="50" spans="1:7" s="33" customFormat="1" ht="42" customHeight="1">
      <c r="A50" s="503"/>
      <c r="B50" s="541"/>
      <c r="C50" s="565"/>
      <c r="D50" s="552"/>
      <c r="E50" s="568"/>
      <c r="F50" s="569"/>
      <c r="G50" s="569"/>
    </row>
    <row r="51" spans="1:7" s="33" customFormat="1" ht="42.75" customHeight="1">
      <c r="A51" s="503"/>
      <c r="B51" s="541"/>
      <c r="C51" s="565"/>
      <c r="D51" s="552"/>
      <c r="E51" s="568"/>
      <c r="F51" s="569"/>
      <c r="G51" s="569"/>
    </row>
    <row r="52" spans="1:7" s="33" customFormat="1" ht="35.25" customHeight="1">
      <c r="A52" s="503"/>
      <c r="B52" s="541"/>
      <c r="C52" s="565"/>
      <c r="D52" s="552"/>
      <c r="E52" s="568"/>
      <c r="F52" s="569"/>
      <c r="G52" s="569"/>
    </row>
    <row r="53" spans="1:7" s="33" customFormat="1" ht="86.25" customHeight="1">
      <c r="A53" s="503"/>
      <c r="B53" s="541"/>
      <c r="C53" s="565"/>
      <c r="D53" s="552"/>
      <c r="E53" s="568"/>
      <c r="F53" s="569"/>
      <c r="G53" s="569"/>
    </row>
    <row r="54" spans="1:7" s="33" customFormat="1" ht="54" customHeight="1">
      <c r="A54" s="503"/>
      <c r="B54" s="541"/>
      <c r="C54" s="565"/>
      <c r="D54" s="552"/>
      <c r="E54" s="568"/>
      <c r="F54" s="569"/>
      <c r="G54" s="569"/>
    </row>
    <row r="55" spans="1:7" s="33" customFormat="1" ht="52.5" customHeight="1">
      <c r="A55" s="503"/>
      <c r="B55" s="541"/>
      <c r="C55" s="565"/>
      <c r="D55" s="552"/>
      <c r="E55" s="568"/>
      <c r="F55" s="569"/>
      <c r="G55" s="569"/>
    </row>
    <row r="56" spans="1:7" s="33" customFormat="1" ht="58.5" customHeight="1">
      <c r="A56" s="503"/>
      <c r="B56" s="541"/>
      <c r="C56" s="583"/>
      <c r="D56" s="552"/>
      <c r="E56" s="568"/>
      <c r="F56" s="569"/>
      <c r="G56" s="569"/>
    </row>
    <row r="57" spans="1:7" s="33" customFormat="1" ht="39" customHeight="1">
      <c r="A57" s="503"/>
      <c r="B57" s="541"/>
      <c r="C57" s="583"/>
      <c r="D57" s="552"/>
      <c r="E57" s="568"/>
      <c r="F57" s="569"/>
      <c r="G57" s="569"/>
    </row>
    <row r="58" spans="1:7" s="33" customFormat="1" ht="75" customHeight="1">
      <c r="A58" s="503"/>
      <c r="B58" s="541"/>
      <c r="C58" s="583"/>
      <c r="D58" s="552"/>
      <c r="E58" s="568"/>
      <c r="F58" s="569"/>
      <c r="G58" s="569"/>
    </row>
    <row r="59" spans="1:7" s="33" customFormat="1" ht="35.25" customHeight="1">
      <c r="A59" s="503"/>
      <c r="B59" s="541"/>
      <c r="C59" s="583"/>
      <c r="D59" s="552"/>
      <c r="E59" s="568"/>
      <c r="F59" s="569"/>
      <c r="G59" s="569"/>
    </row>
    <row r="60" spans="1:7" s="33" customFormat="1" ht="56.25" customHeight="1">
      <c r="A60" s="503"/>
      <c r="B60" s="541"/>
      <c r="C60" s="583"/>
      <c r="D60" s="552"/>
      <c r="E60" s="568"/>
      <c r="F60" s="569"/>
      <c r="G60" s="569"/>
    </row>
    <row r="61" spans="1:7" s="33" customFormat="1" ht="60.75" customHeight="1">
      <c r="A61" s="503"/>
      <c r="B61" s="541"/>
      <c r="C61" s="583"/>
      <c r="D61" s="552"/>
      <c r="E61" s="568"/>
      <c r="F61" s="569"/>
      <c r="G61" s="569"/>
    </row>
    <row r="62" spans="1:7" s="33" customFormat="1" ht="38.25" customHeight="1">
      <c r="A62" s="503"/>
      <c r="B62" s="541"/>
      <c r="C62" s="583"/>
      <c r="D62" s="552"/>
      <c r="E62" s="568"/>
      <c r="F62" s="569"/>
      <c r="G62" s="569"/>
    </row>
    <row r="63" spans="1:7" s="33" customFormat="1" ht="38.25" customHeight="1">
      <c r="A63" s="503"/>
      <c r="B63" s="541"/>
      <c r="C63" s="583"/>
      <c r="D63" s="552"/>
      <c r="E63" s="568"/>
      <c r="F63" s="569"/>
      <c r="G63" s="569"/>
    </row>
    <row r="64" spans="1:7" s="33" customFormat="1" ht="91.5" customHeight="1">
      <c r="A64" s="503"/>
      <c r="B64" s="541"/>
      <c r="C64" s="583"/>
      <c r="D64" s="552"/>
      <c r="E64" s="568"/>
      <c r="F64" s="569"/>
      <c r="G64" s="569"/>
    </row>
    <row r="65" spans="1:7" s="33" customFormat="1" ht="38.25" customHeight="1">
      <c r="A65" s="503"/>
      <c r="B65" s="541"/>
      <c r="C65" s="583"/>
      <c r="D65" s="552"/>
      <c r="E65" s="568"/>
      <c r="F65" s="569"/>
      <c r="G65" s="569"/>
    </row>
    <row r="66" spans="1:7" s="33" customFormat="1" ht="56.25" customHeight="1">
      <c r="A66" s="503"/>
      <c r="B66" s="541"/>
      <c r="C66" s="565"/>
      <c r="D66" s="552"/>
      <c r="E66" s="568"/>
      <c r="F66" s="569"/>
      <c r="G66" s="569"/>
    </row>
    <row r="67" spans="1:7" s="33" customFormat="1" ht="42" customHeight="1">
      <c r="A67" s="503"/>
      <c r="B67" s="541"/>
      <c r="C67" s="565"/>
      <c r="D67" s="552"/>
      <c r="E67" s="568"/>
      <c r="F67" s="569"/>
      <c r="G67" s="569"/>
    </row>
    <row r="68" spans="1:7" s="33" customFormat="1" ht="66" customHeight="1">
      <c r="A68" s="503"/>
      <c r="B68" s="541"/>
      <c r="C68" s="565"/>
      <c r="D68" s="552"/>
      <c r="E68" s="568"/>
      <c r="F68" s="569"/>
      <c r="G68" s="569"/>
    </row>
    <row r="69" spans="1:7" s="33" customFormat="1" ht="55.5" customHeight="1">
      <c r="A69" s="503"/>
      <c r="B69" s="541"/>
      <c r="C69" s="565"/>
      <c r="D69" s="552"/>
      <c r="E69" s="568"/>
      <c r="F69" s="569"/>
      <c r="G69" s="569"/>
    </row>
    <row r="70" spans="1:7" s="33" customFormat="1" ht="39.75" customHeight="1">
      <c r="A70" s="503"/>
      <c r="B70" s="541"/>
      <c r="C70" s="565"/>
      <c r="D70" s="552"/>
      <c r="E70" s="568"/>
      <c r="F70" s="569"/>
      <c r="G70" s="569"/>
    </row>
    <row r="71" spans="1:7" s="33" customFormat="1" ht="38.25" customHeight="1">
      <c r="A71" s="503"/>
      <c r="B71" s="541"/>
      <c r="C71" s="565"/>
      <c r="D71" s="552"/>
      <c r="E71" s="568"/>
      <c r="F71" s="569"/>
      <c r="G71" s="569"/>
    </row>
    <row r="72" spans="1:15" ht="32.25" customHeight="1">
      <c r="A72" s="520"/>
      <c r="B72" s="541"/>
      <c r="C72" s="589"/>
      <c r="D72" s="355"/>
      <c r="E72" s="590"/>
      <c r="F72" s="68"/>
      <c r="G72" s="68"/>
      <c r="H72" s="68"/>
      <c r="I72" s="2"/>
      <c r="J72" s="2"/>
      <c r="K72" s="2"/>
      <c r="L72" s="2"/>
      <c r="M72" s="2"/>
      <c r="N72" s="2"/>
      <c r="O72" s="2"/>
    </row>
    <row r="73" spans="1:15" ht="18.75">
      <c r="A73" s="520"/>
      <c r="B73" s="541"/>
      <c r="C73" s="593"/>
      <c r="D73" s="594"/>
      <c r="E73" s="68"/>
      <c r="F73" s="68"/>
      <c r="G73" s="68"/>
      <c r="H73" s="68"/>
      <c r="I73" s="2"/>
      <c r="J73" s="2"/>
      <c r="K73" s="2"/>
      <c r="L73" s="2"/>
      <c r="M73" s="2"/>
      <c r="N73" s="2"/>
      <c r="O73" s="2"/>
    </row>
    <row r="74" spans="1:15" ht="34.5" customHeight="1">
      <c r="A74" s="520"/>
      <c r="B74" s="541"/>
      <c r="C74" s="565"/>
      <c r="D74" s="161"/>
      <c r="E74" s="68"/>
      <c r="F74" s="68"/>
      <c r="G74" s="68"/>
      <c r="H74" s="68"/>
      <c r="I74" s="2"/>
      <c r="J74" s="2"/>
      <c r="K74" s="2"/>
      <c r="L74" s="2"/>
      <c r="M74" s="2"/>
      <c r="N74" s="2"/>
      <c r="O74" s="2"/>
    </row>
    <row r="75" spans="1:15" ht="60" customHeight="1">
      <c r="A75" s="520"/>
      <c r="B75" s="541"/>
      <c r="C75" s="565"/>
      <c r="D75" s="161"/>
      <c r="E75" s="68"/>
      <c r="F75" s="68"/>
      <c r="G75" s="68"/>
      <c r="H75" s="68"/>
      <c r="I75" s="2"/>
      <c r="J75" s="2"/>
      <c r="K75" s="2"/>
      <c r="L75" s="2"/>
      <c r="M75" s="2"/>
      <c r="N75" s="2"/>
      <c r="O75" s="2"/>
    </row>
    <row r="76" spans="1:15" ht="36.75" customHeight="1">
      <c r="A76" s="520"/>
      <c r="B76" s="541"/>
      <c r="C76" s="520"/>
      <c r="D76" s="467"/>
      <c r="E76" s="68"/>
      <c r="F76" s="68"/>
      <c r="G76" s="68"/>
      <c r="H76" s="68"/>
      <c r="I76" s="2"/>
      <c r="J76" s="2"/>
      <c r="K76" s="2"/>
      <c r="L76" s="2"/>
      <c r="M76" s="2"/>
      <c r="N76" s="2"/>
      <c r="O76" s="2"/>
    </row>
    <row r="77" spans="1:15" ht="37.5" customHeight="1">
      <c r="A77" s="520"/>
      <c r="B77" s="541"/>
      <c r="C77" s="608"/>
      <c r="D77" s="467"/>
      <c r="E77" s="68"/>
      <c r="F77" s="68"/>
      <c r="G77" s="68"/>
      <c r="H77" s="68"/>
      <c r="I77" s="2"/>
      <c r="J77" s="2"/>
      <c r="K77" s="2"/>
      <c r="L77" s="2"/>
      <c r="M77" s="2"/>
      <c r="N77" s="2"/>
      <c r="O77" s="2"/>
    </row>
    <row r="78" spans="1:15" ht="27" customHeight="1">
      <c r="A78" s="520"/>
      <c r="B78" s="541"/>
      <c r="C78" s="520"/>
      <c r="D78" s="467"/>
      <c r="E78" s="68"/>
      <c r="F78" s="68"/>
      <c r="G78" s="68"/>
      <c r="H78" s="68"/>
      <c r="I78" s="2"/>
      <c r="J78" s="2"/>
      <c r="K78" s="2"/>
      <c r="L78" s="2"/>
      <c r="M78" s="2"/>
      <c r="N78" s="2"/>
      <c r="O78" s="2"/>
    </row>
    <row r="79" spans="1:15" ht="45" customHeight="1">
      <c r="A79" s="520"/>
      <c r="B79" s="541"/>
      <c r="C79" s="565"/>
      <c r="D79" s="467"/>
      <c r="E79" s="68"/>
      <c r="F79" s="68"/>
      <c r="G79" s="68"/>
      <c r="H79" s="68"/>
      <c r="I79" s="2"/>
      <c r="J79" s="2"/>
      <c r="K79" s="2"/>
      <c r="L79" s="2"/>
      <c r="M79" s="2"/>
      <c r="N79" s="2"/>
      <c r="O79" s="2"/>
    </row>
    <row r="80" spans="1:15" ht="45" customHeight="1">
      <c r="A80" s="520"/>
      <c r="B80" s="541"/>
      <c r="C80" s="565"/>
      <c r="D80" s="467"/>
      <c r="E80" s="68"/>
      <c r="F80" s="68"/>
      <c r="G80" s="68"/>
      <c r="H80" s="68"/>
      <c r="I80" s="2"/>
      <c r="J80" s="2"/>
      <c r="K80" s="2"/>
      <c r="L80" s="2"/>
      <c r="M80" s="2"/>
      <c r="N80" s="2"/>
      <c r="O80" s="2"/>
    </row>
    <row r="81" spans="1:15" ht="36" customHeight="1">
      <c r="A81" s="520"/>
      <c r="B81" s="541"/>
      <c r="C81" s="565"/>
      <c r="D81" s="615"/>
      <c r="E81" s="68"/>
      <c r="F81" s="68"/>
      <c r="G81" s="68"/>
      <c r="H81" s="68"/>
      <c r="I81" s="2"/>
      <c r="J81" s="2"/>
      <c r="K81" s="2"/>
      <c r="L81" s="2"/>
      <c r="M81" s="2"/>
      <c r="N81" s="2"/>
      <c r="O81" s="2"/>
    </row>
    <row r="82" spans="1:15" ht="42" customHeight="1">
      <c r="A82" s="520"/>
      <c r="B82" s="541"/>
      <c r="C82" s="520"/>
      <c r="D82" s="467"/>
      <c r="E82" s="68"/>
      <c r="F82" s="68"/>
      <c r="G82" s="68"/>
      <c r="H82" s="68"/>
      <c r="I82" s="2"/>
      <c r="J82" s="2"/>
      <c r="K82" s="2"/>
      <c r="L82" s="2"/>
      <c r="M82" s="2"/>
      <c r="N82" s="2"/>
      <c r="O82" s="2"/>
    </row>
    <row r="83" spans="1:15" ht="36.75" customHeight="1">
      <c r="A83" s="520"/>
      <c r="B83" s="541"/>
      <c r="C83" s="608"/>
      <c r="D83" s="467"/>
      <c r="E83" s="68"/>
      <c r="F83" s="68"/>
      <c r="G83" s="68"/>
      <c r="H83" s="68"/>
      <c r="I83" s="2"/>
      <c r="J83" s="2"/>
      <c r="K83" s="2"/>
      <c r="L83" s="2"/>
      <c r="M83" s="2"/>
      <c r="N83" s="2"/>
      <c r="O83" s="2"/>
    </row>
    <row r="84" spans="1:15" ht="36" customHeight="1">
      <c r="A84" s="520"/>
      <c r="B84" s="541"/>
      <c r="C84" s="608"/>
      <c r="D84" s="467"/>
      <c r="E84" s="68"/>
      <c r="F84" s="68"/>
      <c r="G84" s="68"/>
      <c r="H84" s="68"/>
      <c r="I84" s="2"/>
      <c r="J84" s="2"/>
      <c r="K84" s="2"/>
      <c r="L84" s="2"/>
      <c r="M84" s="2"/>
      <c r="N84" s="2"/>
      <c r="O84" s="2"/>
    </row>
    <row r="85" spans="1:15" ht="39" customHeight="1">
      <c r="A85" s="520"/>
      <c r="B85" s="541"/>
      <c r="C85" s="608"/>
      <c r="D85" s="615"/>
      <c r="E85" s="68"/>
      <c r="F85" s="68"/>
      <c r="G85" s="68"/>
      <c r="H85" s="68"/>
      <c r="I85" s="2"/>
      <c r="J85" s="2"/>
      <c r="K85" s="2"/>
      <c r="L85" s="2"/>
      <c r="M85" s="2"/>
      <c r="N85" s="2"/>
      <c r="O85" s="2"/>
    </row>
    <row r="86" spans="1:15" ht="60.75" customHeight="1">
      <c r="A86" s="520"/>
      <c r="B86" s="541"/>
      <c r="C86" s="520"/>
      <c r="D86" s="467"/>
      <c r="E86" s="68"/>
      <c r="F86" s="68"/>
      <c r="G86" s="68"/>
      <c r="H86" s="68"/>
      <c r="I86" s="2"/>
      <c r="J86" s="2"/>
      <c r="K86" s="2"/>
      <c r="L86" s="2"/>
      <c r="M86" s="2"/>
      <c r="N86" s="2"/>
      <c r="O86" s="2"/>
    </row>
    <row r="87" spans="1:15" ht="46.5" customHeight="1">
      <c r="A87" s="520"/>
      <c r="B87" s="541"/>
      <c r="C87" s="520"/>
      <c r="D87" s="467"/>
      <c r="E87" s="68"/>
      <c r="F87" s="68"/>
      <c r="G87" s="68"/>
      <c r="H87" s="68"/>
      <c r="I87" s="2"/>
      <c r="J87" s="2"/>
      <c r="K87" s="2"/>
      <c r="L87" s="2"/>
      <c r="M87" s="2"/>
      <c r="N87" s="2"/>
      <c r="O87" s="2"/>
    </row>
    <row r="88" spans="1:15" ht="18.75">
      <c r="A88" s="520"/>
      <c r="B88" s="541"/>
      <c r="C88" s="608"/>
      <c r="D88" s="467"/>
      <c r="E88" s="616"/>
      <c r="F88" s="68"/>
      <c r="G88" s="68"/>
      <c r="H88" s="68"/>
      <c r="I88" s="2"/>
      <c r="J88" s="2"/>
      <c r="K88" s="2"/>
      <c r="L88" s="2"/>
      <c r="M88" s="2"/>
      <c r="N88" s="2"/>
      <c r="O88" s="2"/>
    </row>
    <row r="89" spans="1:15" ht="34.5" customHeight="1">
      <c r="A89" s="520"/>
      <c r="B89" s="541"/>
      <c r="C89" s="617"/>
      <c r="D89" s="467"/>
      <c r="E89" s="590"/>
      <c r="F89" s="68"/>
      <c r="G89" s="68"/>
      <c r="H89" s="68"/>
      <c r="I89" s="2"/>
      <c r="J89" s="2"/>
      <c r="K89" s="2"/>
      <c r="L89" s="2"/>
      <c r="M89" s="2"/>
      <c r="N89" s="2"/>
      <c r="O89" s="2"/>
    </row>
    <row r="90" spans="1:15" ht="51" customHeight="1">
      <c r="A90" s="520"/>
      <c r="B90" s="541"/>
      <c r="C90" s="520"/>
      <c r="D90" s="467"/>
      <c r="E90" s="618"/>
      <c r="F90" s="68"/>
      <c r="G90" s="68"/>
      <c r="H90" s="68"/>
      <c r="I90" s="2"/>
      <c r="J90" s="2"/>
      <c r="K90" s="2"/>
      <c r="L90" s="2"/>
      <c r="M90" s="2"/>
      <c r="N90" s="2"/>
      <c r="O90" s="2"/>
    </row>
    <row r="91" spans="1:15" ht="40.5" customHeight="1">
      <c r="A91" s="520"/>
      <c r="B91" s="541"/>
      <c r="C91" s="520"/>
      <c r="D91" s="467"/>
      <c r="E91" s="68"/>
      <c r="F91" s="68"/>
      <c r="G91" s="68"/>
      <c r="H91" s="68"/>
      <c r="I91" s="2"/>
      <c r="J91" s="2"/>
      <c r="K91" s="2"/>
      <c r="L91" s="2"/>
      <c r="M91" s="2"/>
      <c r="N91" s="2"/>
      <c r="O91" s="2"/>
    </row>
    <row r="92" spans="1:15" ht="34.5" customHeight="1">
      <c r="A92" s="520"/>
      <c r="B92" s="541"/>
      <c r="C92" s="520"/>
      <c r="D92" s="467"/>
      <c r="E92" s="618"/>
      <c r="F92" s="68"/>
      <c r="G92" s="68"/>
      <c r="H92" s="68"/>
      <c r="I92" s="2"/>
      <c r="J92" s="2"/>
      <c r="K92" s="2"/>
      <c r="L92" s="2"/>
      <c r="M92" s="2"/>
      <c r="N92" s="2"/>
      <c r="O92" s="2"/>
    </row>
    <row r="93" spans="1:15" ht="35.25" customHeight="1">
      <c r="A93" s="520"/>
      <c r="B93" s="541"/>
      <c r="C93" s="520"/>
      <c r="D93" s="467"/>
      <c r="E93" s="68"/>
      <c r="F93" s="68"/>
      <c r="G93" s="68"/>
      <c r="H93" s="68"/>
      <c r="I93" s="2"/>
      <c r="J93" s="2"/>
      <c r="K93" s="2"/>
      <c r="L93" s="2"/>
      <c r="M93" s="2"/>
      <c r="N93" s="2"/>
      <c r="O93" s="2"/>
    </row>
    <row r="94" spans="1:15" ht="18.75">
      <c r="A94" s="520"/>
      <c r="B94" s="541"/>
      <c r="C94" s="520"/>
      <c r="D94" s="467"/>
      <c r="E94" s="68"/>
      <c r="F94" s="68"/>
      <c r="G94" s="68"/>
      <c r="H94" s="68"/>
      <c r="I94" s="2"/>
      <c r="J94" s="2"/>
      <c r="K94" s="2"/>
      <c r="L94" s="2"/>
      <c r="M94" s="2"/>
      <c r="N94" s="2"/>
      <c r="O94" s="2"/>
    </row>
    <row r="95" spans="1:15" ht="18.75">
      <c r="A95" s="520"/>
      <c r="B95" s="520"/>
      <c r="C95" s="520"/>
      <c r="D95" s="467"/>
      <c r="E95" s="68"/>
      <c r="F95" s="68"/>
      <c r="G95" s="68"/>
      <c r="H95" s="68"/>
      <c r="I95" s="2"/>
      <c r="J95" s="2"/>
      <c r="K95" s="2"/>
      <c r="L95" s="2"/>
      <c r="M95" s="2"/>
      <c r="N95" s="2"/>
      <c r="O95" s="2"/>
    </row>
    <row r="96" spans="1:15" ht="18.75">
      <c r="A96" s="520"/>
      <c r="B96" s="520"/>
      <c r="C96" s="520"/>
      <c r="D96" s="467"/>
      <c r="E96" s="68"/>
      <c r="F96" s="68"/>
      <c r="G96" s="68"/>
      <c r="H96" s="68"/>
      <c r="I96" s="2"/>
      <c r="J96" s="2"/>
      <c r="K96" s="2"/>
      <c r="L96" s="2"/>
      <c r="M96" s="2"/>
      <c r="N96" s="2"/>
      <c r="O96" s="2"/>
    </row>
    <row r="97" spans="1:15" ht="18.75">
      <c r="A97" s="520"/>
      <c r="B97" s="520"/>
      <c r="C97" s="520"/>
      <c r="D97" s="467"/>
      <c r="E97" s="68"/>
      <c r="F97" s="68"/>
      <c r="G97" s="68"/>
      <c r="H97" s="68"/>
      <c r="I97" s="2"/>
      <c r="J97" s="2"/>
      <c r="K97" s="2"/>
      <c r="L97" s="2"/>
      <c r="M97" s="2"/>
      <c r="N97" s="2"/>
      <c r="O97" s="2"/>
    </row>
    <row r="98" spans="1:15" ht="18.75">
      <c r="A98" s="520"/>
      <c r="B98" s="520"/>
      <c r="C98" s="520"/>
      <c r="D98" s="467"/>
      <c r="E98" s="68"/>
      <c r="F98" s="68"/>
      <c r="G98" s="68"/>
      <c r="H98" s="68"/>
      <c r="I98" s="2"/>
      <c r="J98" s="2"/>
      <c r="K98" s="2"/>
      <c r="L98" s="2"/>
      <c r="M98" s="2"/>
      <c r="N98" s="2"/>
      <c r="O98" s="2"/>
    </row>
    <row r="99" spans="1:15" ht="18.75">
      <c r="A99" s="520"/>
      <c r="B99" s="520"/>
      <c r="C99" s="520"/>
      <c r="D99" s="467"/>
      <c r="E99" s="68"/>
      <c r="F99" s="68"/>
      <c r="G99" s="68"/>
      <c r="H99" s="68"/>
      <c r="I99" s="2"/>
      <c r="J99" s="2"/>
      <c r="K99" s="2"/>
      <c r="L99" s="2"/>
      <c r="M99" s="2"/>
      <c r="N99" s="2"/>
      <c r="O99" s="2"/>
    </row>
    <row r="100" spans="1:15" ht="18.75">
      <c r="A100" s="520"/>
      <c r="B100" s="520"/>
      <c r="C100" s="520"/>
      <c r="D100" s="467"/>
      <c r="E100" s="618"/>
      <c r="F100" s="68"/>
      <c r="G100" s="68"/>
      <c r="H100" s="68"/>
      <c r="I100" s="2"/>
      <c r="J100" s="2"/>
      <c r="K100" s="2"/>
      <c r="L100" s="2"/>
      <c r="M100" s="2"/>
      <c r="N100" s="2"/>
      <c r="O100" s="2"/>
    </row>
    <row r="101" spans="1:15" ht="18.75">
      <c r="A101" s="520"/>
      <c r="B101" s="520"/>
      <c r="C101" s="520"/>
      <c r="D101" s="467"/>
      <c r="E101" s="68"/>
      <c r="F101" s="68"/>
      <c r="G101" s="68"/>
      <c r="H101" s="68"/>
      <c r="I101" s="2"/>
      <c r="J101" s="2"/>
      <c r="K101" s="2"/>
      <c r="L101" s="2"/>
      <c r="M101" s="2"/>
      <c r="N101" s="2"/>
      <c r="O101" s="2"/>
    </row>
    <row r="102" spans="1:15" ht="18.75">
      <c r="A102" s="520"/>
      <c r="B102" s="520"/>
      <c r="C102" s="520"/>
      <c r="D102" s="467"/>
      <c r="E102" s="68"/>
      <c r="F102" s="68"/>
      <c r="G102" s="68"/>
      <c r="H102" s="68"/>
      <c r="I102" s="2"/>
      <c r="J102" s="2"/>
      <c r="K102" s="2"/>
      <c r="L102" s="2"/>
      <c r="M102" s="2"/>
      <c r="N102" s="2"/>
      <c r="O102" s="2"/>
    </row>
    <row r="103" spans="1:15" ht="18.75">
      <c r="A103" s="520"/>
      <c r="B103" s="520"/>
      <c r="C103" s="520"/>
      <c r="D103" s="467"/>
      <c r="E103" s="68"/>
      <c r="F103" s="68"/>
      <c r="G103" s="68"/>
      <c r="H103" s="68"/>
      <c r="I103" s="2"/>
      <c r="J103" s="2"/>
      <c r="K103" s="2"/>
      <c r="L103" s="2"/>
      <c r="M103" s="2"/>
      <c r="N103" s="2"/>
      <c r="O103" s="2"/>
    </row>
    <row r="104" spans="1:15" ht="18.75">
      <c r="A104" s="520"/>
      <c r="B104" s="520"/>
      <c r="C104" s="520"/>
      <c r="D104" s="467"/>
      <c r="E104" s="68"/>
      <c r="F104" s="68"/>
      <c r="G104" s="68"/>
      <c r="H104" s="68"/>
      <c r="I104" s="2"/>
      <c r="J104" s="2"/>
      <c r="K104" s="2"/>
      <c r="L104" s="2"/>
      <c r="M104" s="2"/>
      <c r="N104" s="2"/>
      <c r="O104" s="2"/>
    </row>
    <row r="105" spans="1:15" ht="18.75">
      <c r="A105" s="520"/>
      <c r="B105" s="520"/>
      <c r="C105" s="520"/>
      <c r="D105" s="467"/>
      <c r="E105" s="68"/>
      <c r="F105" s="68"/>
      <c r="G105" s="68"/>
      <c r="H105" s="68"/>
      <c r="I105" s="2"/>
      <c r="J105" s="2"/>
      <c r="K105" s="2"/>
      <c r="L105" s="2"/>
      <c r="M105" s="2"/>
      <c r="N105" s="2"/>
      <c r="O105" s="2"/>
    </row>
    <row r="106" spans="1:15" ht="18.75">
      <c r="A106" s="520"/>
      <c r="B106" s="520"/>
      <c r="C106" s="520"/>
      <c r="D106" s="467"/>
      <c r="E106" s="68"/>
      <c r="F106" s="68"/>
      <c r="G106" s="68"/>
      <c r="H106" s="68"/>
      <c r="I106" s="2"/>
      <c r="J106" s="2"/>
      <c r="K106" s="2"/>
      <c r="L106" s="2"/>
      <c r="M106" s="2"/>
      <c r="N106" s="2"/>
      <c r="O106" s="2"/>
    </row>
    <row r="107" spans="1:15" ht="18.75">
      <c r="A107" s="520"/>
      <c r="B107" s="520"/>
      <c r="C107" s="520"/>
      <c r="D107" s="467"/>
      <c r="E107" s="68"/>
      <c r="F107" s="68"/>
      <c r="G107" s="68"/>
      <c r="H107" s="68"/>
      <c r="I107" s="2"/>
      <c r="J107" s="2"/>
      <c r="K107" s="2"/>
      <c r="L107" s="2"/>
      <c r="M107" s="2"/>
      <c r="N107" s="2"/>
      <c r="O107" s="2"/>
    </row>
    <row r="108" spans="1:15" ht="18.75">
      <c r="A108" s="520"/>
      <c r="B108" s="520"/>
      <c r="C108" s="520"/>
      <c r="D108" s="467"/>
      <c r="E108" s="68"/>
      <c r="F108" s="68"/>
      <c r="G108" s="68"/>
      <c r="H108" s="68"/>
      <c r="I108" s="2"/>
      <c r="J108" s="2"/>
      <c r="K108" s="2"/>
      <c r="L108" s="2"/>
      <c r="M108" s="2"/>
      <c r="N108" s="2"/>
      <c r="O108" s="2"/>
    </row>
    <row r="109" spans="1:15" ht="18.75">
      <c r="A109" s="520"/>
      <c r="B109" s="520"/>
      <c r="C109" s="520"/>
      <c r="D109" s="467"/>
      <c r="E109" s="618"/>
      <c r="F109" s="68"/>
      <c r="G109" s="68"/>
      <c r="H109" s="68"/>
      <c r="I109" s="2"/>
      <c r="J109" s="2"/>
      <c r="K109" s="2"/>
      <c r="L109" s="2"/>
      <c r="M109" s="2"/>
      <c r="N109" s="2"/>
      <c r="O109" s="2"/>
    </row>
    <row r="110" spans="1:15" ht="18.75">
      <c r="A110" s="520"/>
      <c r="B110" s="520"/>
      <c r="C110" s="520"/>
      <c r="D110" s="467"/>
      <c r="E110" s="68"/>
      <c r="F110" s="68"/>
      <c r="G110" s="68"/>
      <c r="H110" s="68"/>
      <c r="I110" s="2"/>
      <c r="J110" s="2"/>
      <c r="K110" s="2"/>
      <c r="L110" s="2"/>
      <c r="M110" s="2"/>
      <c r="N110" s="2"/>
      <c r="O110" s="2"/>
    </row>
    <row r="111" spans="1:15" ht="18.75">
      <c r="A111" s="520"/>
      <c r="B111" s="520"/>
      <c r="C111" s="520"/>
      <c r="D111" s="467"/>
      <c r="E111" s="68"/>
      <c r="F111" s="68"/>
      <c r="G111" s="68"/>
      <c r="H111" s="68"/>
      <c r="I111" s="2"/>
      <c r="J111" s="2"/>
      <c r="K111" s="2"/>
      <c r="L111" s="2"/>
      <c r="M111" s="2"/>
      <c r="N111" s="2"/>
      <c r="O111" s="2"/>
    </row>
    <row r="112" spans="1:15" ht="18.75">
      <c r="A112" s="520"/>
      <c r="B112" s="520"/>
      <c r="C112" s="520"/>
      <c r="D112" s="467"/>
      <c r="E112" s="68"/>
      <c r="F112" s="68"/>
      <c r="G112" s="68"/>
      <c r="H112" s="68"/>
      <c r="I112" s="2"/>
      <c r="J112" s="2"/>
      <c r="K112" s="2"/>
      <c r="L112" s="2"/>
      <c r="M112" s="2"/>
      <c r="N112" s="2"/>
      <c r="O112" s="2"/>
    </row>
    <row r="113" spans="1:15" ht="18.75">
      <c r="A113" s="520"/>
      <c r="B113" s="520"/>
      <c r="C113" s="520"/>
      <c r="D113" s="467"/>
      <c r="E113" s="68"/>
      <c r="F113" s="68"/>
      <c r="G113" s="68"/>
      <c r="H113" s="68"/>
      <c r="I113" s="2"/>
      <c r="J113" s="2"/>
      <c r="K113" s="2"/>
      <c r="L113" s="2"/>
      <c r="M113" s="2"/>
      <c r="N113" s="2"/>
      <c r="O113" s="2"/>
    </row>
    <row r="114" spans="1:15" ht="18.75">
      <c r="A114" s="520"/>
      <c r="B114" s="520"/>
      <c r="C114" s="520"/>
      <c r="D114" s="467"/>
      <c r="E114" s="68"/>
      <c r="F114" s="68"/>
      <c r="G114" s="68"/>
      <c r="H114" s="68"/>
      <c r="I114" s="2"/>
      <c r="J114" s="2"/>
      <c r="K114" s="2"/>
      <c r="L114" s="2"/>
      <c r="M114" s="2"/>
      <c r="N114" s="2"/>
      <c r="O114" s="2"/>
    </row>
    <row r="115" spans="1:15" ht="18.75">
      <c r="A115" s="520"/>
      <c r="B115" s="520"/>
      <c r="C115" s="520"/>
      <c r="D115" s="467"/>
      <c r="E115" s="68"/>
      <c r="F115" s="68"/>
      <c r="G115" s="68"/>
      <c r="H115" s="68"/>
      <c r="I115" s="2"/>
      <c r="J115" s="2"/>
      <c r="K115" s="2"/>
      <c r="L115" s="2"/>
      <c r="M115" s="2"/>
      <c r="N115" s="2"/>
      <c r="O115" s="2"/>
    </row>
    <row r="116" spans="1:15" ht="18.75">
      <c r="A116" s="520"/>
      <c r="B116" s="520"/>
      <c r="C116" s="520"/>
      <c r="D116" s="467"/>
      <c r="E116" s="68"/>
      <c r="F116" s="68"/>
      <c r="G116" s="68"/>
      <c r="H116" s="68"/>
      <c r="I116" s="2"/>
      <c r="J116" s="2"/>
      <c r="K116" s="2"/>
      <c r="L116" s="2"/>
      <c r="M116" s="2"/>
      <c r="N116" s="2"/>
      <c r="O116" s="2"/>
    </row>
    <row r="117" spans="1:15" ht="18.75">
      <c r="A117" s="520"/>
      <c r="B117" s="520"/>
      <c r="C117" s="520"/>
      <c r="D117" s="467"/>
      <c r="E117" s="68"/>
      <c r="F117" s="68"/>
      <c r="G117" s="68"/>
      <c r="H117" s="68"/>
      <c r="I117" s="2"/>
      <c r="J117" s="2"/>
      <c r="K117" s="2"/>
      <c r="L117" s="2"/>
      <c r="M117" s="2"/>
      <c r="N117" s="2"/>
      <c r="O117" s="2"/>
    </row>
    <row r="118" spans="1:15" ht="18.75">
      <c r="A118" s="520"/>
      <c r="B118" s="520"/>
      <c r="C118" s="520"/>
      <c r="D118" s="467"/>
      <c r="E118" s="68"/>
      <c r="F118" s="68"/>
      <c r="G118" s="68"/>
      <c r="H118" s="68"/>
      <c r="I118" s="2"/>
      <c r="J118" s="2"/>
      <c r="K118" s="2"/>
      <c r="L118" s="2"/>
      <c r="M118" s="2"/>
      <c r="N118" s="2"/>
      <c r="O118" s="2"/>
    </row>
    <row r="119" spans="1:15" ht="18.75">
      <c r="A119" s="520"/>
      <c r="B119" s="520"/>
      <c r="C119" s="520"/>
      <c r="D119" s="467"/>
      <c r="E119" s="68"/>
      <c r="F119" s="68"/>
      <c r="G119" s="68"/>
      <c r="H119" s="68"/>
      <c r="I119" s="2"/>
      <c r="J119" s="2"/>
      <c r="K119" s="2"/>
      <c r="L119" s="2"/>
      <c r="M119" s="2"/>
      <c r="N119" s="2"/>
      <c r="O119" s="2"/>
    </row>
    <row r="120" spans="1:15" ht="18.75">
      <c r="A120" s="520"/>
      <c r="B120" s="520"/>
      <c r="C120" s="520"/>
      <c r="D120" s="467"/>
      <c r="E120" s="68"/>
      <c r="F120" s="68"/>
      <c r="G120" s="68"/>
      <c r="H120" s="68"/>
      <c r="I120" s="2"/>
      <c r="J120" s="2"/>
      <c r="K120" s="2"/>
      <c r="L120" s="2"/>
      <c r="M120" s="2"/>
      <c r="N120" s="2"/>
      <c r="O120" s="2"/>
    </row>
    <row r="121" spans="1:15" ht="18.75">
      <c r="A121" s="520"/>
      <c r="B121" s="520"/>
      <c r="C121" s="520"/>
      <c r="D121" s="467"/>
      <c r="E121" s="68"/>
      <c r="F121" s="68"/>
      <c r="G121" s="68"/>
      <c r="H121" s="68"/>
      <c r="I121" s="2"/>
      <c r="J121" s="2"/>
      <c r="K121" s="2"/>
      <c r="L121" s="2"/>
      <c r="M121" s="2"/>
      <c r="N121" s="2"/>
      <c r="O121" s="2"/>
    </row>
    <row r="122" spans="1:15" ht="18.75">
      <c r="A122" s="520"/>
      <c r="B122" s="520"/>
      <c r="C122" s="520"/>
      <c r="D122" s="467"/>
      <c r="E122" s="68"/>
      <c r="F122" s="68"/>
      <c r="G122" s="68"/>
      <c r="H122" s="68"/>
      <c r="I122" s="2"/>
      <c r="J122" s="2"/>
      <c r="K122" s="2"/>
      <c r="L122" s="2"/>
      <c r="M122" s="2"/>
      <c r="N122" s="2"/>
      <c r="O122" s="2"/>
    </row>
    <row r="123" spans="1:15" ht="18.75">
      <c r="A123" s="520"/>
      <c r="B123" s="520"/>
      <c r="C123" s="520"/>
      <c r="D123" s="467"/>
      <c r="E123" s="68"/>
      <c r="F123" s="68"/>
      <c r="G123" s="68"/>
      <c r="H123" s="68"/>
      <c r="I123" s="2"/>
      <c r="J123" s="2"/>
      <c r="K123" s="2"/>
      <c r="L123" s="2"/>
      <c r="M123" s="2"/>
      <c r="N123" s="2"/>
      <c r="O123" s="2"/>
    </row>
    <row r="124" spans="1:15" ht="18.75">
      <c r="A124" s="520"/>
      <c r="B124" s="520"/>
      <c r="C124" s="520"/>
      <c r="D124" s="467"/>
      <c r="E124" s="68"/>
      <c r="F124" s="68"/>
      <c r="G124" s="68"/>
      <c r="H124" s="68"/>
      <c r="I124" s="2"/>
      <c r="J124" s="2"/>
      <c r="K124" s="2"/>
      <c r="L124" s="2"/>
      <c r="M124" s="2"/>
      <c r="N124" s="2"/>
      <c r="O124" s="2"/>
    </row>
    <row r="125" spans="1:15" ht="18.75">
      <c r="A125" s="520"/>
      <c r="B125" s="520"/>
      <c r="C125" s="520"/>
      <c r="D125" s="467"/>
      <c r="E125" s="68"/>
      <c r="F125" s="68"/>
      <c r="G125" s="68"/>
      <c r="H125" s="68"/>
      <c r="I125" s="2"/>
      <c r="J125" s="2"/>
      <c r="K125" s="2"/>
      <c r="L125" s="2"/>
      <c r="M125" s="2"/>
      <c r="N125" s="2"/>
      <c r="O125" s="2"/>
    </row>
    <row r="126" spans="1:15" ht="18.75">
      <c r="A126" s="520"/>
      <c r="B126" s="520"/>
      <c r="C126" s="520"/>
      <c r="D126" s="467"/>
      <c r="E126" s="68"/>
      <c r="F126" s="68"/>
      <c r="G126" s="68"/>
      <c r="H126" s="68"/>
      <c r="I126" s="2"/>
      <c r="J126" s="2"/>
      <c r="K126" s="2"/>
      <c r="L126" s="2"/>
      <c r="M126" s="2"/>
      <c r="N126" s="2"/>
      <c r="O126" s="2"/>
    </row>
    <row r="127" spans="1:15" ht="18.75">
      <c r="A127" s="520"/>
      <c r="B127" s="520"/>
      <c r="C127" s="520"/>
      <c r="D127" s="467"/>
      <c r="E127" s="68"/>
      <c r="F127" s="68"/>
      <c r="G127" s="68"/>
      <c r="H127" s="68"/>
      <c r="I127" s="2"/>
      <c r="J127" s="2"/>
      <c r="K127" s="2"/>
      <c r="L127" s="2"/>
      <c r="M127" s="2"/>
      <c r="N127" s="2"/>
      <c r="O127" s="2"/>
    </row>
    <row r="128" spans="1:15" ht="18.75">
      <c r="A128" s="520"/>
      <c r="B128" s="520"/>
      <c r="C128" s="520"/>
      <c r="D128" s="467"/>
      <c r="E128" s="68"/>
      <c r="F128" s="68"/>
      <c r="G128" s="68"/>
      <c r="H128" s="68"/>
      <c r="I128" s="2"/>
      <c r="J128" s="2"/>
      <c r="K128" s="2"/>
      <c r="L128" s="2"/>
      <c r="M128" s="2"/>
      <c r="N128" s="2"/>
      <c r="O128" s="2"/>
    </row>
    <row r="129" spans="1:15" ht="18.75">
      <c r="A129" s="520"/>
      <c r="B129" s="520"/>
      <c r="C129" s="520"/>
      <c r="D129" s="467"/>
      <c r="E129" s="68"/>
      <c r="F129" s="68"/>
      <c r="G129" s="68"/>
      <c r="H129" s="68"/>
      <c r="I129" s="2"/>
      <c r="J129" s="2"/>
      <c r="K129" s="2"/>
      <c r="L129" s="2"/>
      <c r="M129" s="2"/>
      <c r="N129" s="2"/>
      <c r="O129" s="2"/>
    </row>
    <row r="130" spans="1:15" ht="18.75">
      <c r="A130" s="520"/>
      <c r="B130" s="520"/>
      <c r="C130" s="520"/>
      <c r="D130" s="467"/>
      <c r="E130" s="68"/>
      <c r="F130" s="68"/>
      <c r="G130" s="68"/>
      <c r="H130" s="68"/>
      <c r="I130" s="2"/>
      <c r="J130" s="2"/>
      <c r="K130" s="2"/>
      <c r="L130" s="2"/>
      <c r="M130" s="2"/>
      <c r="N130" s="2"/>
      <c r="O130" s="2"/>
    </row>
    <row r="131" spans="1:15" ht="18.75">
      <c r="A131" s="520"/>
      <c r="B131" s="520"/>
      <c r="C131" s="520"/>
      <c r="D131" s="467"/>
      <c r="E131" s="68"/>
      <c r="F131" s="68"/>
      <c r="G131" s="68"/>
      <c r="H131" s="68"/>
      <c r="I131" s="2"/>
      <c r="J131" s="2"/>
      <c r="K131" s="2"/>
      <c r="L131" s="2"/>
      <c r="M131" s="2"/>
      <c r="N131" s="2"/>
      <c r="O131" s="2"/>
    </row>
    <row r="132" spans="1:15" ht="18.75">
      <c r="A132" s="520"/>
      <c r="B132" s="520"/>
      <c r="C132" s="520"/>
      <c r="D132" s="467"/>
      <c r="E132" s="68"/>
      <c r="F132" s="68"/>
      <c r="G132" s="68"/>
      <c r="H132" s="68"/>
      <c r="I132" s="2"/>
      <c r="J132" s="2"/>
      <c r="K132" s="2"/>
      <c r="L132" s="2"/>
      <c r="M132" s="2"/>
      <c r="N132" s="2"/>
      <c r="O132" s="2"/>
    </row>
    <row r="133" spans="1:15" ht="18.75">
      <c r="A133" s="520"/>
      <c r="B133" s="520"/>
      <c r="C133" s="520"/>
      <c r="D133" s="467"/>
      <c r="E133" s="68"/>
      <c r="F133" s="68"/>
      <c r="G133" s="68"/>
      <c r="H133" s="68"/>
      <c r="I133" s="2"/>
      <c r="J133" s="2"/>
      <c r="K133" s="2"/>
      <c r="L133" s="2"/>
      <c r="M133" s="2"/>
      <c r="N133" s="2"/>
      <c r="O133" s="2"/>
    </row>
    <row r="134" spans="1:15" ht="18.75">
      <c r="A134" s="520"/>
      <c r="B134" s="520"/>
      <c r="C134" s="520"/>
      <c r="D134" s="467"/>
      <c r="E134" s="68"/>
      <c r="F134" s="68"/>
      <c r="G134" s="68"/>
      <c r="H134" s="68"/>
      <c r="I134" s="2"/>
      <c r="J134" s="2"/>
      <c r="K134" s="2"/>
      <c r="L134" s="2"/>
      <c r="M134" s="2"/>
      <c r="N134" s="2"/>
      <c r="O134" s="2"/>
    </row>
    <row r="135" spans="1:15" ht="18.75">
      <c r="A135" s="520"/>
      <c r="B135" s="520"/>
      <c r="C135" s="520"/>
      <c r="D135" s="467"/>
      <c r="E135" s="68"/>
      <c r="F135" s="68"/>
      <c r="G135" s="68"/>
      <c r="H135" s="68"/>
      <c r="I135" s="2"/>
      <c r="J135" s="2"/>
      <c r="K135" s="2"/>
      <c r="L135" s="2"/>
      <c r="M135" s="2"/>
      <c r="N135" s="2"/>
      <c r="O135" s="2"/>
    </row>
    <row r="136" spans="1:15" ht="18.75">
      <c r="A136" s="520"/>
      <c r="B136" s="520"/>
      <c r="C136" s="520"/>
      <c r="D136" s="467"/>
      <c r="E136" s="68"/>
      <c r="F136" s="68"/>
      <c r="G136" s="68"/>
      <c r="H136" s="68"/>
      <c r="I136" s="2"/>
      <c r="J136" s="2"/>
      <c r="K136" s="2"/>
      <c r="L136" s="2"/>
      <c r="M136" s="2"/>
      <c r="N136" s="2"/>
      <c r="O136" s="2"/>
    </row>
    <row r="137" spans="1:15" ht="18.75">
      <c r="A137" s="520"/>
      <c r="B137" s="520"/>
      <c r="C137" s="520"/>
      <c r="D137" s="467"/>
      <c r="E137" s="68"/>
      <c r="F137" s="68"/>
      <c r="G137" s="68"/>
      <c r="H137" s="68"/>
      <c r="I137" s="2"/>
      <c r="J137" s="2"/>
      <c r="K137" s="2"/>
      <c r="L137" s="2"/>
      <c r="M137" s="2"/>
      <c r="N137" s="2"/>
      <c r="O137" s="2"/>
    </row>
    <row r="138" spans="1:15" ht="18.75">
      <c r="A138" s="520"/>
      <c r="B138" s="520"/>
      <c r="C138" s="520"/>
      <c r="D138" s="467"/>
      <c r="E138" s="68"/>
      <c r="F138" s="68"/>
      <c r="G138" s="68"/>
      <c r="H138" s="68"/>
      <c r="I138" s="2"/>
      <c r="J138" s="2"/>
      <c r="K138" s="2"/>
      <c r="L138" s="2"/>
      <c r="M138" s="2"/>
      <c r="N138" s="2"/>
      <c r="O138" s="2"/>
    </row>
    <row r="139" spans="1:15" ht="18.75">
      <c r="A139" s="520"/>
      <c r="B139" s="520"/>
      <c r="C139" s="520"/>
      <c r="D139" s="467"/>
      <c r="E139" s="68"/>
      <c r="F139" s="68"/>
      <c r="G139" s="68"/>
      <c r="H139" s="68"/>
      <c r="I139" s="2"/>
      <c r="J139" s="2"/>
      <c r="K139" s="2"/>
      <c r="L139" s="2"/>
      <c r="M139" s="2"/>
      <c r="N139" s="2"/>
      <c r="O139" s="2"/>
    </row>
    <row r="140" spans="1:15" ht="18.75">
      <c r="A140" s="520"/>
      <c r="B140" s="520"/>
      <c r="C140" s="520"/>
      <c r="D140" s="467"/>
      <c r="E140" s="68"/>
      <c r="F140" s="68"/>
      <c r="G140" s="68"/>
      <c r="H140" s="68"/>
      <c r="I140" s="2"/>
      <c r="J140" s="2"/>
      <c r="K140" s="2"/>
      <c r="L140" s="2"/>
      <c r="M140" s="2"/>
      <c r="N140" s="2"/>
      <c r="O140" s="2"/>
    </row>
    <row r="141" spans="1:15" ht="18.75">
      <c r="A141" s="520"/>
      <c r="B141" s="520"/>
      <c r="C141" s="520"/>
      <c r="D141" s="467"/>
      <c r="E141" s="68"/>
      <c r="F141" s="68"/>
      <c r="G141" s="68"/>
      <c r="H141" s="68"/>
      <c r="I141" s="2"/>
      <c r="J141" s="2"/>
      <c r="K141" s="2"/>
      <c r="L141" s="2"/>
      <c r="M141" s="2"/>
      <c r="N141" s="2"/>
      <c r="O141" s="2"/>
    </row>
    <row r="142" spans="1:15" ht="18.75">
      <c r="A142" s="520"/>
      <c r="B142" s="520"/>
      <c r="C142" s="520"/>
      <c r="D142" s="467"/>
      <c r="E142" s="68"/>
      <c r="F142" s="68"/>
      <c r="G142" s="68"/>
      <c r="H142" s="68"/>
      <c r="I142" s="2"/>
      <c r="J142" s="2"/>
      <c r="K142" s="2"/>
      <c r="L142" s="2"/>
      <c r="M142" s="2"/>
      <c r="N142" s="2"/>
      <c r="O142" s="2"/>
    </row>
    <row r="143" spans="1:15" ht="18.75">
      <c r="A143" s="520"/>
      <c r="B143" s="520"/>
      <c r="C143" s="520"/>
      <c r="D143" s="467"/>
      <c r="E143" s="68"/>
      <c r="F143" s="68"/>
      <c r="G143" s="68"/>
      <c r="H143" s="68"/>
      <c r="I143" s="2"/>
      <c r="J143" s="2"/>
      <c r="K143" s="2"/>
      <c r="L143" s="2"/>
      <c r="M143" s="2"/>
      <c r="N143" s="2"/>
      <c r="O143" s="2"/>
    </row>
    <row r="144" spans="1:15" ht="18.75">
      <c r="A144" s="520"/>
      <c r="B144" s="520"/>
      <c r="C144" s="520"/>
      <c r="D144" s="467"/>
      <c r="E144" s="68"/>
      <c r="F144" s="68"/>
      <c r="G144" s="68"/>
      <c r="H144" s="68"/>
      <c r="I144" s="2"/>
      <c r="J144" s="2"/>
      <c r="K144" s="2"/>
      <c r="L144" s="2"/>
      <c r="M144" s="2"/>
      <c r="N144" s="2"/>
      <c r="O144" s="2"/>
    </row>
    <row r="145" spans="1:15" ht="18.75">
      <c r="A145" s="520"/>
      <c r="B145" s="520"/>
      <c r="C145" s="520"/>
      <c r="D145" s="467"/>
      <c r="E145" s="68"/>
      <c r="F145" s="68"/>
      <c r="G145" s="68"/>
      <c r="H145" s="68"/>
      <c r="I145" s="2"/>
      <c r="J145" s="2"/>
      <c r="K145" s="2"/>
      <c r="L145" s="2"/>
      <c r="M145" s="2"/>
      <c r="N145" s="2"/>
      <c r="O145" s="2"/>
    </row>
    <row r="146" spans="1:15" ht="18.75">
      <c r="A146" s="520"/>
      <c r="B146" s="520"/>
      <c r="C146" s="520"/>
      <c r="D146" s="467"/>
      <c r="E146" s="68"/>
      <c r="F146" s="68"/>
      <c r="G146" s="68"/>
      <c r="H146" s="68"/>
      <c r="I146" s="2"/>
      <c r="J146" s="2"/>
      <c r="K146" s="2"/>
      <c r="L146" s="2"/>
      <c r="M146" s="2"/>
      <c r="N146" s="2"/>
      <c r="O146" s="2"/>
    </row>
    <row r="147" spans="1:15" ht="18.75">
      <c r="A147" s="520"/>
      <c r="B147" s="520"/>
      <c r="C147" s="520"/>
      <c r="D147" s="467"/>
      <c r="E147" s="68"/>
      <c r="F147" s="68"/>
      <c r="G147" s="68"/>
      <c r="H147" s="68"/>
      <c r="I147" s="2"/>
      <c r="J147" s="2"/>
      <c r="K147" s="2"/>
      <c r="L147" s="2"/>
      <c r="M147" s="2"/>
      <c r="N147" s="2"/>
      <c r="O147" s="2"/>
    </row>
    <row r="148" spans="1:15" ht="18.75">
      <c r="A148" s="520"/>
      <c r="B148" s="520"/>
      <c r="C148" s="520"/>
      <c r="D148" s="467"/>
      <c r="E148" s="68"/>
      <c r="F148" s="68"/>
      <c r="G148" s="68"/>
      <c r="H148" s="68"/>
      <c r="I148" s="2"/>
      <c r="J148" s="2"/>
      <c r="K148" s="2"/>
      <c r="L148" s="2"/>
      <c r="M148" s="2"/>
      <c r="N148" s="2"/>
      <c r="O148" s="2"/>
    </row>
    <row r="149" spans="1:15" ht="18.75">
      <c r="A149" s="520"/>
      <c r="B149" s="520"/>
      <c r="C149" s="520"/>
      <c r="D149" s="467"/>
      <c r="E149" s="68"/>
      <c r="F149" s="68"/>
      <c r="G149" s="68"/>
      <c r="H149" s="68"/>
      <c r="I149" s="2"/>
      <c r="J149" s="2"/>
      <c r="K149" s="2"/>
      <c r="L149" s="2"/>
      <c r="M149" s="2"/>
      <c r="N149" s="2"/>
      <c r="O149" s="2"/>
    </row>
    <row r="150" spans="1:15" ht="18.75">
      <c r="A150" s="520"/>
      <c r="B150" s="520"/>
      <c r="C150" s="520"/>
      <c r="D150" s="467"/>
      <c r="E150" s="68"/>
      <c r="F150" s="68"/>
      <c r="G150" s="68"/>
      <c r="H150" s="68"/>
      <c r="I150" s="2"/>
      <c r="J150" s="2"/>
      <c r="K150" s="2"/>
      <c r="L150" s="2"/>
      <c r="M150" s="2"/>
      <c r="N150" s="2"/>
      <c r="O150" s="2"/>
    </row>
    <row r="151" spans="1:15" ht="18.75">
      <c r="A151" s="520"/>
      <c r="B151" s="520"/>
      <c r="C151" s="520"/>
      <c r="D151" s="467"/>
      <c r="E151" s="68"/>
      <c r="F151" s="68"/>
      <c r="G151" s="68"/>
      <c r="H151" s="68"/>
      <c r="I151" s="2"/>
      <c r="J151" s="2"/>
      <c r="K151" s="2"/>
      <c r="L151" s="2"/>
      <c r="M151" s="2"/>
      <c r="N151" s="2"/>
      <c r="O151" s="2"/>
    </row>
    <row r="152" spans="1:15" ht="18.75">
      <c r="A152" s="520"/>
      <c r="B152" s="520"/>
      <c r="C152" s="520"/>
      <c r="D152" s="467"/>
      <c r="E152" s="68"/>
      <c r="F152" s="68"/>
      <c r="G152" s="68"/>
      <c r="H152" s="68"/>
      <c r="I152" s="2"/>
      <c r="J152" s="2"/>
      <c r="K152" s="2"/>
      <c r="L152" s="2"/>
      <c r="M152" s="2"/>
      <c r="N152" s="2"/>
      <c r="O152" s="2"/>
    </row>
    <row r="153" spans="1:15" ht="18.75">
      <c r="A153" s="520"/>
      <c r="B153" s="520"/>
      <c r="C153" s="520"/>
      <c r="D153" s="467"/>
      <c r="E153" s="68"/>
      <c r="F153" s="68"/>
      <c r="G153" s="68"/>
      <c r="H153" s="68"/>
      <c r="I153" s="2"/>
      <c r="J153" s="2"/>
      <c r="K153" s="2"/>
      <c r="L153" s="2"/>
      <c r="M153" s="2"/>
      <c r="N153" s="2"/>
      <c r="O153" s="2"/>
    </row>
    <row r="154" spans="1:15" ht="18.75">
      <c r="A154" s="520"/>
      <c r="B154" s="520"/>
      <c r="C154" s="520"/>
      <c r="D154" s="467"/>
      <c r="E154" s="68"/>
      <c r="F154" s="68"/>
      <c r="G154" s="68"/>
      <c r="H154" s="68"/>
      <c r="I154" s="2"/>
      <c r="J154" s="2"/>
      <c r="K154" s="2"/>
      <c r="L154" s="2"/>
      <c r="M154" s="2"/>
      <c r="N154" s="2"/>
      <c r="O154" s="2"/>
    </row>
    <row r="155" spans="1:15" ht="18.75">
      <c r="A155" s="520"/>
      <c r="B155" s="520"/>
      <c r="C155" s="520"/>
      <c r="D155" s="467"/>
      <c r="E155" s="68"/>
      <c r="F155" s="68"/>
      <c r="G155" s="68"/>
      <c r="H155" s="68"/>
      <c r="I155" s="2"/>
      <c r="J155" s="2"/>
      <c r="K155" s="2"/>
      <c r="L155" s="2"/>
      <c r="M155" s="2"/>
      <c r="N155" s="2"/>
      <c r="O155" s="2"/>
    </row>
    <row r="156" spans="1:15" ht="18.75">
      <c r="A156" s="520"/>
      <c r="B156" s="520"/>
      <c r="C156" s="520"/>
      <c r="D156" s="467"/>
      <c r="E156" s="68"/>
      <c r="F156" s="68"/>
      <c r="G156" s="68"/>
      <c r="H156" s="68"/>
      <c r="I156" s="2"/>
      <c r="J156" s="2"/>
      <c r="K156" s="2"/>
      <c r="L156" s="2"/>
      <c r="M156" s="2"/>
      <c r="N156" s="2"/>
      <c r="O156" s="2"/>
    </row>
    <row r="157" spans="1:15" ht="18.75">
      <c r="A157" s="520"/>
      <c r="B157" s="520"/>
      <c r="C157" s="520"/>
      <c r="D157" s="467"/>
      <c r="E157" s="68"/>
      <c r="F157" s="68"/>
      <c r="G157" s="68"/>
      <c r="H157" s="68"/>
      <c r="I157" s="2"/>
      <c r="J157" s="2"/>
      <c r="K157" s="2"/>
      <c r="L157" s="2"/>
      <c r="M157" s="2"/>
      <c r="N157" s="2"/>
      <c r="O157" s="2"/>
    </row>
    <row r="158" spans="1:15" ht="18.75">
      <c r="A158" s="520"/>
      <c r="B158" s="520"/>
      <c r="C158" s="520"/>
      <c r="D158" s="467"/>
      <c r="E158" s="68"/>
      <c r="F158" s="68"/>
      <c r="G158" s="68"/>
      <c r="H158" s="68"/>
      <c r="I158" s="2"/>
      <c r="J158" s="2"/>
      <c r="K158" s="2"/>
      <c r="L158" s="2"/>
      <c r="M158" s="2"/>
      <c r="N158" s="2"/>
      <c r="O158" s="2"/>
    </row>
    <row r="159" spans="1:15" ht="18.75">
      <c r="A159" s="520"/>
      <c r="B159" s="520"/>
      <c r="C159" s="520"/>
      <c r="D159" s="467"/>
      <c r="E159" s="68"/>
      <c r="F159" s="68"/>
      <c r="G159" s="68"/>
      <c r="H159" s="68"/>
      <c r="I159" s="2"/>
      <c r="J159" s="2"/>
      <c r="K159" s="2"/>
      <c r="L159" s="2"/>
      <c r="M159" s="2"/>
      <c r="N159" s="2"/>
      <c r="O159" s="2"/>
    </row>
    <row r="160" spans="1:15" ht="18.75">
      <c r="A160" s="520"/>
      <c r="B160" s="520"/>
      <c r="C160" s="520"/>
      <c r="D160" s="467"/>
      <c r="E160" s="68"/>
      <c r="F160" s="68"/>
      <c r="G160" s="68"/>
      <c r="H160" s="68"/>
      <c r="I160" s="2"/>
      <c r="J160" s="2"/>
      <c r="K160" s="2"/>
      <c r="L160" s="2"/>
      <c r="M160" s="2"/>
      <c r="N160" s="2"/>
      <c r="O160" s="2"/>
    </row>
    <row r="161" spans="1:15" ht="18.75">
      <c r="A161" s="520"/>
      <c r="B161" s="520"/>
      <c r="C161" s="520"/>
      <c r="D161" s="467"/>
      <c r="E161" s="68"/>
      <c r="F161" s="68"/>
      <c r="G161" s="68"/>
      <c r="H161" s="68"/>
      <c r="I161" s="2"/>
      <c r="J161" s="2"/>
      <c r="K161" s="2"/>
      <c r="L161" s="2"/>
      <c r="M161" s="2"/>
      <c r="N161" s="2"/>
      <c r="O161" s="2"/>
    </row>
    <row r="162" spans="1:15" ht="18.75">
      <c r="A162" s="520"/>
      <c r="B162" s="520"/>
      <c r="C162" s="520"/>
      <c r="D162" s="467"/>
      <c r="E162" s="68"/>
      <c r="F162" s="68"/>
      <c r="G162" s="68"/>
      <c r="H162" s="68"/>
      <c r="I162" s="2"/>
      <c r="J162" s="2"/>
      <c r="K162" s="2"/>
      <c r="L162" s="2"/>
      <c r="M162" s="2"/>
      <c r="N162" s="2"/>
      <c r="O162" s="2"/>
    </row>
    <row r="163" spans="1:15" ht="18.75">
      <c r="A163" s="520"/>
      <c r="B163" s="520"/>
      <c r="C163" s="520"/>
      <c r="D163" s="467"/>
      <c r="E163" s="68"/>
      <c r="F163" s="68"/>
      <c r="G163" s="68"/>
      <c r="H163" s="68"/>
      <c r="I163" s="2"/>
      <c r="J163" s="2"/>
      <c r="K163" s="2"/>
      <c r="L163" s="2"/>
      <c r="M163" s="2"/>
      <c r="N163" s="2"/>
      <c r="O163" s="2"/>
    </row>
    <row r="164" spans="1:15" ht="18.75">
      <c r="A164" s="520"/>
      <c r="B164" s="520"/>
      <c r="C164" s="520"/>
      <c r="D164" s="467"/>
      <c r="E164" s="68"/>
      <c r="F164" s="68"/>
      <c r="G164" s="68"/>
      <c r="H164" s="68"/>
      <c r="I164" s="2"/>
      <c r="J164" s="2"/>
      <c r="K164" s="2"/>
      <c r="L164" s="2"/>
      <c r="M164" s="2"/>
      <c r="N164" s="2"/>
      <c r="O164" s="2"/>
    </row>
    <row r="165" spans="1:15" ht="18.75">
      <c r="A165" s="520"/>
      <c r="B165" s="520"/>
      <c r="C165" s="520"/>
      <c r="D165" s="467"/>
      <c r="E165" s="68"/>
      <c r="F165" s="68"/>
      <c r="G165" s="68"/>
      <c r="H165" s="68"/>
      <c r="I165" s="2"/>
      <c r="J165" s="2"/>
      <c r="K165" s="2"/>
      <c r="L165" s="2"/>
      <c r="M165" s="2"/>
      <c r="N165" s="2"/>
      <c r="O165" s="2"/>
    </row>
    <row r="166" spans="1:15" ht="18.75">
      <c r="A166" s="520"/>
      <c r="B166" s="520"/>
      <c r="C166" s="520"/>
      <c r="D166" s="467"/>
      <c r="E166" s="68"/>
      <c r="F166" s="68"/>
      <c r="G166" s="68"/>
      <c r="H166" s="68"/>
      <c r="I166" s="2"/>
      <c r="J166" s="2"/>
      <c r="K166" s="2"/>
      <c r="L166" s="2"/>
      <c r="M166" s="2"/>
      <c r="N166" s="2"/>
      <c r="O166" s="2"/>
    </row>
    <row r="167" spans="1:15" ht="18.75">
      <c r="A167" s="520"/>
      <c r="B167" s="520"/>
      <c r="C167" s="520"/>
      <c r="D167" s="467"/>
      <c r="E167" s="68"/>
      <c r="F167" s="68"/>
      <c r="G167" s="68"/>
      <c r="H167" s="68"/>
      <c r="I167" s="2"/>
      <c r="J167" s="2"/>
      <c r="K167" s="2"/>
      <c r="L167" s="2"/>
      <c r="M167" s="2"/>
      <c r="N167" s="2"/>
      <c r="O167" s="2"/>
    </row>
    <row r="168" spans="1:15" ht="18.75">
      <c r="A168" s="520"/>
      <c r="B168" s="520"/>
      <c r="C168" s="520"/>
      <c r="D168" s="467"/>
      <c r="E168" s="68"/>
      <c r="F168" s="68"/>
      <c r="G168" s="68"/>
      <c r="H168" s="68"/>
      <c r="I168" s="2"/>
      <c r="J168" s="2"/>
      <c r="K168" s="2"/>
      <c r="L168" s="2"/>
      <c r="M168" s="2"/>
      <c r="N168" s="2"/>
      <c r="O168" s="2"/>
    </row>
    <row r="169" spans="1:15" ht="18.75">
      <c r="A169" s="520"/>
      <c r="B169" s="520"/>
      <c r="C169" s="520"/>
      <c r="D169" s="467"/>
      <c r="E169" s="68"/>
      <c r="F169" s="68"/>
      <c r="G169" s="68"/>
      <c r="H169" s="68"/>
      <c r="I169" s="2"/>
      <c r="J169" s="2"/>
      <c r="K169" s="2"/>
      <c r="L169" s="2"/>
      <c r="M169" s="2"/>
      <c r="N169" s="2"/>
      <c r="O169" s="2"/>
    </row>
    <row r="170" spans="1:15" ht="18.75">
      <c r="A170" s="520"/>
      <c r="B170" s="520"/>
      <c r="C170" s="520"/>
      <c r="D170" s="467"/>
      <c r="E170" s="68"/>
      <c r="F170" s="68"/>
      <c r="G170" s="68"/>
      <c r="H170" s="68"/>
      <c r="I170" s="2"/>
      <c r="J170" s="2"/>
      <c r="K170" s="2"/>
      <c r="L170" s="2"/>
      <c r="M170" s="2"/>
      <c r="N170" s="2"/>
      <c r="O170" s="2"/>
    </row>
    <row r="171" spans="1:15" ht="18.75">
      <c r="A171" s="520"/>
      <c r="B171" s="520"/>
      <c r="C171" s="520"/>
      <c r="D171" s="467"/>
      <c r="E171" s="68"/>
      <c r="F171" s="68"/>
      <c r="G171" s="68"/>
      <c r="H171" s="68"/>
      <c r="I171" s="2"/>
      <c r="J171" s="2"/>
      <c r="K171" s="2"/>
      <c r="L171" s="2"/>
      <c r="M171" s="2"/>
      <c r="N171" s="2"/>
      <c r="O171" s="2"/>
    </row>
    <row r="172" spans="1:15" ht="18.75">
      <c r="A172" s="520"/>
      <c r="B172" s="520"/>
      <c r="C172" s="520"/>
      <c r="D172" s="467"/>
      <c r="E172" s="68"/>
      <c r="F172" s="68"/>
      <c r="G172" s="68"/>
      <c r="H172" s="68"/>
      <c r="I172" s="2"/>
      <c r="J172" s="2"/>
      <c r="K172" s="2"/>
      <c r="L172" s="2"/>
      <c r="M172" s="2"/>
      <c r="N172" s="2"/>
      <c r="O172" s="2"/>
    </row>
    <row r="173" spans="1:15" ht="18.75">
      <c r="A173" s="520"/>
      <c r="B173" s="520"/>
      <c r="C173" s="520"/>
      <c r="D173" s="467"/>
      <c r="E173" s="68"/>
      <c r="F173" s="68"/>
      <c r="G173" s="68"/>
      <c r="H173" s="68"/>
      <c r="I173" s="2"/>
      <c r="J173" s="2"/>
      <c r="K173" s="2"/>
      <c r="L173" s="2"/>
      <c r="M173" s="2"/>
      <c r="N173" s="2"/>
      <c r="O173" s="2"/>
    </row>
    <row r="174" spans="1:15" ht="18.75">
      <c r="A174" s="520"/>
      <c r="B174" s="520"/>
      <c r="C174" s="520"/>
      <c r="D174" s="467"/>
      <c r="E174" s="68"/>
      <c r="F174" s="68"/>
      <c r="G174" s="68"/>
      <c r="H174" s="68"/>
      <c r="I174" s="2"/>
      <c r="J174" s="2"/>
      <c r="K174" s="2"/>
      <c r="L174" s="2"/>
      <c r="M174" s="2"/>
      <c r="N174" s="2"/>
      <c r="O174" s="2"/>
    </row>
    <row r="175" spans="1:15" ht="18.75">
      <c r="A175" s="520"/>
      <c r="B175" s="520"/>
      <c r="C175" s="520"/>
      <c r="D175" s="467"/>
      <c r="E175" s="68"/>
      <c r="F175" s="68"/>
      <c r="G175" s="68"/>
      <c r="H175" s="68"/>
      <c r="I175" s="2"/>
      <c r="J175" s="2"/>
      <c r="K175" s="2"/>
      <c r="L175" s="2"/>
      <c r="M175" s="2"/>
      <c r="N175" s="2"/>
      <c r="O175" s="2"/>
    </row>
    <row r="176" spans="1:15" ht="18.75">
      <c r="A176" s="520"/>
      <c r="B176" s="520"/>
      <c r="C176" s="520"/>
      <c r="D176" s="467"/>
      <c r="E176" s="68"/>
      <c r="F176" s="68"/>
      <c r="G176" s="68"/>
      <c r="H176" s="68"/>
      <c r="I176" s="2"/>
      <c r="J176" s="2"/>
      <c r="K176" s="2"/>
      <c r="L176" s="2"/>
      <c r="M176" s="2"/>
      <c r="N176" s="2"/>
      <c r="O176" s="2"/>
    </row>
    <row r="177" spans="1:15" ht="18.75">
      <c r="A177" s="520"/>
      <c r="B177" s="520"/>
      <c r="C177" s="520"/>
      <c r="D177" s="467"/>
      <c r="E177" s="68"/>
      <c r="F177" s="68"/>
      <c r="G177" s="68"/>
      <c r="H177" s="68"/>
      <c r="I177" s="2"/>
      <c r="J177" s="2"/>
      <c r="K177" s="2"/>
      <c r="L177" s="2"/>
      <c r="M177" s="2"/>
      <c r="N177" s="2"/>
      <c r="O177" s="2"/>
    </row>
    <row r="178" spans="1:15" ht="18.75">
      <c r="A178" s="520"/>
      <c r="B178" s="520"/>
      <c r="C178" s="520"/>
      <c r="D178" s="467"/>
      <c r="E178" s="68"/>
      <c r="F178" s="68"/>
      <c r="G178" s="68"/>
      <c r="H178" s="68"/>
      <c r="I178" s="2"/>
      <c r="J178" s="2"/>
      <c r="K178" s="2"/>
      <c r="L178" s="2"/>
      <c r="M178" s="2"/>
      <c r="N178" s="2"/>
      <c r="O178" s="2"/>
    </row>
    <row r="179" spans="1:15" ht="18.75">
      <c r="A179" s="520"/>
      <c r="B179" s="520"/>
      <c r="C179" s="520"/>
      <c r="D179" s="467"/>
      <c r="E179" s="68"/>
      <c r="F179" s="68"/>
      <c r="G179" s="68"/>
      <c r="H179" s="68"/>
      <c r="I179" s="2"/>
      <c r="J179" s="2"/>
      <c r="K179" s="2"/>
      <c r="L179" s="2"/>
      <c r="M179" s="2"/>
      <c r="N179" s="2"/>
      <c r="O179" s="2"/>
    </row>
    <row r="180" spans="1:15" ht="18.75">
      <c r="A180" s="520"/>
      <c r="B180" s="520"/>
      <c r="C180" s="520"/>
      <c r="D180" s="467"/>
      <c r="E180" s="68"/>
      <c r="F180" s="68"/>
      <c r="G180" s="68"/>
      <c r="H180" s="68"/>
      <c r="I180" s="2"/>
      <c r="J180" s="2"/>
      <c r="K180" s="2"/>
      <c r="L180" s="2"/>
      <c r="M180" s="2"/>
      <c r="N180" s="2"/>
      <c r="O180" s="2"/>
    </row>
    <row r="181" spans="1:15" ht="18.75">
      <c r="A181" s="520"/>
      <c r="B181" s="520"/>
      <c r="C181" s="520"/>
      <c r="D181" s="467"/>
      <c r="E181" s="68"/>
      <c r="F181" s="68"/>
      <c r="G181" s="68"/>
      <c r="H181" s="68"/>
      <c r="I181" s="2"/>
      <c r="J181" s="2"/>
      <c r="K181" s="2"/>
      <c r="L181" s="2"/>
      <c r="M181" s="2"/>
      <c r="N181" s="2"/>
      <c r="O181" s="2"/>
    </row>
    <row r="182" spans="1:15" ht="18.75">
      <c r="A182" s="520"/>
      <c r="B182" s="520"/>
      <c r="C182" s="520"/>
      <c r="D182" s="467"/>
      <c r="E182" s="68"/>
      <c r="F182" s="68"/>
      <c r="G182" s="68"/>
      <c r="H182" s="68"/>
      <c r="I182" s="2"/>
      <c r="J182" s="2"/>
      <c r="K182" s="2"/>
      <c r="L182" s="2"/>
      <c r="M182" s="2"/>
      <c r="N182" s="2"/>
      <c r="O182" s="2"/>
    </row>
    <row r="183" spans="1:15" ht="18.75">
      <c r="A183" s="520"/>
      <c r="B183" s="520"/>
      <c r="C183" s="520"/>
      <c r="D183" s="467"/>
      <c r="E183" s="68"/>
      <c r="F183" s="68"/>
      <c r="G183" s="68"/>
      <c r="H183" s="68"/>
      <c r="I183" s="2"/>
      <c r="J183" s="2"/>
      <c r="K183" s="2"/>
      <c r="L183" s="2"/>
      <c r="M183" s="2"/>
      <c r="N183" s="2"/>
      <c r="O183" s="2"/>
    </row>
    <row r="184" spans="1:15" ht="18.75">
      <c r="A184" s="520"/>
      <c r="B184" s="520"/>
      <c r="C184" s="520"/>
      <c r="D184" s="467"/>
      <c r="E184" s="68"/>
      <c r="F184" s="68"/>
      <c r="G184" s="68"/>
      <c r="H184" s="68"/>
      <c r="I184" s="2"/>
      <c r="J184" s="2"/>
      <c r="K184" s="2"/>
      <c r="L184" s="2"/>
      <c r="M184" s="2"/>
      <c r="N184" s="2"/>
      <c r="O184" s="2"/>
    </row>
    <row r="185" spans="1:15" ht="18.75">
      <c r="A185" s="520"/>
      <c r="B185" s="520"/>
      <c r="C185" s="520"/>
      <c r="D185" s="467"/>
      <c r="E185" s="68"/>
      <c r="F185" s="68"/>
      <c r="G185" s="68"/>
      <c r="H185" s="68"/>
      <c r="I185" s="2"/>
      <c r="J185" s="2"/>
      <c r="K185" s="2"/>
      <c r="L185" s="2"/>
      <c r="M185" s="2"/>
      <c r="N185" s="2"/>
      <c r="O185" s="2"/>
    </row>
    <row r="186" spans="1:15" ht="18.75">
      <c r="A186" s="520"/>
      <c r="B186" s="520"/>
      <c r="C186" s="520"/>
      <c r="D186" s="467"/>
      <c r="E186" s="68"/>
      <c r="F186" s="68"/>
      <c r="G186" s="68"/>
      <c r="H186" s="68"/>
      <c r="I186" s="2"/>
      <c r="J186" s="2"/>
      <c r="K186" s="2"/>
      <c r="L186" s="2"/>
      <c r="M186" s="2"/>
      <c r="N186" s="2"/>
      <c r="O186" s="2"/>
    </row>
    <row r="187" spans="1:15" ht="18.75">
      <c r="A187" s="520"/>
      <c r="B187" s="520"/>
      <c r="C187" s="520"/>
      <c r="D187" s="467"/>
      <c r="E187" s="68"/>
      <c r="F187" s="68"/>
      <c r="G187" s="68"/>
      <c r="H187" s="68"/>
      <c r="I187" s="2"/>
      <c r="J187" s="2"/>
      <c r="K187" s="2"/>
      <c r="L187" s="2"/>
      <c r="M187" s="2"/>
      <c r="N187" s="2"/>
      <c r="O187" s="2"/>
    </row>
    <row r="188" spans="1:15" ht="18.75">
      <c r="A188" s="520"/>
      <c r="B188" s="520"/>
      <c r="C188" s="520"/>
      <c r="D188" s="467"/>
      <c r="E188" s="68"/>
      <c r="F188" s="68"/>
      <c r="G188" s="68"/>
      <c r="H188" s="68"/>
      <c r="I188" s="2"/>
      <c r="J188" s="2"/>
      <c r="K188" s="2"/>
      <c r="L188" s="2"/>
      <c r="M188" s="2"/>
      <c r="N188" s="2"/>
      <c r="O188" s="2"/>
    </row>
    <row r="189" spans="1:15" ht="18.75">
      <c r="A189" s="520"/>
      <c r="B189" s="520"/>
      <c r="C189" s="520"/>
      <c r="D189" s="467"/>
      <c r="E189" s="68"/>
      <c r="F189" s="68"/>
      <c r="G189" s="68"/>
      <c r="H189" s="68"/>
      <c r="I189" s="2"/>
      <c r="J189" s="2"/>
      <c r="K189" s="2"/>
      <c r="L189" s="2"/>
      <c r="M189" s="2"/>
      <c r="N189" s="2"/>
      <c r="O189" s="2"/>
    </row>
    <row r="190" spans="1:15" ht="18.75">
      <c r="A190" s="520"/>
      <c r="B190" s="520"/>
      <c r="C190" s="520"/>
      <c r="D190" s="467"/>
      <c r="E190" s="68"/>
      <c r="F190" s="68"/>
      <c r="G190" s="68"/>
      <c r="H190" s="68"/>
      <c r="I190" s="2"/>
      <c r="J190" s="2"/>
      <c r="K190" s="2"/>
      <c r="L190" s="2"/>
      <c r="M190" s="2"/>
      <c r="N190" s="2"/>
      <c r="O190" s="2"/>
    </row>
    <row r="191" spans="1:15" ht="18.75">
      <c r="A191" s="520"/>
      <c r="B191" s="520"/>
      <c r="C191" s="520"/>
      <c r="D191" s="467"/>
      <c r="E191" s="68"/>
      <c r="F191" s="68"/>
      <c r="G191" s="68"/>
      <c r="H191" s="68"/>
      <c r="I191" s="2"/>
      <c r="J191" s="2"/>
      <c r="K191" s="2"/>
      <c r="L191" s="2"/>
      <c r="M191" s="2"/>
      <c r="N191" s="2"/>
      <c r="O191" s="2"/>
    </row>
    <row r="192" spans="1:15" ht="18.75">
      <c r="A192" s="520"/>
      <c r="B192" s="520"/>
      <c r="C192" s="520"/>
      <c r="D192" s="467"/>
      <c r="E192" s="68"/>
      <c r="F192" s="68"/>
      <c r="G192" s="68"/>
      <c r="H192" s="68"/>
      <c r="I192" s="2"/>
      <c r="J192" s="2"/>
      <c r="K192" s="2"/>
      <c r="L192" s="2"/>
      <c r="M192" s="2"/>
      <c r="N192" s="2"/>
      <c r="O192" s="2"/>
    </row>
    <row r="193" spans="1:15" ht="18.75">
      <c r="A193" s="520"/>
      <c r="B193" s="520"/>
      <c r="C193" s="520"/>
      <c r="D193" s="467"/>
      <c r="E193" s="68"/>
      <c r="F193" s="68"/>
      <c r="G193" s="68"/>
      <c r="H193" s="68"/>
      <c r="I193" s="2"/>
      <c r="J193" s="2"/>
      <c r="K193" s="2"/>
      <c r="L193" s="2"/>
      <c r="M193" s="2"/>
      <c r="N193" s="2"/>
      <c r="O193" s="2"/>
    </row>
    <row r="194" spans="1:15" ht="18.75">
      <c r="A194" s="520"/>
      <c r="B194" s="520"/>
      <c r="C194" s="520"/>
      <c r="D194" s="467"/>
      <c r="E194" s="68"/>
      <c r="F194" s="68"/>
      <c r="G194" s="68"/>
      <c r="H194" s="68"/>
      <c r="I194" s="2"/>
      <c r="J194" s="2"/>
      <c r="K194" s="2"/>
      <c r="L194" s="2"/>
      <c r="M194" s="2"/>
      <c r="N194" s="2"/>
      <c r="O194" s="2"/>
    </row>
    <row r="195" spans="1:15" ht="18.75">
      <c r="A195" s="520"/>
      <c r="B195" s="520"/>
      <c r="C195" s="520"/>
      <c r="D195" s="467"/>
      <c r="E195" s="68"/>
      <c r="F195" s="68"/>
      <c r="G195" s="68"/>
      <c r="H195" s="68"/>
      <c r="I195" s="2"/>
      <c r="J195" s="2"/>
      <c r="K195" s="2"/>
      <c r="L195" s="2"/>
      <c r="M195" s="2"/>
      <c r="N195" s="2"/>
      <c r="O195" s="2"/>
    </row>
    <row r="196" spans="1:15" ht="18.75">
      <c r="A196" s="520"/>
      <c r="B196" s="520"/>
      <c r="C196" s="520"/>
      <c r="D196" s="467"/>
      <c r="E196" s="68"/>
      <c r="F196" s="68"/>
      <c r="G196" s="68"/>
      <c r="H196" s="68"/>
      <c r="I196" s="2"/>
      <c r="J196" s="2"/>
      <c r="K196" s="2"/>
      <c r="L196" s="2"/>
      <c r="M196" s="2"/>
      <c r="N196" s="2"/>
      <c r="O196" s="2"/>
    </row>
    <row r="197" spans="1:15" ht="18.75">
      <c r="A197" s="520"/>
      <c r="B197" s="520"/>
      <c r="C197" s="520"/>
      <c r="D197" s="467"/>
      <c r="E197" s="68"/>
      <c r="F197" s="68"/>
      <c r="G197" s="68"/>
      <c r="H197" s="68"/>
      <c r="I197" s="2"/>
      <c r="J197" s="2"/>
      <c r="K197" s="2"/>
      <c r="L197" s="2"/>
      <c r="M197" s="2"/>
      <c r="N197" s="2"/>
      <c r="O197" s="2"/>
    </row>
    <row r="198" spans="1:15" ht="18.75">
      <c r="A198" s="520"/>
      <c r="B198" s="520"/>
      <c r="C198" s="520"/>
      <c r="D198" s="467"/>
      <c r="E198" s="68"/>
      <c r="F198" s="68"/>
      <c r="G198" s="68"/>
      <c r="H198" s="68"/>
      <c r="I198" s="2"/>
      <c r="J198" s="2"/>
      <c r="K198" s="2"/>
      <c r="L198" s="2"/>
      <c r="M198" s="2"/>
      <c r="N198" s="2"/>
      <c r="O198" s="2"/>
    </row>
    <row r="199" spans="1:15" ht="18.75">
      <c r="A199" s="520"/>
      <c r="B199" s="520"/>
      <c r="C199" s="520"/>
      <c r="D199" s="467"/>
      <c r="E199" s="68"/>
      <c r="F199" s="68"/>
      <c r="G199" s="68"/>
      <c r="H199" s="68"/>
      <c r="I199" s="2"/>
      <c r="J199" s="2"/>
      <c r="K199" s="2"/>
      <c r="L199" s="2"/>
      <c r="M199" s="2"/>
      <c r="N199" s="2"/>
      <c r="O199" s="2"/>
    </row>
    <row r="200" spans="1:15" ht="18.75">
      <c r="A200" s="520"/>
      <c r="B200" s="520"/>
      <c r="C200" s="520"/>
      <c r="D200" s="467"/>
      <c r="E200" s="68"/>
      <c r="F200" s="68"/>
      <c r="G200" s="68"/>
      <c r="H200" s="68"/>
      <c r="I200" s="2"/>
      <c r="J200" s="2"/>
      <c r="K200" s="2"/>
      <c r="L200" s="2"/>
      <c r="M200" s="2"/>
      <c r="N200" s="2"/>
      <c r="O200" s="2"/>
    </row>
    <row r="201" spans="1:15" ht="18.75">
      <c r="A201" s="520"/>
      <c r="B201" s="520"/>
      <c r="C201" s="520"/>
      <c r="D201" s="467"/>
      <c r="E201" s="68"/>
      <c r="F201" s="68"/>
      <c r="G201" s="68"/>
      <c r="H201" s="68"/>
      <c r="I201" s="2"/>
      <c r="J201" s="2"/>
      <c r="K201" s="2"/>
      <c r="L201" s="2"/>
      <c r="M201" s="2"/>
      <c r="N201" s="2"/>
      <c r="O201" s="2"/>
    </row>
    <row r="202" spans="1:15" ht="18.75">
      <c r="A202" s="520"/>
      <c r="B202" s="520"/>
      <c r="C202" s="520"/>
      <c r="D202" s="467"/>
      <c r="E202" s="68"/>
      <c r="F202" s="68"/>
      <c r="G202" s="68"/>
      <c r="H202" s="68"/>
      <c r="I202" s="2"/>
      <c r="J202" s="2"/>
      <c r="K202" s="2"/>
      <c r="L202" s="2"/>
      <c r="M202" s="2"/>
      <c r="N202" s="2"/>
      <c r="O202" s="2"/>
    </row>
    <row r="203" spans="1:15" ht="18.75">
      <c r="A203" s="520"/>
      <c r="B203" s="520"/>
      <c r="C203" s="520"/>
      <c r="D203" s="467"/>
      <c r="E203" s="68"/>
      <c r="F203" s="68"/>
      <c r="G203" s="68"/>
      <c r="H203" s="68"/>
      <c r="I203" s="2"/>
      <c r="J203" s="2"/>
      <c r="K203" s="2"/>
      <c r="L203" s="2"/>
      <c r="M203" s="2"/>
      <c r="N203" s="2"/>
      <c r="O203" s="2"/>
    </row>
    <row r="204" spans="5:6" ht="18.75">
      <c r="E204" s="28"/>
      <c r="F204" s="28"/>
    </row>
    <row r="205" spans="5:6" ht="18.75">
      <c r="E205" s="28"/>
      <c r="F205" s="28"/>
    </row>
    <row r="206" spans="5:6" ht="18.75">
      <c r="E206" s="28"/>
      <c r="F206" s="28"/>
    </row>
    <row r="207" spans="5:6" ht="18.75">
      <c r="E207" s="28"/>
      <c r="F207" s="28"/>
    </row>
    <row r="208" spans="5:6" ht="18.75">
      <c r="E208" s="28"/>
      <c r="F208" s="28"/>
    </row>
    <row r="209" spans="5:6" ht="18.75">
      <c r="E209" s="28"/>
      <c r="F209" s="28"/>
    </row>
    <row r="210" spans="5:6" ht="18.75">
      <c r="E210" s="28"/>
      <c r="F210" s="28"/>
    </row>
    <row r="211" spans="5:6" ht="18.75">
      <c r="E211" s="28"/>
      <c r="F211" s="28"/>
    </row>
    <row r="212" spans="5:6" ht="18.75">
      <c r="E212" s="28"/>
      <c r="F212" s="28"/>
    </row>
    <row r="213" spans="5:6" ht="18.75">
      <c r="E213" s="28"/>
      <c r="F213" s="28"/>
    </row>
    <row r="214" spans="5:6" ht="18.75">
      <c r="E214" s="28"/>
      <c r="F214" s="28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UM Konin</cp:lastModifiedBy>
  <cp:lastPrinted>2013-11-19T13:19:32Z</cp:lastPrinted>
  <dcterms:created xsi:type="dcterms:W3CDTF">2009-03-04T08:33:11Z</dcterms:created>
  <dcterms:modified xsi:type="dcterms:W3CDTF">2013-11-19T13:30:47Z</dcterms:modified>
  <cp:category/>
  <cp:version/>
  <cp:contentType/>
  <cp:contentStatus/>
</cp:coreProperties>
</file>