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firstSheet="1" activeTab="2"/>
  </bookViews>
  <sheets>
    <sheet name="Arkusz2" sheetId="1" r:id="rId1"/>
    <sheet name="Arkusz3" sheetId="2" r:id="rId2"/>
    <sheet name="Uch.nr  RM nr z 18.12.2013." sheetId="3" r:id="rId3"/>
    <sheet name="zał. nr 1" sheetId="4" r:id="rId4"/>
    <sheet name="Zał. nr 2" sheetId="5" r:id="rId5"/>
    <sheet name="Zał. nr 3" sheetId="6" r:id="rId6"/>
    <sheet name="zał. nr 4" sheetId="7" r:id="rId7"/>
    <sheet name="Arkusz1" sheetId="8" r:id="rId8"/>
    <sheet name="Wolny" sheetId="9" r:id="rId9"/>
  </sheets>
  <definedNames>
    <definedName name="_xlnm.Print_Titles" localSheetId="3">'zał. nr 1'!$10:$12</definedName>
    <definedName name="_xlnm.Print_Titles" localSheetId="4">'Zał. nr 2'!$12:$13</definedName>
    <definedName name="_xlnm.Print_Titles" localSheetId="5">'Zał. nr 3'!$12:$12</definedName>
    <definedName name="_xlnm.Print_Titles" localSheetId="6">'zał. nr 4'!$13:$13</definedName>
  </definedNames>
  <calcPr fullCalcOnLoad="1"/>
</workbook>
</file>

<file path=xl/sharedStrings.xml><?xml version="1.0" encoding="utf-8"?>
<sst xmlns="http://schemas.openxmlformats.org/spreadsheetml/2006/main" count="1439" uniqueCount="855">
  <si>
    <t xml:space="preserve">zakupu oprogramowania wraz z licencją </t>
  </si>
  <si>
    <t>place zabaw</t>
  </si>
  <si>
    <t>hangar plus wyposażenie</t>
  </si>
  <si>
    <t>Zakup laptopa dla Przedszkola nr 10</t>
  </si>
  <si>
    <t>Zakup wyposażenia placu zabaw dla Przedszkola nr 10</t>
  </si>
  <si>
    <t>zakup laptopa</t>
  </si>
  <si>
    <t xml:space="preserve">zakup wyposażenia placu zabaw </t>
  </si>
  <si>
    <t>80130</t>
  </si>
  <si>
    <t>0750</t>
  </si>
  <si>
    <t>4210</t>
  </si>
  <si>
    <t>854</t>
  </si>
  <si>
    <t>programów i projektów funduszy strukturalnych</t>
  </si>
  <si>
    <t xml:space="preserve">         2) dochody powiatu ogółem                                                                                  </t>
  </si>
  <si>
    <r>
      <t>­</t>
    </r>
    <r>
      <rPr>
        <i/>
        <sz val="11"/>
        <rFont val="Times New Roman"/>
        <family val="1"/>
      </rPr>
      <t xml:space="preserve"> kwotę wydatków na programy finansowane z udziałem środków</t>
    </r>
  </si>
  <si>
    <t>o których mowa w art. 5 ust. 1 pkt 2 i 3 ufp w części związanej</t>
  </si>
  <si>
    <t>z realizacją zadań jst</t>
  </si>
  <si>
    <t>Projekt pt. "Objazd Europy z Jules Varnes i naszymi przyjaciółmi partnerami"</t>
  </si>
  <si>
    <t>3. W Załączniku Nr 1 do uchwały budżetowej dokonuje się następujących zmian:</t>
  </si>
  <si>
    <t>Założenie systemu sygnalizacji włamania w Przedszkolu nr 25 BAJKA</t>
  </si>
  <si>
    <t>założenie systemu sygnalizacji włamania</t>
  </si>
  <si>
    <t>przebudowa ulic wraz z oświetleniem i odwodnieniem</t>
  </si>
  <si>
    <t>WI</t>
  </si>
  <si>
    <t>2012/2013</t>
  </si>
  <si>
    <t>Budowa ulic na osiedlu Chorzeń (Tulipanowa i Krokusowa)</t>
  </si>
  <si>
    <t>budowa ulic wraz z oświetleniem i odwodnieniem</t>
  </si>
  <si>
    <t>Przebudowa ulicy Jana Matejki w Koninie</t>
  </si>
  <si>
    <t>przebudowa ulicy wraz z oświetleniem i odwodnieniem</t>
  </si>
  <si>
    <t>Przebudowa ulicy Stodolnianej w Koninie</t>
  </si>
  <si>
    <t>2012/2014</t>
  </si>
  <si>
    <t>Budowa chodnika przy ul. Nowiny w kierunku cmentarza parafialnego</t>
  </si>
  <si>
    <t>budowa chodnika wraz z odwodnieniem i oświetleniem</t>
  </si>
  <si>
    <t xml:space="preserve">Budowa przedłużenia ul. Makowej od Al. Astrów do torów kolejowych   </t>
  </si>
  <si>
    <t>wykonanie dokumentacji projektowej wraz z etapem przygotowania do realizacji</t>
  </si>
  <si>
    <t>Wykonanie monitoringu CCTV w budynkach Żłobka Miejskiego przy ul. Sosnowej 6 oraz przy ul. Staszica 17</t>
  </si>
  <si>
    <t>Wykonanie monitoringu CCTV</t>
  </si>
  <si>
    <t>Żłobki</t>
  </si>
  <si>
    <t xml:space="preserve">Opracowanie dokumentacji projektowo – kosztorysowej na przebudowę  ulicy Południowej w Koninie
</t>
  </si>
  <si>
    <t>Opracowanie dokumentacji projektowo-kosztorysowej na budowę ulicy Wierzbowej (od ul. Europejskiej w kierunku wschodnim)</t>
  </si>
  <si>
    <t>wykonanie dokumentacji projektowo-kosztorysowej</t>
  </si>
  <si>
    <t>Budowa i przebudowa ulicy Kapitańskiej w Koninie</t>
  </si>
  <si>
    <t>budowa i przebudowa ulicy wraz z oświetleniem i odwodnieniem</t>
  </si>
  <si>
    <t>Rozbudowa skrzyżowania ulic Stanisława Staszica, Romana Dmowskiego i Tadeusza Kościuszki na skrzyżowanie typu "rondo" w Koninie</t>
  </si>
  <si>
    <t>budowa ronda na skrzyżowaniu ulic, oświetlenie ronda, kanalizacja deszczowa</t>
  </si>
  <si>
    <t>Budowa parkingu przy ul. Sadowej 9</t>
  </si>
  <si>
    <t>opracowanie dokumentacji projektowo-kosztorysowej, realizacja zadania</t>
  </si>
  <si>
    <t>DR</t>
  </si>
  <si>
    <t>Budowa ulicy Drewnowskiego i ulicy Godlewskiego</t>
  </si>
  <si>
    <t>budowa ulicy wraz z odwodnieniem i oświetleniem</t>
  </si>
  <si>
    <t>Opracowanie dokumentacji projektowo- kosztorysowej  kładki nad Kanałem Ulgi</t>
  </si>
  <si>
    <t xml:space="preserve">opracowanie dokumentacji projektowo-kosztorysowej, </t>
  </si>
  <si>
    <t>Opracowanie dokumentacji  projektowo –  kosztorysowej na budowę ulicy Brunatnej w Koninie - etap I</t>
  </si>
  <si>
    <t>Dostawa i montaż parkomatów na terenie miasta Konina</t>
  </si>
  <si>
    <t>dostawa i montaż 7 szt. parkomatów</t>
  </si>
  <si>
    <t>Gospodarka mieszkaniowa</t>
  </si>
  <si>
    <t>Gospodarka gruntami i nieruchomościami</t>
  </si>
  <si>
    <t>Nabycie nieruchomości gruntowych</t>
  </si>
  <si>
    <t>GN/GM</t>
  </si>
  <si>
    <t>2012-2016</t>
  </si>
  <si>
    <t>Pozostała działalność</t>
  </si>
  <si>
    <t>Modernizacja wewnętrznej instalacji elektrycznej w budynkach przy ul. Kanałowej 6, 7, 11</t>
  </si>
  <si>
    <t>opracowanie dokumentacji i realizacja</t>
  </si>
  <si>
    <t>Administracja publiczna</t>
  </si>
  <si>
    <t>Urzędy gmin (miast i miast na prawach powiatu)</t>
  </si>
  <si>
    <t>Doposażenie techniczne Urzędu</t>
  </si>
  <si>
    <t xml:space="preserve">zakup drukarek, komputerów, MS Office MOLP, zakup rzutnika i laptopa </t>
  </si>
  <si>
    <t>IN</t>
  </si>
  <si>
    <t>Adaptacja budynku przy ul. Benesza 1 w Koninie  na cele administracyjne</t>
  </si>
  <si>
    <t xml:space="preserve">adaptacja istniejącego budynku na cele administracji  </t>
  </si>
  <si>
    <t>2012-2014</t>
  </si>
  <si>
    <t>Adaptacja budynku przy ul. 3 Maja 1 i 3 na Centrum Organizacji Pozarządowych</t>
  </si>
  <si>
    <t>adaptacja istniejącego budynku na potrzeby COP</t>
  </si>
  <si>
    <t>Bezpieczeństwo publiczne i ochrona przeciwpożarowa</t>
  </si>
  <si>
    <t>Ochotnicze Straże Pożarne</t>
  </si>
  <si>
    <t xml:space="preserve">Zakupy inwestycyjne </t>
  </si>
  <si>
    <t>zakup motopompy Niagara  dla OSP Cukrownia</t>
  </si>
  <si>
    <t>WZ</t>
  </si>
  <si>
    <t>Obrona cywilna</t>
  </si>
  <si>
    <t>zakup i montaż 1 elektronicznej syreny alarmowej tubowej wraz z osprzętem (montaż 1 punktu alarmowego)</t>
  </si>
  <si>
    <t>Rezerwa celowa na inwestycje i zakupy inwestycyjne</t>
  </si>
  <si>
    <t>Oświata i wychowanie</t>
  </si>
  <si>
    <t>Szkoły podstawowe</t>
  </si>
  <si>
    <t>Budowa placu zabaw w ramach programu rządowego "Radosna Szkoła" przy Szkole Podstawowej Nr 1</t>
  </si>
  <si>
    <t>budowa dużego placu zabaw</t>
  </si>
  <si>
    <t xml:space="preserve">Opracowanie koncepcji i studium wykonalności na budowę sali gimnastycznej przy SP nr 1
</t>
  </si>
  <si>
    <t xml:space="preserve">koncepcja i studium wykonalności </t>
  </si>
  <si>
    <t xml:space="preserve">zakup kserokopiarki </t>
  </si>
  <si>
    <t>Przedszkola</t>
  </si>
  <si>
    <t>Modernizacja i rozbudowa budynku przy ul. Kamiennej 28 w Koninie</t>
  </si>
  <si>
    <t>adaptacja budynku na potrzeby punktu przedszkolnego i świetlicy</t>
  </si>
  <si>
    <t>Modernizacja placu zabaw Przedszkola nr 31</t>
  </si>
  <si>
    <t>modernizacja placu zabaw</t>
  </si>
  <si>
    <t>P nr 31/WO</t>
  </si>
  <si>
    <t>80104</t>
  </si>
  <si>
    <t xml:space="preserve">założenie monitoringu wizyjnego </t>
  </si>
  <si>
    <t>P nr 25/WO</t>
  </si>
  <si>
    <t>Założenie monitoringu wizyjnego przy Przedszkolu Nr 31</t>
  </si>
  <si>
    <t>Termomodernizacja budynku Przedszkola nr 10</t>
  </si>
  <si>
    <t>docieplenie ścian</t>
  </si>
  <si>
    <t>P nr 10/WO</t>
  </si>
  <si>
    <t>Budowa parkingu przy Przedszkolu nr 7 w Koninie</t>
  </si>
  <si>
    <t>budowa parkingu</t>
  </si>
  <si>
    <t>Zakup obieraczki do ziemniaków dla Przedszkola Nr 4</t>
  </si>
  <si>
    <t xml:space="preserve">zakup obieraczki do ziemniaków </t>
  </si>
  <si>
    <t>P nr 4/WO</t>
  </si>
  <si>
    <t>Gimnazja</t>
  </si>
  <si>
    <t>Zakup kserokopiarki dla Gimnazjum Nr 2</t>
  </si>
  <si>
    <t>G nr 2/WO</t>
  </si>
  <si>
    <t>Zakup oprogramowania GEO-INFO Sigma</t>
  </si>
  <si>
    <t>zakup oprogramowania</t>
  </si>
  <si>
    <t>Szkoły zawodowe</t>
  </si>
  <si>
    <t>Modernizacja układu grzewczego w kotłowni budynku ZS im. M. Kopernika w Koninie przy ul. Żeglarskiej 9</t>
  </si>
  <si>
    <t>ZS im. Kopernika</t>
  </si>
  <si>
    <t>modernizacja układu grzewczego</t>
  </si>
  <si>
    <t>Stołówki szkolne i przedszkolne</t>
  </si>
  <si>
    <t>Zakup kotła warzelnego dla SP-15</t>
  </si>
  <si>
    <t xml:space="preserve">zakup kotła warzelnego </t>
  </si>
  <si>
    <t>SP nr 15/WO</t>
  </si>
  <si>
    <t>Zarządzanie energią w budynkach użyteczności publicznej w Koninie</t>
  </si>
  <si>
    <t xml:space="preserve">wymiana oświetlenia na energooszczędne </t>
  </si>
  <si>
    <t>Ochrona zdrowia</t>
  </si>
  <si>
    <t>Izby wytrzeźwień</t>
  </si>
  <si>
    <t>Zakup sprzętu medycznego</t>
  </si>
  <si>
    <t>zakup sprzętu medycznego</t>
  </si>
  <si>
    <t>ODPOzPAiP</t>
  </si>
  <si>
    <t>Pozostałe zadania w zakresie polityki społecznej</t>
  </si>
  <si>
    <t xml:space="preserve">Pozostała działalność </t>
  </si>
  <si>
    <t>Zakup sprzętu do zabaw ruchowych na plac zabaw dla Przedszkola nr 32</t>
  </si>
  <si>
    <t>sprzęt do zabaw ruchowych</t>
  </si>
  <si>
    <t>P nr 32/WO</t>
  </si>
  <si>
    <t>Zakup sprzętu do Sali Doświadczania Świata dla Przedszkola nr 32</t>
  </si>
  <si>
    <t xml:space="preserve"> sprzęt do Sali Doświadczania Świata</t>
  </si>
  <si>
    <t xml:space="preserve">Opracowanie dokumentacji projektowej na budowę instalacji centralnego ogrzewania i ciepłej wody na osiedlu donków komunalnych przy ul. M. Dąbrowskiej w Koninie </t>
  </si>
  <si>
    <t>Jesteś przedsiębiorczy! Zacznij działać już dziś w  Koninie - w ramach programu POKL (dotacja celowa)</t>
  </si>
  <si>
    <t>przekazanie dotacji inwestycyjnej na założenie działalności gospodarczej zgodnie z biznesplanem m.in. na zakup sprzętu komputerowego i oprogramowania, maszyn i urządzeń lub remont pomieszczeń</t>
  </si>
  <si>
    <t>DG</t>
  </si>
  <si>
    <t>Jesteś przedsiębiorczy! Zacznij działać już dziś w  Koninie  - w ramach programu POKL (dotacja celowa)</t>
  </si>
  <si>
    <t>Dobry pomysł na firmę - wspomagamy przedsiębiorczość w Koninie - w ramach programu POKL (dotacja celowa)</t>
  </si>
  <si>
    <t>rozwój przedsiębiorczości w mieście Koninie oraz poprawa sytuacji na rynku pracy -wsparcie 47 os. które rozpoczęły działalność gospodarczą</t>
  </si>
  <si>
    <t>Gospodarka komunalna i ochrona środowiska</t>
  </si>
  <si>
    <t>Gospodarka odpadami</t>
  </si>
  <si>
    <t xml:space="preserve">Usuwanie wyrobów zawierających azbest z nieruchomości położonych na terenie miasta Konina </t>
  </si>
  <si>
    <t xml:space="preserve">usuwanie wyrobów zawierających azbest </t>
  </si>
  <si>
    <t>OŚ</t>
  </si>
  <si>
    <t>Oświetlenie ulic, placów i dróg</t>
  </si>
  <si>
    <t xml:space="preserve">Budowa sygnalizacji świetlnej na skrzyżowaniu ul. Przemysłowej i ul. Gosławickiej  wraz z doświetleniem przejść dla pieszych
</t>
  </si>
  <si>
    <t xml:space="preserve">sygnalizacja świetlna oraz doświetlenie 3 przejść dla pieszych  – rejon ul. Gosławickiej,  ul. Jędrzejewskiego, przy wjeździe do ZE PAK
</t>
  </si>
  <si>
    <t xml:space="preserve">Budowa  sygnalizacji świetlnej na skrzyżowaniu ulic Zagórowska - Pułaskiego  - Marii  Dąbrowskiej
</t>
  </si>
  <si>
    <t>sygnalizacja świetlna</t>
  </si>
  <si>
    <t>Doświetlenie przejść dla pieszych w Koninie</t>
  </si>
  <si>
    <t xml:space="preserve">11 kwietnia 2013 r.; Nr 559  Rady Miasta Konina z dnia 24 kwietnia 2013 r.; Nr 46/2013 Prezydenta Miasta Konina </t>
  </si>
  <si>
    <t xml:space="preserve">z dnia 24 maja 2013 r.; Nr 574 Rady Miasta Konina z dnia 29 maja 2013 r.; Nr 67/2013 Prezydenta Miasta Konina </t>
  </si>
  <si>
    <t xml:space="preserve">z dnia 14 czerwca 2013 r.; Nr 592 Rady Miasta Konina z dnia 26 czerwca 2013 r.; Nr 75/2013 Prezydenta Miasta </t>
  </si>
  <si>
    <t>4270</t>
  </si>
  <si>
    <t>Budowa przyłącza światłowodowego do sterownika sygnalizacji świetlnej na skrzyżowaniu ul. Kard. S. Wyszyńskiego i ul. Przyjaźni w Koninie</t>
  </si>
  <si>
    <t xml:space="preserve">aktualizacja dokumentacji projektowej- zmiana nazwy dokumentacji i uzupelnienie podziałów geodezyjnych gruntów </t>
  </si>
  <si>
    <t>zakup zmywarki</t>
  </si>
  <si>
    <t>budowa kanalizacji</t>
  </si>
  <si>
    <t>Przebudowa skrzyżowania ulicy Warszawskiej z ulicą Kolską w Koninie</t>
  </si>
  <si>
    <t>Budowa instalacji centralnego ogrzewania i ciepłej wody w budynku przy ul. M. Dąbrowskiej 50 w Koninie</t>
  </si>
  <si>
    <t>Wykonanie instalacji monitoringu widowni i hali sportowej w obiekcie sportowo-rekreacyjnym "Rondo" w Koninie</t>
  </si>
  <si>
    <t xml:space="preserve">wykonanie instalacji monitoringu widowni i hali sportowej </t>
  </si>
  <si>
    <t>budowa instalacji centralnego ogrzewania i ciepłej wody</t>
  </si>
  <si>
    <t>budowa chodnika</t>
  </si>
  <si>
    <t>zmiany w dokumentacji</t>
  </si>
  <si>
    <t>wykonanie monitoringu</t>
  </si>
  <si>
    <t>4010</t>
  </si>
  <si>
    <t>aktualizacja dokumentacji projektowej ;  zlecenie oceny przydatności do dalszego wykorzystania instniejącej dokumentacji oraz opracowanie  przedmiotu zamówienia dla  przeprojektowania istniejacej dokumentacji projektowo-kosztorysowej na II etap nowego przebiegu drogi krajowej nr 25 w Koninie</t>
  </si>
  <si>
    <t>WI/DR</t>
  </si>
  <si>
    <t xml:space="preserve">zakup i montaż dźwigów  osobowych </t>
  </si>
  <si>
    <t>instalacja klimatyzacji</t>
  </si>
  <si>
    <t>budowa sieci kanalizacji sanitarnej i wodociągu</t>
  </si>
  <si>
    <t xml:space="preserve">          w tym:</t>
  </si>
  <si>
    <t xml:space="preserve">budowa sieci kanalizacji sanitarnej </t>
  </si>
  <si>
    <t>budowa  wodociągu</t>
  </si>
  <si>
    <t>Wykonanie klimatyzacji pomieszczenia Strefy K oraz modernizacja central klimatyzacyjnych sali widowiskowej</t>
  </si>
  <si>
    <t>wykonanie klimatyzacji  oraz modernizacja central klimatyzacyjnych</t>
  </si>
  <si>
    <t>samochód dostawczy</t>
  </si>
  <si>
    <t>przebudowa parkingu</t>
  </si>
  <si>
    <t xml:space="preserve">wykonanie  miejsca do ważenia pojazdów </t>
  </si>
  <si>
    <t>2013/1\2014</t>
  </si>
  <si>
    <t>Zakup  fotoradaru dla potrzeb Straży Miejskiej w Koninie</t>
  </si>
  <si>
    <t>MOPR</t>
  </si>
  <si>
    <t xml:space="preserve"> - kwotę środków i dotacji na realizację zadań w ramach</t>
  </si>
  <si>
    <t>Zakup serwera dla MOPR w Koninie</t>
  </si>
  <si>
    <t>Ośrodki pomocy społecznej</t>
  </si>
  <si>
    <t xml:space="preserve">                                     UCHWAŁA  NR   </t>
  </si>
  <si>
    <t>Wyszczególnienie</t>
  </si>
  <si>
    <t>3117</t>
  </si>
  <si>
    <t>3119</t>
  </si>
  <si>
    <t>4287</t>
  </si>
  <si>
    <t>4289</t>
  </si>
  <si>
    <t>4437</t>
  </si>
  <si>
    <t>4439</t>
  </si>
  <si>
    <t>serwer</t>
  </si>
  <si>
    <t>756</t>
  </si>
  <si>
    <t>75615</t>
  </si>
  <si>
    <t>0310</t>
  </si>
  <si>
    <t>0340</t>
  </si>
  <si>
    <t>0500</t>
  </si>
  <si>
    <t>75616</t>
  </si>
  <si>
    <t>75621</t>
  </si>
  <si>
    <t>0020</t>
  </si>
  <si>
    <t xml:space="preserve">do Uchwały </t>
  </si>
  <si>
    <t>z dnia  18 grudnia 2013 roku</t>
  </si>
  <si>
    <t>ZAŁĄCZNIK nr 2</t>
  </si>
  <si>
    <t>dz.852 rozdz.85219 § 6050 zwiększa się o kwotę</t>
  </si>
  <si>
    <t>Modernizacja sieci komputerowej MOPR w Koninie</t>
  </si>
  <si>
    <t>modernizacja sieci komputerowej</t>
  </si>
  <si>
    <t>Dotacja celowa dla WSZ w Koninie na zakup przenośnego echokardiografu dla potrzeb Oddziału Intensywnego Nadzoru  Kardiologicznego</t>
  </si>
  <si>
    <t xml:space="preserve">pkt 1)  kwotę rezerwy ogólnej </t>
  </si>
  <si>
    <t>Zakup zmywarki z funkcją wyparzania dla Przedszkola nr 31 w Koninie</t>
  </si>
  <si>
    <t xml:space="preserve">pkt 2)  kwotę rezerwy celowej oświatowej </t>
  </si>
  <si>
    <t>b) kwotę części powiatowej</t>
  </si>
  <si>
    <t>Zakup pierwszego wyposażenia dla nowoutworzonego oddziału przedszkolnego przy Przedszkolu nr 1  na osiedlu Wilków</t>
  </si>
  <si>
    <t xml:space="preserve">Nr 645 Rady Miasta Konina z dnia 30 października 2013 r.; Nr  126/2013 Prezydenta Miasta Konina z dnia </t>
  </si>
  <si>
    <t>6 listopada 2013 r.; Nr  128/2013 Prezydenta Miasta Konina z dnia  14 listopada 2013 r.;</t>
  </si>
  <si>
    <t>Aktualizacja  dokumentacji projektowej na „Przebudowę mostu im. Józefa Piłsudskiego w  Koninie"</t>
  </si>
  <si>
    <t>zabezpieczenie</t>
  </si>
  <si>
    <t>opracowanie dokumentacji projektowej i budowa przyłącza</t>
  </si>
  <si>
    <t>Dofinansowanie zakupu   radiowozów dla KMP w Koninie</t>
  </si>
  <si>
    <t>zakup   radiowozów</t>
  </si>
  <si>
    <t xml:space="preserve">wykonanie sterowania wyjazdową sygnalizacją świetlną </t>
  </si>
  <si>
    <t>Budowa ulicy na os. Zemełki oznaczonej w planie symbolem KL-2  wraz z dwoma sięgaczami KD</t>
  </si>
  <si>
    <t>SP nr 8/WO</t>
  </si>
  <si>
    <t xml:space="preserve"> z dnia 30 stycznia 2013 r. Nr 13/2013 Prezydenta Miasta Konina z dnia 7 lutego 2013 r.; Nr 14/2013 Prezydenta</t>
  </si>
  <si>
    <t>Miasta Konina z dnia  15 lutego 2013 r.; Nr 522 Rady Miasta Konina z dnia 27 lutego 2013 r.; Nr 22/2013</t>
  </si>
  <si>
    <t>Nr 540 Rady Miasta Konina z dnia 27 marca 2013 r.;  Nr 40/2013 Prezydenta Miasta Konina z dnia</t>
  </si>
  <si>
    <t xml:space="preserve">z dnia  25 kwietnia 2013 r.;  Nr 49/2013 Prezydenta Miasta Konina z dnia 29 kwietnia 2013 r.;  </t>
  </si>
  <si>
    <t>Opracowanie dokumentacji projektowo-kosztorysowej ścieżki rowerowej wokół Wyspy Pociejewo</t>
  </si>
  <si>
    <t>a/ nabycie działek gruntu obrębach: Pawłówek, Przydziałki, Grójec, Łężyn, Nowy Dwór ;  b/ nabycie gruntów w związku z przebudową ulic: Europejskiej, Kolskiej, Warszawskiej                                                          c/ wykupy gruntów pod budowę przyszłych dróg na terenie całego miasta</t>
  </si>
  <si>
    <t>Zakup i zamontowanie windy dla uczniów niepełnosprawnych w  SP nr 15 w Koninie</t>
  </si>
  <si>
    <t>zakup i zamontowanie windy</t>
  </si>
  <si>
    <t>Modernizacja oświetlenia ulicznego miasta  Konina na energooszczędne</t>
  </si>
  <si>
    <t>2013/2015</t>
  </si>
  <si>
    <t>Adaptacja pomieszczeń budynku Klubu Energetyk na potrzeby Młodzieżowego Domu Kultury w Koninie</t>
  </si>
  <si>
    <t xml:space="preserve">adaptacja pomieszczeń budynku </t>
  </si>
  <si>
    <t>przebudowa chodnika</t>
  </si>
  <si>
    <t>Wniesienie wkładu pieniężnego na opracowanie dokumentacji projektowej na budowę kanalizacji sanitarnej os. Wilków V etap (ul. Topolowa, Jarzębinowa)</t>
  </si>
  <si>
    <t xml:space="preserve">ul. Przemysłowa (dawny 
Konwart); ul.Przemysłowa  - ul. Jeziorna; ul. Przemysłowa – Maliniec  (2 przejścia – rejon ul. Zapłocie i  ul. Malinieckiej); 
ul. Przemysłowa – Gaj; ul. Ślesińska - Cukrownia
</t>
  </si>
  <si>
    <t xml:space="preserve">Budowa oświetlenia ulicznego Al.. Cukrownicza, ul. Pałacowa, ul. 150-lecia, ul. Kortowa
</t>
  </si>
  <si>
    <t>oświetlenie uliczne</t>
  </si>
  <si>
    <t>Budowa kanalizacji deszczowej na terenie osiedla Pątnów  w Koninie</t>
  </si>
  <si>
    <t>dokumentacja projektowo-kosztorysowa</t>
  </si>
  <si>
    <t>Przygotowanie terenów inwestycyjnych w obrębie Konin - Międzylesie</t>
  </si>
  <si>
    <t>opracowanie studyjno-koncepcyjne, opracowanie dokumentacji projektowej</t>
  </si>
  <si>
    <t>2011/2013</t>
  </si>
  <si>
    <t>Budowa przyłączy kanalizacyjnych i przyłączenie nieruchomości do miejskiej sieci kanalizacyjnej</t>
  </si>
  <si>
    <t>przyłącza kanalizacyjne</t>
  </si>
  <si>
    <t>GK</t>
  </si>
  <si>
    <t xml:space="preserve">Kultura fizyczna </t>
  </si>
  <si>
    <t>Obiekty sportowe</t>
  </si>
  <si>
    <t>Wykonanie piłkochwytów przy boisku ORLIK 2012 przy Gimnazjum nr 3 na os. Chorzeń</t>
  </si>
  <si>
    <t>podwyższenie istniejących piłkochwytów</t>
  </si>
  <si>
    <t>Dokumentacja przyszłościowa na budowę boiska przy Gimnazjum                      nr 7 ul. Kard.Wyszyńskiego</t>
  </si>
  <si>
    <t>opracowanie dokumentacji projektowej</t>
  </si>
  <si>
    <t xml:space="preserve">Instytucje kultury fizycznej </t>
  </si>
  <si>
    <t>Wykonanie siłowni terenowej na osiedlu Zatorze</t>
  </si>
  <si>
    <t>siłownia terenowa</t>
  </si>
  <si>
    <t>MOSiR</t>
  </si>
  <si>
    <t>RAZEM POWIAT</t>
  </si>
  <si>
    <t>Drogi publiczne w miastach na prawach powiatu</t>
  </si>
  <si>
    <t>Przebudowa Wiaduktu Briańskiego wraz ze skrzyżowaniem ulic Kleczewska-Fryderyka Chopina</t>
  </si>
  <si>
    <t>przebudowa wiaduktu wraz ze skrzyżowaniem ulic oraz odwodnieniem i oświetleniem</t>
  </si>
  <si>
    <t>WI/GN</t>
  </si>
  <si>
    <t>Przebudowa ul. Żwirki i Wigury wraz z kanalizacją deszczową</t>
  </si>
  <si>
    <t>przebudowa ulicy wraz z kanalizacją deszczową</t>
  </si>
  <si>
    <t xml:space="preserve">Opracowanie dokumentacji projektowo-kosztorysowej na połączenie ul. I. Paderewskiego z ul. Kard. S. Wyszyńskiego
</t>
  </si>
  <si>
    <t>Budowa oświetlenia solarnego</t>
  </si>
  <si>
    <t>Rady  Miasta Konina</t>
  </si>
  <si>
    <t xml:space="preserve">Opracowanie dokumentacji projektowej na przebudowę parkingu przy ul.Kard. S. Wyszyńskiego
</t>
  </si>
  <si>
    <t>Aktualizacja dokumentacji projektowej na II etap nowego przebiegu drogi krajowej Nr 25</t>
  </si>
  <si>
    <t xml:space="preserve">aktualizacja dokumentacji projektowej </t>
  </si>
  <si>
    <t>Działalność usługowa</t>
  </si>
  <si>
    <t>Ośrodki dokumentacji geodezyjnej i kartograficznej</t>
  </si>
  <si>
    <t>Zakup sprzętu komputerowego i kserograficznego do obsługi państwowego zasobu geodezyjnego i kartograficznego</t>
  </si>
  <si>
    <t>zakup sprzętu komputerowego i kserograficznego</t>
  </si>
  <si>
    <t>GM</t>
  </si>
  <si>
    <t>Nadzór budowlany</t>
  </si>
  <si>
    <t>Zakup urządzenia biurowego wielofunkcyjnego dla PINB dla miasta Konina</t>
  </si>
  <si>
    <t>zakup urządzenia wielofunkcyjnego (drukarka, fax., skan, kserokopiarka)</t>
  </si>
  <si>
    <t>PINB</t>
  </si>
  <si>
    <t>Zakup zestawu komputerowego wraz z oprogramowaniem dla PINB dla miasta Konina</t>
  </si>
  <si>
    <t>zakup komputera stacjonarnego (komputer, monitor, mysz, klawiatura, oprogramowanie)</t>
  </si>
  <si>
    <t>Komendy powiatowe Państwowej Straży Pożarnej</t>
  </si>
  <si>
    <t>6050</t>
  </si>
  <si>
    <t>80140</t>
  </si>
  <si>
    <t>Przebudowa pomieszczeń garażowych budynku strażnicy wraz z modernizacją kanalizacji deszczowej oraz wymianą nawierzchni placu manewrowego JRG Nr 1 i Komendy Miejskiej Państwowej Straży Pożarnej w Koninie</t>
  </si>
  <si>
    <t>a/ kompleksowa modernizacja garaży,                                          b/ kompleksowa modernizacja łazienki w JRG Nr 1,                                                                   c/ modernizacja kanalizacji sanitarnej i deszczowej w garażach i placach manewrowych,                                                    d/ modernizacja nawierzchni placów manewrowych</t>
  </si>
  <si>
    <t>KMPSP</t>
  </si>
  <si>
    <t>Dokształcanie i doskonalenie nauczycieli</t>
  </si>
  <si>
    <t>Wymiana stolarki drzwiowej w głównym wejściu do Miejskiego Ośrodka Doskonalenia Nauczycieli w Koninie</t>
  </si>
  <si>
    <t xml:space="preserve">wymiana stolarki drzwiowej </t>
  </si>
  <si>
    <t>MODN/WO</t>
  </si>
  <si>
    <t>Pomoc społeczna</t>
  </si>
  <si>
    <t>Domy Pomocy Społecznej</t>
  </si>
  <si>
    <t>Zakup samochodu do przewozu osób niepełnosprawnych dla DPS w Koninie</t>
  </si>
  <si>
    <t xml:space="preserve">samochód do przewozu osób niepełnosprawnych </t>
  </si>
  <si>
    <t>DPS</t>
  </si>
  <si>
    <t>Rozbudowa boisk przy ZSGE                   ul. Kard. Wyszyńskiego 3  w Koninie</t>
  </si>
  <si>
    <t>opracowanie dokumentacji projektowej i wykonawstwo</t>
  </si>
  <si>
    <t>2013/2014</t>
  </si>
  <si>
    <t>Budowa instalacji wewnętrznych ciepłej wody i centralnego ogrzewania z węzłem cieplnym w budynku przy ul. Zofii Urbanowskiej 4</t>
  </si>
  <si>
    <t>zakupu i montażu zestawu pn. "System Aktiv Zestaw 11"</t>
  </si>
  <si>
    <t xml:space="preserve">Rewitalizacja Starówki - budowa budynków mieszkalnych wielorodzinnych pomiędzy ulicą  Wodną  i Grunwaldzką w Koninie </t>
  </si>
  <si>
    <t xml:space="preserve">budowa instalacji wewnętrznych ciepłej wody i centralnego ogrzewania z węzłem cieplnym </t>
  </si>
  <si>
    <t xml:space="preserve"> Wiesław  Steinke</t>
  </si>
  <si>
    <t xml:space="preserve">na 2013 rok:  Nr  4/2013 Prezydenta Miasta Konina z dnia 23 stycznia 2013 r.; Nr 513 Rady Miasta Konina </t>
  </si>
  <si>
    <t xml:space="preserve">miasta Konina na 2013 rok zmienionej zarządzeniami  i uchwałami w sprawie zmian w budżecie miasta Konina </t>
  </si>
  <si>
    <t>Budowa oświetlenia ul. Żwirki i Wigury w Koninie</t>
  </si>
  <si>
    <t>Przebudowa ulicy Romana Dmowskiego w Koninie</t>
  </si>
  <si>
    <t>4170</t>
  </si>
  <si>
    <t>4410</t>
  </si>
  <si>
    <t>4350</t>
  </si>
  <si>
    <t>4360</t>
  </si>
  <si>
    <t>4480</t>
  </si>
  <si>
    <t>4510</t>
  </si>
  <si>
    <t>2540</t>
  </si>
  <si>
    <t>2590</t>
  </si>
  <si>
    <t>85410</t>
  </si>
  <si>
    <t>80114</t>
  </si>
  <si>
    <t>851</t>
  </si>
  <si>
    <t>85156</t>
  </si>
  <si>
    <t>4130</t>
  </si>
  <si>
    <t xml:space="preserve">      PLAN DOTACJI DLA PODMIOTÓW NIE ZALICZANYCH DO SEKTORA FINANSÓW </t>
  </si>
  <si>
    <t>PUBLICZNYCH NA CELE PUBLICZNE ZWIĄZANE Z REALIZACJĄ ZADAŃ MIASTA  NA 2013 ROK</t>
  </si>
  <si>
    <t xml:space="preserve">Określenie zadań </t>
  </si>
  <si>
    <t>Plan na 2013 rok</t>
  </si>
  <si>
    <t>Razem zadania gminy</t>
  </si>
  <si>
    <t xml:space="preserve">Dotacje podmiotowe </t>
  </si>
  <si>
    <t xml:space="preserve">Centrum Szkoleniowe „WIEDZA” </t>
  </si>
  <si>
    <t xml:space="preserve">Gimnazjum Towarzystwa Salezjańskiego </t>
  </si>
  <si>
    <t>AP Edukacja Gimnazjum dla Dorosłych</t>
  </si>
  <si>
    <t xml:space="preserve">Przedszkole niepubliczne„Bajkolandia”  </t>
  </si>
  <si>
    <t>Przedszkole niepubliczne "Chatka -Puchatka"</t>
  </si>
  <si>
    <t xml:space="preserve">Punkt przedszkolny „Bajkowa Kraina”  </t>
  </si>
  <si>
    <t xml:space="preserve">Punkt przedszkolny „Misiowa Kraina”  </t>
  </si>
  <si>
    <t>Punkt przedszkolny "Mały Artysta"</t>
  </si>
  <si>
    <t>Punkt przedszkolny "Akademia Smyka"</t>
  </si>
  <si>
    <t>Dotacje celowe</t>
  </si>
  <si>
    <t>dotacja dla Ochotniczej Straży Pożarnej Konin – Starówka na zakup zestawu ratownictwa technicznego z agregatem hydraulicznym LUKAS GmbH, model P630 SG o mocy 2,2 KW</t>
  </si>
  <si>
    <t>prowadzenie Punktu Konsultacyjnego dla osób i rodzin dotkniętych problemem narkotykowym</t>
  </si>
  <si>
    <t>prowadzenie świetlic środowiskowych z dożywianiem</t>
  </si>
  <si>
    <t>realizacja programu zapobiegania i przeciwdziałania przemocy w rodzinie "Bezpieczeństwo w rodzinie" i "Dzieciństwo bez przemocy" w ramach Niebieskich Kart</t>
  </si>
  <si>
    <t>realizacja programu "Szkolna Interwencja Profilaktyczna"</t>
  </si>
  <si>
    <t>organizacja półkolonii letnich i zimowych z programem profilaktycznym, z dożywianiem i zajęciami sportowymi dla dzieci z rodzin dysfunkcyjnych</t>
  </si>
  <si>
    <t>organizacja kolonii socjoterapeutycznych dla dzieci i młodzieży z rodzin dysfunkcyjnych</t>
  </si>
  <si>
    <t>prowadzenie środowiskowych ognisk wychowawczych</t>
  </si>
  <si>
    <t>prowadzenie świetlic socjoterapeutycznych</t>
  </si>
  <si>
    <t>pomoc żywnościowa dla rodzin dysfunkcyjnych</t>
  </si>
  <si>
    <t>olimpiada wiedzy nt. uzależnień</t>
  </si>
  <si>
    <t>świadczenie usług opiekuńczych w domu podopiecznego na terenie miasta Konina</t>
  </si>
  <si>
    <t>prowadzenie noclegowni i schroniska dla bezdomnych</t>
  </si>
  <si>
    <t>prowadzenie Ośrodka Rehabilitacyjno-Edukacyjno-Wychowawczego i Punktu Rehabilitacyjnego w Koninie</t>
  </si>
  <si>
    <t>dotacja celowa dla prywatnych żłobków</t>
  </si>
  <si>
    <t>Wspieranie realizacji zadań organizacji pozarządowych</t>
  </si>
  <si>
    <t>"Jesteś przedsiębiorczy! Zacznij działać już dziś w Koninie "  w ramach programu POKL (dotacja celowa)</t>
  </si>
  <si>
    <t>"Dobry pomysł na firmę" wspomagamy przedsiębiorczość w Koninie - w ramach programu POKL (dotacja celowa)</t>
  </si>
  <si>
    <t xml:space="preserve">„PI  Wsparcie rozwoju narzędzi związanych z kontraktowaniem usług społecznych w Koninie” w ramach programu POKL (dotacja celowa)  </t>
  </si>
  <si>
    <t>Gospodarka komunalna                         i ochrona środowiska</t>
  </si>
  <si>
    <t>organizacja ochrony przed bezdomnymi zwierzętami art. 3 ust. 2 pkt 5 ustawy z dnia 13 września 1996 r. o utrzymaniu czystości i porządku w gminach oraz art. 11 a ustawy o ochronie zwierząt z dnia 16 września 2011 r.</t>
  </si>
  <si>
    <t xml:space="preserve">usuwanie wyrobów zawierających azbest z nieruchomości położonych na terenie miasta Konina </t>
  </si>
  <si>
    <t>budowa przyłączy kanalizacyjnych i przyłączenie nieruchomości do miejskiej sieci kanalizacyjnej</t>
  </si>
  <si>
    <t>remont kościoła ,  konserwacja ołtarzy bocznych  pw. św. Bartłomieja w Koninie</t>
  </si>
  <si>
    <t>renowacja  i konserwacja  ołtarza barokowego w kościele pw. św. Marii Magdaleny w Klasztorze oo. Franciszkanów w Koninie</t>
  </si>
  <si>
    <t>organizacja imprez kulturalnych dla mieszkańców m. Konina</t>
  </si>
  <si>
    <t xml:space="preserve">Kultura fizyczna  </t>
  </si>
  <si>
    <t>szkolenie uzdolnionych sportowo w: szermierce, kolarstwie, piłce nożnej kobiet, piłce nożnej mężczyzn, koszykówce, pięściarstwie, tenisie stołowym, szachach, tenisie ziemnym, piłce ręcznej, piłce siatkowej, judo, sportach szybowcowych i samolotowych i innych</t>
  </si>
  <si>
    <t>dofinansowanie szkolenia uzdolnionych sportowo   w piłce koszykowej kobiet (ekstarklasa)</t>
  </si>
  <si>
    <t>dofinansowanie szkolenia uzdolnionych sportowo   w piłce ręcznej mężczyzn (II liga)</t>
  </si>
  <si>
    <t>realizacja zadań o których mowa w § 6 pkt 1 Uchwały nr 226 Rady Miasta Konina z dnia 26 października 2011 roku</t>
  </si>
  <si>
    <t>organizacja imprez sportowo-rekreacyjnych dla mieszkańców Konina</t>
  </si>
  <si>
    <t>organizacja imprez sportowo-rekreacyjnych dla osób niepełnosprawnych</t>
  </si>
  <si>
    <t xml:space="preserve">Razem zadania powiatu </t>
  </si>
  <si>
    <t>Centrum Nauki i Biznesu „Żak</t>
  </si>
  <si>
    <t>Europejskie Centrum Kształcenia "PASCAL"</t>
  </si>
  <si>
    <t xml:space="preserve">Zespół Edukacji „WIEDZA”    </t>
  </si>
  <si>
    <t xml:space="preserve">Technikum Uzupełniające Michał Lewandowski  </t>
  </si>
  <si>
    <t>Zakład Doskonalenia Zawodowego Centrum Kształcenia</t>
  </si>
  <si>
    <t xml:space="preserve">COSINUS     </t>
  </si>
  <si>
    <t>Niepubliczne Policealne Studium Zawodowe Michał Lewandowski</t>
  </si>
  <si>
    <t xml:space="preserve">AP EDUKACJA            </t>
  </si>
  <si>
    <t>Cech Rzemiosł Różnych</t>
  </si>
  <si>
    <t xml:space="preserve">Elitarne Studium Służb Ochrony „DELTA”  </t>
  </si>
  <si>
    <t xml:space="preserve">  Liceum Ogólnokształcące w Konińskim Centrum Edukacyjnym</t>
  </si>
  <si>
    <t>Liceum Ogólnokształcące dla Dorosłych Michał Lewandowski</t>
  </si>
  <si>
    <t>prowadzenie warsztatów terapii zajęciowej, rehabilitacja zawodowa i społeczna</t>
  </si>
  <si>
    <t>Edukacyjna opieka wychowawcza</t>
  </si>
  <si>
    <t xml:space="preserve">Polskiego Stowarzyszenia na Rzecz Osób z Upośledzeniem Umysłowym </t>
  </si>
  <si>
    <t>promocja turystyczna miasta Konina oraz udzielanie o nim informacji turystycznej</t>
  </si>
  <si>
    <t>organizacja imprez turystycznych dla mieszkańców Konina</t>
  </si>
  <si>
    <t>prowadzenie placówki opiekuńczo - wychowawczej typu rodzinnego -  Rodzinny Dom Dziecka</t>
  </si>
  <si>
    <t>działalność na rzecz rozwoju gospodarczego wspierająca lokalny rynek pracy</t>
  </si>
  <si>
    <t>OGÓŁEM</t>
  </si>
  <si>
    <t>ZAŁĄCZNIK nr 3</t>
  </si>
  <si>
    <t xml:space="preserve">do Uchwały nr  </t>
  </si>
  <si>
    <t xml:space="preserve">        PLAN DOTACJI DLA PODMIOTÓW ZALICZANYCH DO SEKTORA FINANSÓW </t>
  </si>
  <si>
    <t xml:space="preserve">PUBLICZNYCH NA CELE PUBLICZNE ZWIĄZANE Z REALIZACJĄ ZADAŃ MIASTA  </t>
  </si>
  <si>
    <t xml:space="preserve">                                                             NA 2013 ROK</t>
  </si>
  <si>
    <t>Dotacje podmiotowe</t>
  </si>
  <si>
    <t>Koniński Dom Kultury</t>
  </si>
  <si>
    <t>Młodzieżowy Dom Kultury</t>
  </si>
  <si>
    <t>Dotacje przedmiotowe</t>
  </si>
  <si>
    <t>do kosztów utrzymania zbiorowej komunikacji miejskiej</t>
  </si>
  <si>
    <t>zakup monitoringu wewnętrznego do autobusów - MZK</t>
  </si>
  <si>
    <t>na realizację zadania pn. "Aglomeracja konińska -  współpraca JST kluczem do nowoczesnego rozwoju gospodarczego"</t>
  </si>
  <si>
    <t>Dotacja celowa dla WSZ w Koninie na zakup przenośnego echokardiografu dla potrzeb Oddziału Intensywnego Nadzoru i Kardiologicznego</t>
  </si>
  <si>
    <t>Gospodarka komunalna  i ochrona środowiska</t>
  </si>
  <si>
    <t xml:space="preserve">dotacja dla KDK na wykonanie klimatyzacji pomieszczenia Strefy K oraz modernizacja central klimatyzacyjnych sali widowiskowej
</t>
  </si>
  <si>
    <t>Miejska Biblioteka Publiczna</t>
  </si>
  <si>
    <t>koszty utrzymania dzieci  z miasta Konina umieszczonych w placówkach opiekuńczych na terenie kraju</t>
  </si>
  <si>
    <t>koszty utrzymania dzieci  z miasta Konina umieszczonych w rodzinach zastępczych na terenie kraju</t>
  </si>
  <si>
    <t>prowadzenie działalności Powiatowego Urzędu Pracy</t>
  </si>
  <si>
    <t>Załącznik nr 4</t>
  </si>
  <si>
    <t xml:space="preserve">z dnia  18 grudnia 2013 roku     </t>
  </si>
  <si>
    <t>do sektora finansów publicznych na cele publiczne związane z realizacją zadań miasta na 2013 rok"</t>
  </si>
  <si>
    <r>
      <t xml:space="preserve">otrzymuje brzmienie w treści   </t>
    </r>
    <r>
      <rPr>
        <b/>
        <sz val="13"/>
        <rFont val="Times New Roman"/>
        <family val="1"/>
      </rPr>
      <t xml:space="preserve">Załącznika nr 4 </t>
    </r>
    <r>
      <rPr>
        <sz val="13"/>
        <rFont val="Times New Roman"/>
        <family val="1"/>
      </rPr>
      <t>do niniejszej uchwały</t>
    </r>
  </si>
  <si>
    <r>
      <t xml:space="preserve">brzmienie w treści </t>
    </r>
    <r>
      <rPr>
        <b/>
        <sz val="13"/>
        <rFont val="Times New Roman"/>
        <family val="1"/>
      </rPr>
      <t>Załącznika nr 2</t>
    </r>
    <r>
      <rPr>
        <sz val="13"/>
        <rFont val="Times New Roman"/>
        <family val="1"/>
      </rPr>
      <t xml:space="preserve">  do niniejszej uchwały</t>
    </r>
  </si>
  <si>
    <r>
      <t xml:space="preserve">otrzymuje brzmienie w treści   </t>
    </r>
    <r>
      <rPr>
        <b/>
        <sz val="13"/>
        <rFont val="Times New Roman"/>
        <family val="1"/>
      </rPr>
      <t xml:space="preserve">Załącznika nr 3 </t>
    </r>
    <r>
      <rPr>
        <sz val="13"/>
        <rFont val="Times New Roman"/>
        <family val="1"/>
      </rPr>
      <t>do niniejszej uchwały</t>
    </r>
  </si>
  <si>
    <t>85158</t>
  </si>
  <si>
    <t>Zakup zmywarki z funkcją wyparzania dla Przedszkola nr 17 w Koninie</t>
  </si>
  <si>
    <t>P nr17/WO</t>
  </si>
  <si>
    <t>zakup wyposażenia</t>
  </si>
  <si>
    <t>Rozdzielenie instalacji c.o. w budynku ZS im. M. Kopernika w Koninie przy ul. Żeglarskiej 9</t>
  </si>
  <si>
    <t>W części dotyczącej zadań  powiatu</t>
  </si>
  <si>
    <t xml:space="preserve">                                     z dnia  18 grudnia   2013 roku</t>
  </si>
  <si>
    <t>dz.801 rozdz.80130 § 6050 zwiększa się o kwotę</t>
  </si>
  <si>
    <t xml:space="preserve">Rozdzielenie instalacji c.o. w budynku ZS im. M. Kopernika </t>
  </si>
  <si>
    <t xml:space="preserve"> w Koninie przy ul. Żeglarskiej 9</t>
  </si>
  <si>
    <t>4. W § 1 ust. 3</t>
  </si>
  <si>
    <t>5. W Załączniku Nr 2 do uchwały budżetowej dokonuje się następujących zmian:</t>
  </si>
  <si>
    <r>
      <t xml:space="preserve">7.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</si>
  <si>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t>8. Załącznik nr 5 do uchwały budżetowej obejmujący:</t>
  </si>
  <si>
    <r>
      <t xml:space="preserve">9. Załącznik nr 11 do uchwały budżetowej obejmujący  </t>
    </r>
    <r>
      <rPr>
        <i/>
        <sz val="13"/>
        <rFont val="Times New Roman"/>
        <family val="1"/>
      </rPr>
      <t>"Plan dotacji dla podmiotów nie zaliczanych</t>
    </r>
  </si>
  <si>
    <r>
      <t xml:space="preserve">10. Załącznik nr 12 do uchwały budżetowej obejmujący  </t>
    </r>
    <r>
      <rPr>
        <i/>
        <sz val="13"/>
        <rFont val="Times New Roman"/>
        <family val="1"/>
      </rPr>
      <t>"Plan dotacji dla podmiotów  zaliczanych</t>
    </r>
  </si>
  <si>
    <t>11. W § 4 do uchwały budżetowej dokonuje się następujących zmian:</t>
  </si>
  <si>
    <t>2310</t>
  </si>
  <si>
    <t xml:space="preserve">Oświata i wychowanie </t>
  </si>
  <si>
    <t>koszty utrzymania dzieci  z miasta Konina umieszczonych w  przedszklolu na terenie innej gminy</t>
  </si>
  <si>
    <t>Zmniejsza się plan wydatków o kwotę</t>
  </si>
  <si>
    <t>dz.801 rozdz.80101 § 6050 zmniejsza się o kwotę</t>
  </si>
  <si>
    <t xml:space="preserve">Budowa placu zabaw w ramach programu rządowego "Radosna Szkoła" </t>
  </si>
  <si>
    <t xml:space="preserve"> przy Szkole Podstawowej Nr 9</t>
  </si>
  <si>
    <t>rozdz.80101 § 6060 zwiększa się o kwotę</t>
  </si>
  <si>
    <t>rozdz.80104 § 6060 zwiększa się o kwotę</t>
  </si>
  <si>
    <t>dz.801 zwiększa się o kwotę</t>
  </si>
  <si>
    <t>Zakup maszyny czyszczącej do podłóg - SP nr 9</t>
  </si>
  <si>
    <t>przebudowa ulicy</t>
  </si>
  <si>
    <t>wymiana lamp</t>
  </si>
  <si>
    <t>801</t>
  </si>
  <si>
    <t>zakup i montaż lamp solarnych ul. Beznazwy, Jeziorko os.Zatorze i ul. Spacerowa</t>
  </si>
  <si>
    <t>Budowa oświetlenia na ul. Kanałowej w Koninie</t>
  </si>
  <si>
    <t>6. W Załączniku Nr 2 do uchwały budżetowej dokonuje się następujących zmian:</t>
  </si>
  <si>
    <r>
      <t xml:space="preserve">ze środków budżetowych miasta Konina na 2013 rok " </t>
    </r>
    <r>
      <rPr>
        <sz val="12"/>
        <rFont val="Times New Roman"/>
        <family val="1"/>
      </rPr>
      <t xml:space="preserve"> dokonuje się następujących zmian"</t>
    </r>
  </si>
  <si>
    <t>6060</t>
  </si>
  <si>
    <t>Opracowanie dokumentacji projektowej i budowa przyłącza do budynku przy ul. Andrzeja Benesza do sieci KoMAN</t>
  </si>
  <si>
    <t>Kultura i ochrona dziedzictwa narodowego</t>
  </si>
  <si>
    <t>Turystyka</t>
  </si>
  <si>
    <t>Wykonanie monitoringu na placu zabaw przy Szkole Podstawowej nr 1 w Koninie</t>
  </si>
  <si>
    <t>Zakup zmywarki dla SP nr 8 w Koninie</t>
  </si>
  <si>
    <t>budowa przyłącza</t>
  </si>
  <si>
    <t>Utrzymanie zieleni w miastach i gminach</t>
  </si>
  <si>
    <t xml:space="preserve">Nr  54/2013 Prezydenta Miasta Konina z dnia 16 maja 2013 r.; Nr  58/2013 Prezydenta Miasta Konina </t>
  </si>
  <si>
    <t>Lp.</t>
  </si>
  <si>
    <t xml:space="preserve">SPnr 1/WO </t>
  </si>
  <si>
    <t xml:space="preserve">SPnr 3/WO </t>
  </si>
  <si>
    <t xml:space="preserve">SPnr 12/WO </t>
  </si>
  <si>
    <t xml:space="preserve">Budowa ulic na osiedlu Przydziałki - etap II </t>
  </si>
  <si>
    <t>Opracowanie dokumentacji projektowo - kosztorysowej na budowę parkingu  przy ulicy Powstańców Styczniowych 1 -3 -5</t>
  </si>
  <si>
    <t>Przebudowa parkingu przy ul. Kard. S. Wyszyńskiego 19 i 21 w Koninie</t>
  </si>
  <si>
    <t>Wykonanie ( Wyznaczenie) miejsca do ważenia pojazdów na ulicy Hutniczej w Koninie</t>
  </si>
  <si>
    <t>Adaptację budynku Sądu Rejonowego w Koninie na cele administracyjne</t>
  </si>
  <si>
    <t>Wykonanie zabezpieczeń na  Bulwarze Nadwarciańskim w Koninie</t>
  </si>
  <si>
    <t>Opracowanie  dokumentacji projektowej ul. Laskówiecka w Koninie</t>
  </si>
  <si>
    <t>Cmentarze</t>
  </si>
  <si>
    <t>Opracowanie koncepcji  na rozbudowę cmentarza wraz z układem komunikacyjnym przy ul. Kolskiej w Koninie</t>
  </si>
  <si>
    <t>opracowanie koncepcji</t>
  </si>
  <si>
    <t>758</t>
  </si>
  <si>
    <t>75818</t>
  </si>
  <si>
    <t>4810</t>
  </si>
  <si>
    <t>" Limit wydatków bieżących na programy finansowane z udziałem środków, o których</t>
  </si>
  <si>
    <r>
      <t xml:space="preserve">mowa w art. 5 ust. 1 pkt 2 i 3 ustawy o finansach publicznych na 2013 rok" </t>
    </r>
    <r>
      <rPr>
        <sz val="13"/>
        <rFont val="Times New Roman"/>
        <family val="1"/>
      </rPr>
      <t xml:space="preserve">otrzymuje </t>
    </r>
  </si>
  <si>
    <t>cel: upowszechniania edukacji przedszkolnej na terenie miasta Konina i gminy Ślesin i Kramsk poprzez utworzenie nowego oddziału przedszkolnego dla dzieci z miasta Konina i gmin: Ślesin i Kramsk oraz  włączenie ich rodziców w proces edukacji w okresie od 01.01.2013r. do 30.06.2015r.</t>
  </si>
  <si>
    <t xml:space="preserve"> projekt Pt. "Słoneczny Świat Przedszkolaka"</t>
  </si>
  <si>
    <t>Zakup i montaż dźwigów  osobowych (platform)   w budynkach przy ul. Kosmonautów 10 i  ul. 11 Listopada 9</t>
  </si>
  <si>
    <t>75801</t>
  </si>
  <si>
    <t>2920</t>
  </si>
  <si>
    <t xml:space="preserve">do Uchwały nr    </t>
  </si>
  <si>
    <t>z dnia 18 grudnia 2013 roku</t>
  </si>
  <si>
    <t>85305</t>
  </si>
  <si>
    <t>tablica wyników; nagłościenie; klimatyzatory; urządzenia do aromatoterapii, defibrylator zewnętrzny</t>
  </si>
  <si>
    <t>Wniesienie wkładu pieniężnego na opracowanie dokumentacji na budowę kanalizacji sanitarnej osiedle Morzysław II etap i sieci wodociągowej w ulicy Staromorzysławskiej</t>
  </si>
  <si>
    <t>Wniesienie wkładu pieniężnego na budowę sieci kanalizacji sanitarnej i wodociągu w ulicy Rudzickiej</t>
  </si>
  <si>
    <t>Wniesienie wkładu pieniężnego na budowę wodociągu w ulicy Piaskowej, Borowej i Świerkowej</t>
  </si>
  <si>
    <t>rozdz.80104 § 4040</t>
  </si>
  <si>
    <t>P nr 1</t>
  </si>
  <si>
    <t>P nr 2</t>
  </si>
  <si>
    <t>P nr 5</t>
  </si>
  <si>
    <t>P nr 6</t>
  </si>
  <si>
    <t>P nr 7</t>
  </si>
  <si>
    <t>P nr 8</t>
  </si>
  <si>
    <t>P nr 10</t>
  </si>
  <si>
    <t>P nr 12</t>
  </si>
  <si>
    <t>P nr 13</t>
  </si>
  <si>
    <t>P nr 25</t>
  </si>
  <si>
    <t>P nr 31</t>
  </si>
  <si>
    <t>P nr 32</t>
  </si>
  <si>
    <t>SP nr 1</t>
  </si>
  <si>
    <t>SP nr 5</t>
  </si>
  <si>
    <t>SP nr 3</t>
  </si>
  <si>
    <t>SP nr 4</t>
  </si>
  <si>
    <t>SP nr 8</t>
  </si>
  <si>
    <t>SP nr 9</t>
  </si>
  <si>
    <t>SP nr 10</t>
  </si>
  <si>
    <t>SP nr 12</t>
  </si>
  <si>
    <t>rozdz.80101 § 4040</t>
  </si>
  <si>
    <t>rozdz.80148 § 4040</t>
  </si>
  <si>
    <t>rozdz.85401 § 4040</t>
  </si>
  <si>
    <t>rozdz.80103 § 4040</t>
  </si>
  <si>
    <t>rozdz.80110 § 4040</t>
  </si>
  <si>
    <t>G nr 1</t>
  </si>
  <si>
    <t>G nr 2</t>
  </si>
  <si>
    <t>G nr 4</t>
  </si>
  <si>
    <t>G nr 5</t>
  </si>
  <si>
    <t>G nr 6</t>
  </si>
  <si>
    <t>G nr 7</t>
  </si>
  <si>
    <t>80103</t>
  </si>
  <si>
    <t>80148</t>
  </si>
  <si>
    <t>Opracowanie dokumentacji projektowej na budowę toalet  przy Bulwarze Nadwarciańskim w Koninie</t>
  </si>
  <si>
    <t xml:space="preserve">Uzupełnienie urządzeń zabawowych na placu zabaw pomiędzy budynkami ul.   Wieniawskiego i Noskowskiego w Koninie
</t>
  </si>
  <si>
    <t>Wykonanie sterowania wyjazdową sygnalizacją świetlną w Komendzie Miejskiej Państwowej Straży Pożarnej w Koninie  w siedzibie Jednostki Ratowniczo – Gaśniczej Nr 2</t>
  </si>
  <si>
    <t>Opracowanie dokumentacji  projektowo - kosztorysowej na budowę parkingu oraz drogi dojazdowej przy cmentarzu na ulicy Kolskiej</t>
  </si>
  <si>
    <t>wykonanie projektu, wykonanie prac, wymiana rejestratora, zakup kamer i urządzeń</t>
  </si>
  <si>
    <t>ZOUM</t>
  </si>
  <si>
    <t>Różne rozliczenia</t>
  </si>
  <si>
    <t>Rezerwy ogólne i celowe</t>
  </si>
  <si>
    <t>Zakup busa do przewozu dzieci niepełnosprawnych w Szkole Podstawowej Oddziałami Integracyjnymi Nr 9</t>
  </si>
  <si>
    <t>SP nr 9/WO</t>
  </si>
  <si>
    <t>Wykonanie ścianki boulderowej  dla Gimnazjum nr 3 w Koninie</t>
  </si>
  <si>
    <t>Szpitale ogólne</t>
  </si>
  <si>
    <t>WS</t>
  </si>
  <si>
    <t>Domy i ośrodki kultury, świetlice i kluby</t>
  </si>
  <si>
    <t>CKU/WO</t>
  </si>
  <si>
    <t>IILO.WO</t>
  </si>
  <si>
    <t>Licea ogólnokształcące</t>
  </si>
  <si>
    <t>Zakup kosiarki spalinowej dla DPS w Koninie</t>
  </si>
  <si>
    <t>zakup kosiarki spalinowej</t>
  </si>
  <si>
    <t>700</t>
  </si>
  <si>
    <t>Budowa ogrodzenia zespołu garaży przy ulicy Gajowej w Koninie</t>
  </si>
  <si>
    <t>Zakup i montaż wiat przystankowych</t>
  </si>
  <si>
    <t>Lokalny transport zbiorowy</t>
  </si>
  <si>
    <t>wiaty przystankowe</t>
  </si>
  <si>
    <t>GN</t>
  </si>
  <si>
    <t>budowa ogrodzenia</t>
  </si>
  <si>
    <t xml:space="preserve">WI </t>
  </si>
  <si>
    <t>Opracowanie dokumentacji projektowo-kosztorysowej na budowę łącznika od ul. Przemysłowej do ul. Kleczewskiej</t>
  </si>
  <si>
    <t>Dotacja celowa na dofinansowanie zakupu oprogramowania wraz z licencją w ramach informatyzacji Wojewódzkiego Szpitala Zespolonego w Koninie</t>
  </si>
  <si>
    <t>Budowa ulic: Jesionowej, Modrzewiowej, Lipowej, Klonowej i Cisowej  w Koninie</t>
  </si>
  <si>
    <t>Budowa - przedłużenie ulicy Solnej - odcinek od ul. Kaliskiej do ul. Świętojańskiej</t>
  </si>
  <si>
    <t>Budowa chodnika na ul. Działkowej w Koninie</t>
  </si>
  <si>
    <t>Komendy powiatowe Policji</t>
  </si>
  <si>
    <t xml:space="preserve">1. Projekt i budowa przyłączy dla MBP na ul. Dworcowej i dla Konińskiego Domu Kultury oraz rurociągu w Moście Briańskim.
2. Wypełnienie światłowodem rurociągu na trasie od ul. Powstańców Wielkopolskich do ul. Kleczewskiej
</t>
  </si>
  <si>
    <t>podłączenie do sieci</t>
  </si>
  <si>
    <t>zakup sztandaru</t>
  </si>
  <si>
    <t>Budowa ulicy Leopolda Staffa w Koninie</t>
  </si>
  <si>
    <t>Rozbudowa monitoringu miejskiego</t>
  </si>
  <si>
    <t>Rozbudowa miejskiej sieci szerokopasmowej KoMAN</t>
  </si>
  <si>
    <t>Budowa windy schodowej dla osób niepełnosprawnych w Przedszkolu nr 32</t>
  </si>
  <si>
    <t>Budowa podjazdu dla osób niepełnosprawnych przy Przedszkolu nr 32</t>
  </si>
  <si>
    <t>Budowa placów zabaw w mieście Koninie</t>
  </si>
  <si>
    <t>Przebudowa chodnika przy ulicy Staromorzysławskiej w Koninie</t>
  </si>
  <si>
    <t>Termomodernizacja budynku II Liceum w Koninie</t>
  </si>
  <si>
    <t>Budowa hangaru przy Zespole Szkól Centrum Kształcenia Ustawicznego w Koninie</t>
  </si>
  <si>
    <t>KT/KDK</t>
  </si>
  <si>
    <t>Budowa kanalizacji deszczowej w rejonie ulicy Gajowej w Koninie</t>
  </si>
  <si>
    <t>Przebudowa chodnika ul. Żeglarska w Koninie</t>
  </si>
  <si>
    <t>tablica interaktywna</t>
  </si>
  <si>
    <t xml:space="preserve">likwidacja kolizji sieci elektroenergetycznej </t>
  </si>
  <si>
    <t>docieplenie ścian zewnętrznych i dachu</t>
  </si>
  <si>
    <t>Centra kształcenia ustawicznego i praktycznego oraz ośrodki dokształcania zawodowego</t>
  </si>
  <si>
    <t>Prezydenta Miasta Konina z dnia 7 marca 2013 r.; Nr 25/2013 Prezydenta Miasta Konina z dnia 14 marca 2013 r.;</t>
  </si>
  <si>
    <t>Budowa placu zabaw w ramach programu rządowego "Radosna Szkoła" przy Szkole Podstawowej Nr 3</t>
  </si>
  <si>
    <t>85415</t>
  </si>
  <si>
    <t>3260</t>
  </si>
  <si>
    <t>4370</t>
  </si>
  <si>
    <t>4390</t>
  </si>
  <si>
    <t>0920</t>
  </si>
  <si>
    <t>80113</t>
  </si>
  <si>
    <t>85406</t>
  </si>
  <si>
    <t>4520</t>
  </si>
  <si>
    <t>85446</t>
  </si>
  <si>
    <t>80102</t>
  </si>
  <si>
    <t>80111</t>
  </si>
  <si>
    <t>80134</t>
  </si>
  <si>
    <t>80144</t>
  </si>
  <si>
    <t>80146</t>
  </si>
  <si>
    <t>4700</t>
  </si>
  <si>
    <t>2830</t>
  </si>
  <si>
    <t>85204</t>
  </si>
  <si>
    <t>2320</t>
  </si>
  <si>
    <t>4220</t>
  </si>
  <si>
    <t>Zakup kotła elektrycznego dla Przedszkola nr 5 w Koninie</t>
  </si>
  <si>
    <t>P nr 5/WO</t>
  </si>
  <si>
    <t>zakup kotła elektrycznego</t>
  </si>
  <si>
    <t>Budowa placu zabaw w ramach programu rządowego "Radosna Szkoła" przy Szkole Podstawowej Nr 9</t>
  </si>
  <si>
    <t>Budowa placu zabaw w ramach programu rządowego "Radosna Szkoła" przy Szkole Podstawowej Nr 12</t>
  </si>
  <si>
    <t>Zakup tablicy interaktywnej dla Przedszkola nr 14</t>
  </si>
  <si>
    <t>Zakup zestawu komputerowego dla Przedszkola nr 14</t>
  </si>
  <si>
    <t>zestaw komputerowy</t>
  </si>
  <si>
    <t>P nr 14/WO</t>
  </si>
  <si>
    <t>w tym;</t>
  </si>
  <si>
    <t>4300</t>
  </si>
  <si>
    <t>Przebudowa - likwidacja kolizji sieci elektroenergetycznej obręb Maliniec</t>
  </si>
  <si>
    <t>0970</t>
  </si>
  <si>
    <t>Budowa ul. Paprotkowej, Azaliowej i Kameliowej w Koninie</t>
  </si>
  <si>
    <t>Zainstalowanie klimatyzacji w budynku Urzędu Miejskiego plac Wolności 1</t>
  </si>
  <si>
    <t>Wniesienie wkładu pieniężnego na budowę kanalizacji sanitarnej w ulicy Magnoliowej</t>
  </si>
  <si>
    <t>Dla MOS i R</t>
  </si>
  <si>
    <t>Nazwa programu, cel i zadanie</t>
  </si>
  <si>
    <t>Jednostka organizacyjna</t>
  </si>
  <si>
    <t>Okres realizacji</t>
  </si>
  <si>
    <t>Środki budżetu państwa; środki własne gminy</t>
  </si>
  <si>
    <t>Zadania gminy</t>
  </si>
  <si>
    <t>PROJEKT</t>
  </si>
  <si>
    <t>Europejski Fundusz Społeczny - Program  Operacyjny Kapitał Ludzki</t>
  </si>
  <si>
    <t>Urząd Miejski w Koninie</t>
  </si>
  <si>
    <t>cel: Poprawa sytuacji na konińskim rynku pracy bezrobotnych mieszkańców miasta Konina zamierzających rozpocząć działalność gospodarczą poprzez wsparcie postaw służących rozwojowi przedsiębiorczości i samozatrudnienie</t>
  </si>
  <si>
    <t>Projekt pt. "Jesteś przedsiębiorczy! Zacznij działać już dziś w Koninie"</t>
  </si>
  <si>
    <t>cel: Rozwój przedsiębiorczości w Mieście Koninie oraz poprawa sytuacji na rynku pracy poprzez wsparcie 70 osób zamierzających rozpocząć działalność gospodarczą w terminie od 2.01.2012 r. do 30.09.2013 r.</t>
  </si>
  <si>
    <t>2012-2013</t>
  </si>
  <si>
    <t xml:space="preserve">Przedszkole nr 32 w Koninie </t>
  </si>
  <si>
    <t>cel: Zwiększenie rozwiązań służących godzeniu życia zawodowego i rodzinnego dla rodziców dzieci w wieku 1-3 lat z terenu m. Konina oraz powiatu konińskiego wracających po przerwie związanej z urodzeniem i wychowaniem dzieci</t>
  </si>
  <si>
    <t xml:space="preserve"> projekt Pt. "Klub dziecięcy - mama wraca do pracy"</t>
  </si>
  <si>
    <t>Przedszkole nr 14</t>
  </si>
  <si>
    <t xml:space="preserve"> projekt Pt. "Wszystko zaczyna się od przedszkola"</t>
  </si>
  <si>
    <t xml:space="preserve">Przedszkole nr 10 z oddziałami integracyjnymi "Leszczynowa Górka" </t>
  </si>
  <si>
    <t>cel: Upowszechnianie edukacji przedszkolnej wśród 35 dzieci w wieku 3 - 5 lat z terenu m. Konina, powiatu konińskiego, tureckiego, kolskiego i słupeckiego</t>
  </si>
  <si>
    <t>2013-2015</t>
  </si>
  <si>
    <t xml:space="preserve"> Limit wydatków bieżących na  programy  finansowane z udziałem środków  </t>
  </si>
  <si>
    <t xml:space="preserve"> o których mowa w art. 5 ust. 1 pkt 2 i 3 ustawy o finansach publicznych</t>
  </si>
  <si>
    <t xml:space="preserve"> na 2013 rok</t>
  </si>
  <si>
    <t xml:space="preserve">                  2013 rok</t>
  </si>
  <si>
    <t>Środki z EFS ; WRPO, inne</t>
  </si>
  <si>
    <t xml:space="preserve">Przedszkole nr 25 "Bajka" w Koninie </t>
  </si>
  <si>
    <r>
      <t xml:space="preserve">Cel: </t>
    </r>
    <r>
      <rPr>
        <sz val="9"/>
        <rFont val="Times New Roman"/>
        <family val="1"/>
      </rPr>
      <t>upowszechnianie edukacji przedszkolnej nastawionej na działalność ekologiczną i prozdrowotną</t>
    </r>
  </si>
  <si>
    <t>Wyrównywanie szans edukacyjnych i zapewnienie wysokiej jakości usług edukacyjnych świadczonych w systemie oświaty, zmniejszenie nierówności w stopniu upowszechniania edukacji przedszkolnej poprzez realizację Projektu pt.: "W  Bajkowym Ogrodzie"</t>
  </si>
  <si>
    <t xml:space="preserve">Miasto Konin - Urząd Miejski w Koninie </t>
  </si>
  <si>
    <t>cel: Rozwój wykształcenia i kompetencji w regionach</t>
  </si>
  <si>
    <t>Wyrównywanie szans edukacyjnych uczniów z grup o utrudnionym dostępie do edukacji oraz zmniejszenie różnic w jakości usług edukacyjnych poprzez realizację projektu Pt. "Edukacja wczesnoszkolna na dobry początek"</t>
  </si>
  <si>
    <t xml:space="preserve">Urząd Miejski w Koninie,  Niepubliczne Przedszkole "Bajkowa Kraina"   w Koninie                       </t>
  </si>
  <si>
    <t>Wniesienie wkładu pieniężnego na rozbudowę skrzyżowania ulic Stanisława Staszica, Romana Dmowskiego i Tadeusza Kościuszki na skrzyżowanie typu "rondo" w Koninie</t>
  </si>
  <si>
    <t>wniesienie wkładu pieniężnego</t>
  </si>
  <si>
    <t>710</t>
  </si>
  <si>
    <t>70005</t>
  </si>
  <si>
    <t>85403</t>
  </si>
  <si>
    <t>Zmniejszenie nierówności w stopniu upowszechniania edukacji przedszkolnej poprzez realizację projektu pt. "Bajkowa kraina bez barier"</t>
  </si>
  <si>
    <t>Projekt pt. "Dobry pomysł na firmę - wspomagamy przedsiębiorczość w Koninie"</t>
  </si>
  <si>
    <t>cel. Poprawa warunków prawnych i administracyjnych do prowadzenia efektywnej polityki rozwoju gospodarczego przez Miasto Konin</t>
  </si>
  <si>
    <t xml:space="preserve">Projekt pt. „PI  Wsparcie rozwoju narzędzi związanych z kontraktowaniem usług społecznych w Koninie”  </t>
  </si>
  <si>
    <t>Przedszkole nr 2 w Koninie "Kraina Wesołej Zabawy"</t>
  </si>
  <si>
    <t>Podniesienie i uzupełnienie kwalifikacji kadry pedagogicznej i administracyjnej poprzez realizacje projektu Pt. "Dokształcanie to Twoja szansa"</t>
  </si>
  <si>
    <t>wkład własny niepieniężny</t>
  </si>
  <si>
    <t>cel: Podniesienie jakości  edukacji</t>
  </si>
  <si>
    <t>Doskonalenie i dokształcanie kadry pedagogicznej i administracyjnej poprzez realizację projektu Pt. "W drodze do wiedzy"</t>
  </si>
  <si>
    <t>Wyrównywanie szans edukacyjnych uczniów z grup o utrudnionym dostępie do edukacji oraz zmniejszenie różnic w jakości usług edukacyjnych  poprzez realizację projektu Pt. "Pierwsze kroki w edukacji"</t>
  </si>
  <si>
    <t>cel: Podniesienie poziomu aktywności zawodowej osób niepełnosprawnych pozostających bez zatrudnienia</t>
  </si>
  <si>
    <t>Projekt pt. "Nowe możliwości zawodowe - Twoja szansa na konińskim rynku pracy"</t>
  </si>
  <si>
    <t>cel: Poprawa sutuacji niepełnosprawnych osób bezrobotnych na rynku pracy oraz rozwój przedsiębiorczości w Koninie</t>
  </si>
  <si>
    <t xml:space="preserve">Projekt pt. "Twoja firma - wspomagamy przedsiębiorczych w Koninie" </t>
  </si>
  <si>
    <t>2013-2014</t>
  </si>
  <si>
    <t>cel: Wspomaganie osób bezrobotnych w przekwalifikowaniu i znalezieniu zatrudnienia</t>
  </si>
  <si>
    <t>Projekt pt. "Twój zawód, Twoja praca - poprawa dostępu do zatrudnienia na konińskim rynku pracy"</t>
  </si>
  <si>
    <t xml:space="preserve">Przedszkole nr 4 w Koninie </t>
  </si>
  <si>
    <t>cel:  Upowszechnianie edukacji przedszkolnej na terenie miasta Konina i powiatu konińskiego</t>
  </si>
  <si>
    <t>Upowszechnianie edukacji przedszkolnej na terenie miasta Konina i powiatu konińskiego poprzez wydłużenie czasu pracy przedszkola i dokonanie dodatkowego naboru w ramach  realizacji Projektu pt. "Dobre przedszkole na dobry start"</t>
  </si>
  <si>
    <t>„Uczenie się przez całe życie” Comenius współfinansowany z Polskiej Narodowej Agencji</t>
  </si>
  <si>
    <t>cel:  Wzmacnianie europejskiego wymiaru edukacji poprzez promowanie współpracy międzynarodowej</t>
  </si>
  <si>
    <t>Wymiana doświadczenia i uczenie się od siebie nawzajem w dziedzinie ekologii  poprzez realizację  Projektu pt. "The Earth  cannot be recycled! Eco kids - Eco parents" (Eko dzieci  - eko rodzice)</t>
  </si>
  <si>
    <t>Miasto Konin - Miejski Ośrodek Pomocy Rodzinie w Koninie</t>
  </si>
  <si>
    <t>cel - Rozwój i upowszechnianie aktywnej integracji społecznej</t>
  </si>
  <si>
    <t>Rozwój i upowszechnianie aktywnej integracji przez MOPR w Projekcie systemowym "Wykorzystaj swoją szansę!" w ramach Programu Operacyjnego Kapitał Ludzki</t>
  </si>
  <si>
    <t>Zadania powiatu</t>
  </si>
  <si>
    <t>Europejski Fundusz Społeczny - Program  Operacyjny  Kapitał Ludzki</t>
  </si>
  <si>
    <t xml:space="preserve"> Miejski Ośrodek Doskonalenia Nauczycieli  w Koninie </t>
  </si>
  <si>
    <t>Wyrównywanie szans edukacyjnych uczniów z grup o utrudnionym dostępie do edukacji oraz zmniejszenie różnic w jakości usług edukacyjnych projekt pn. "Startuj z nami w przyszłość"</t>
  </si>
  <si>
    <t>ZS im. Kopernika w  Koninie</t>
  </si>
  <si>
    <t>"Wykwalifikowana Kadra w Koperniku"</t>
  </si>
  <si>
    <t xml:space="preserve"> I LO                          </t>
  </si>
  <si>
    <t>cel: Poznawanie krajów partnerskich, doskonalenie umiejętności językowych i promowanie regionu</t>
  </si>
  <si>
    <t xml:space="preserve">Projekt pt. "Towards a European Rememberance" (W poszukiwani europejskiej pamięci) </t>
  </si>
  <si>
    <t>cel: podniesienie atrakcyjności  i jakości szkolnictwa zawodowego</t>
  </si>
  <si>
    <t>"Zawodowcy z  Kopernika"</t>
  </si>
  <si>
    <t xml:space="preserve">Wielkopolski Regionalny Program Operacyjny na lata 2007 - 2013 </t>
  </si>
  <si>
    <t>cel: Profesjonalna, kompleksowa kampania promocyjna markowego produktu o nazwie Wielka Pętla Wielkopolski łączącego 690 km dróg wodnych w wodny szlak turystyczny</t>
  </si>
  <si>
    <t>cel: Kompleksowa  promocja markowego produktu turystyki wodnej  Wielka Pętla Wielkopolski l</t>
  </si>
  <si>
    <t>Wysoko wykwalifikowane kadry systemu oświaty w ramach  projektu pt. "Podniesienie kwalifikacji dla kadry pedagogicznej szkół subregionu konińskiego"</t>
  </si>
  <si>
    <t>„Uczenie się przez całe życie”  Leonardo da Vinci</t>
  </si>
  <si>
    <t>Dotacja dla Ochotniczej Straży Pożarnej Konin – Starówka na zakup zestawu ratownictwa technicznego z agregatem hydraulicznym LUKAS GmbH, model P630 SG o mocy 2,2 KW</t>
  </si>
  <si>
    <t>zakup zestawu ratownictwa technicznego z agregatem hydraulicznym LUKAS GmbH, model P630 SG o mocy 2,2 KW</t>
  </si>
  <si>
    <t>zakup automatu czyszczącego do podlogi oraz destryfikatora powietrza do hali namiotowej</t>
  </si>
  <si>
    <t>z dnia 10 października 2013 r. Nr 123/2013 Prezydenta Miasta Konina z dnia 24 pażdziernika 2013 r.</t>
  </si>
  <si>
    <t>zakup samochodu rozpoznawczo-ratowniczego z możliwością przewozu małogabarytowego sprzetu do działań chemiczno-ekologicznych</t>
  </si>
  <si>
    <t>ZSB  w Koninie</t>
  </si>
  <si>
    <t>cel: doskonalenie kompetencji zwodowych  oraz szkolenie językowe i kulturowe</t>
  </si>
  <si>
    <t>„Mistrz w zawodzie - praktyki zagraniczne dla uczniów”</t>
  </si>
  <si>
    <t>80195</t>
  </si>
  <si>
    <t>Gimnazjum nr 1 w Koninie</t>
  </si>
  <si>
    <t>cel: Wymiana doświadczeń i uczenie się od siebie nawzajem w dziedzinie języków obcych</t>
  </si>
  <si>
    <t>Zakupy inwestycyjne dla Obiektu Rekreacyjno Sportowego „Rondo” w Koninie</t>
  </si>
  <si>
    <t>Zakup samochodu dostawczego</t>
  </si>
  <si>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</si>
  <si>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</si>
  <si>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</si>
  <si>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</si>
  <si>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</si>
  <si>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</si>
  <si>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</si>
  <si>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</si>
  <si>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</si>
  <si>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</si>
  <si>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</si>
  <si>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</si>
  <si>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</si>
  <si>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Zwiększa się plan wydatków o kwotę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</si>
  <si>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</si>
  <si>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</si>
  <si>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</si>
  <si>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</si>
  <si>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</si>
  <si>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</si>
  <si>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</si>
  <si>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>z tego:</t>
  </si>
  <si>
    <t xml:space="preserve">Zakup sztandaru dla Szkoły Podstawowej nr 12  w Koninie
</t>
  </si>
  <si>
    <t>SP nr 12/WO</t>
  </si>
  <si>
    <t>Podłączenie I Liceum Ogólnokształcącego i Filii MBP Starówka do sieci KoMAN</t>
  </si>
  <si>
    <t xml:space="preserve">        a) dochody bieżące w wysokości                                        </t>
  </si>
  <si>
    <t>zastępuje się kwotą</t>
  </si>
  <si>
    <t xml:space="preserve">             Zmniejsza się</t>
  </si>
  <si>
    <t>Zagospodarowanie terenów pogórniczych os. Zatorze - w zakresie budowy ścieżki spacerowej - Etap IV</t>
  </si>
  <si>
    <t>dokumentacja projektowo-kosztorysowa, wykonawstwo</t>
  </si>
  <si>
    <t xml:space="preserve">          Zwiększa się</t>
  </si>
  <si>
    <t>Kwotę wydatków ogółem</t>
  </si>
  <si>
    <t xml:space="preserve">           1) kwotę  wydatków  gminy  ogółem                      </t>
  </si>
  <si>
    <t>Konina z dnia 4 lipca 2013 r.; Nr 89/2013 Prezydenta Miasta Konina z dnia 15 lipca 2013 r.; Nr 90/2013 Prezydenta</t>
  </si>
  <si>
    <t>Nr 101/2013 Prezydenta Miasta Konina z dnia 27 sierpnia 2013 r.; Nr 109/2013 Prezydenta Miasta Konina</t>
  </si>
  <si>
    <t xml:space="preserve">Nr 114/2013 Prezydenta Miasta Konina z dnia 30 września 2013 r. Nr  118/2013 Prezydenta Miasta Konina </t>
  </si>
  <si>
    <r>
      <rPr>
        <sz val="12"/>
        <rFont val="Times New Roman"/>
        <family val="1"/>
      </rPr>
      <t>Nr  132/2013 Prezydenta Miasta Konina z dnia  25 listopada 2013 r.;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Nr 668 Rady Miasta Konina</t>
    </r>
  </si>
  <si>
    <r>
      <rPr>
        <sz val="12"/>
        <rFont val="Times New Roman"/>
        <family val="1"/>
      </rPr>
      <t>z dnia  27 listopada 2013 r.;</t>
    </r>
    <r>
      <rPr>
        <b/>
        <sz val="12"/>
        <rFont val="Times New Roman"/>
        <family val="1"/>
      </rPr>
      <t xml:space="preserve"> - wprowadza się następujące zmiany:</t>
    </r>
  </si>
  <si>
    <t>80101</t>
  </si>
  <si>
    <t>85401</t>
  </si>
  <si>
    <t>4110</t>
  </si>
  <si>
    <t>4440</t>
  </si>
  <si>
    <t>4260</t>
  </si>
  <si>
    <t>0830</t>
  </si>
  <si>
    <t>4120</t>
  </si>
  <si>
    <t>3020</t>
  </si>
  <si>
    <t>4280</t>
  </si>
  <si>
    <t>4430</t>
  </si>
  <si>
    <t>853</t>
  </si>
  <si>
    <t>85395</t>
  </si>
  <si>
    <t>4017</t>
  </si>
  <si>
    <t>4019</t>
  </si>
  <si>
    <t>4307</t>
  </si>
  <si>
    <t>4309</t>
  </si>
  <si>
    <t>4217</t>
  </si>
  <si>
    <t>2007</t>
  </si>
  <si>
    <t>4707</t>
  </si>
  <si>
    <t>0690</t>
  </si>
  <si>
    <t>80120</t>
  </si>
  <si>
    <t>80123</t>
  </si>
  <si>
    <t>2009</t>
  </si>
  <si>
    <t>4117</t>
  </si>
  <si>
    <t>71014</t>
  </si>
  <si>
    <t>DRUK NR  750</t>
  </si>
  <si>
    <t>4119</t>
  </si>
  <si>
    <t>4127</t>
  </si>
  <si>
    <t>4129</t>
  </si>
  <si>
    <t>4177</t>
  </si>
  <si>
    <t>4179</t>
  </si>
  <si>
    <t>4219</t>
  </si>
  <si>
    <t>4247</t>
  </si>
  <si>
    <t>4249</t>
  </si>
  <si>
    <t>4407</t>
  </si>
  <si>
    <t>4409</t>
  </si>
  <si>
    <t>2700</t>
  </si>
  <si>
    <t>852</t>
  </si>
  <si>
    <t>85214</t>
  </si>
  <si>
    <t>85219</t>
  </si>
  <si>
    <t>3110</t>
  </si>
  <si>
    <t>85202</t>
  </si>
  <si>
    <t>4330</t>
  </si>
  <si>
    <t>Wykonanie dokumentacji projektowej  budowy ulic: Storczykowa, Bluszczowa, Gerberowa, Begoniowa, Kaktusowa, Nasturcjowa, Daliowa, Piwoniowa, Zawilcowa  w Koninie</t>
  </si>
  <si>
    <t>Zakup licencji oprogramowania i . Adres do prowadzenia "Ewidencji miejscowości, ulic i adresów"</t>
  </si>
  <si>
    <t>(Dz. U. z 2013 r. poz. 594), art. 211 ustawy z dnia 27 sierpnia 2009 r. o finansach  publicznych</t>
  </si>
  <si>
    <t xml:space="preserve"> (Dz. U. z 2013  poz. 885 ze zm.)   R a d a    M i a s t a   K o n i n a   u c h w a l a,  co następuje "</t>
  </si>
  <si>
    <t>Zakup samochodu rozpoznawczo-ratowniczego z możliwością przewozu małogabarytowego sprzetu do działań chemiczno-ekologicznych</t>
  </si>
  <si>
    <t>z dnia 6 września 2013 r.; Nr 111/2013 Prezydenta Miasta Konina z dnia 13 września 2013 r.; Nr 113/2013</t>
  </si>
  <si>
    <t>Prezydenta Miasta Konina z dnia 24 września 2013 r.; Nr 621 Rady Miasta Konina z dnia 25 września 2013 r.;</t>
  </si>
  <si>
    <t>Zakupy inwestycyjne dla obiektów MOS i R w Koninie</t>
  </si>
  <si>
    <t>Miasta Konina z dnia 22 lipca 2013 r.; Nr 613 Rady Miasta Konina z dnia 31 lipca 2013 r.; Nr 97/2013 Prezydenta</t>
  </si>
  <si>
    <t>Miasta Konina z dnia 13 sierpnia 2013 r.; Nr 619 Rady Miasta Konina z dnia 26 sierpnia 2013 r.;</t>
  </si>
  <si>
    <t>W części dotyczącej dochodów  powiatu</t>
  </si>
  <si>
    <t>Zakup sprzętu EEG Biofeedback</t>
  </si>
  <si>
    <t>Modernizacja placu zabaw przy ul. Energetyka 2,4,6 w Koninie</t>
  </si>
  <si>
    <t>Opracowanie dokumentacji projektowo-wykonawczej na nowy przebieg cieku wodnego odprowadzajacego wody deszczowe z terenów inwestycyjnych w obrębie Międzylesie</t>
  </si>
  <si>
    <t>z tego;</t>
  </si>
  <si>
    <t xml:space="preserve">          a) kwotę wydatków bieżących ogółem                      </t>
  </si>
  <si>
    <t xml:space="preserve">          b) kwotę wydatków majątkowych ogółem                      </t>
  </si>
  <si>
    <t xml:space="preserve">           2) kwotę  wydatków  powiatu ogółem                      </t>
  </si>
  <si>
    <t xml:space="preserve">                  Zwiększa się</t>
  </si>
  <si>
    <t>W części dotyczącej zadań  gminy</t>
  </si>
  <si>
    <t>Dokumentacje przyszłościowe</t>
  </si>
  <si>
    <t xml:space="preserve">opracowanie dokumentacji projektowej w zakresie budowy łącznika ulic Poznańska - Rumiankowa - Zakładowa - Kleczewska 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</si>
  <si>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</si>
  <si>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>do niniejszej uchwały.</t>
  </si>
  <si>
    <t xml:space="preserve">          zastępuje się kwotą</t>
  </si>
  <si>
    <t>a) kwotę części gminnej</t>
  </si>
  <si>
    <t xml:space="preserve">    zastępuje się kwotą</t>
  </si>
  <si>
    <t xml:space="preserve">                                                                               § 2</t>
  </si>
  <si>
    <t>Wykonanie uchwały powierza się Prezydentowi Miasta Konina.</t>
  </si>
  <si>
    <t xml:space="preserve">                                                                               § 3</t>
  </si>
  <si>
    <t>Uchwała wchodzi w życie z dniem podjęcia.</t>
  </si>
  <si>
    <t xml:space="preserve">     Przewodniczący </t>
  </si>
  <si>
    <t>Rady Miasta Konina</t>
  </si>
  <si>
    <t>2. W Załączniku Nr 1 do uchwały budżetowej dokonuje się następujących zmian:</t>
  </si>
  <si>
    <r>
      <t xml:space="preserve">w sprawie </t>
    </r>
    <r>
      <rPr>
        <b/>
        <i/>
        <sz val="14"/>
        <rFont val="Times New Roman"/>
        <family val="1"/>
      </rPr>
      <t>zmian w budżecie miasta Konina na 2013 rok</t>
    </r>
  </si>
  <si>
    <t>W części dotyczącej dochodów  gminy</t>
  </si>
  <si>
    <t xml:space="preserve">         1) dochody gminy ogółem                                                                                  </t>
  </si>
  <si>
    <t xml:space="preserve">         W uchwale Nr 506 Rady Miasta Konina z dnia 19 grudnia 2012 r. w sprawie uchwalenia budżetu</t>
  </si>
  <si>
    <t>SL</t>
  </si>
  <si>
    <t>ZAŁĄCZNIK nr 1</t>
  </si>
  <si>
    <t>Plan wydatków majątkowych realizowanych ze środków budżetowych miasta Konina na 2013 rok</t>
  </si>
  <si>
    <t>w złotych</t>
  </si>
  <si>
    <t xml:space="preserve">           Plan na 2013 rok</t>
  </si>
  <si>
    <t>Lp</t>
  </si>
  <si>
    <t>Dział</t>
  </si>
  <si>
    <t>Nazwa  zadania</t>
  </si>
  <si>
    <t>Ogólny koszt zadania</t>
  </si>
  <si>
    <t>Poniesione nakłady i przewidywane do końca 2012 roku</t>
  </si>
  <si>
    <t>Zakres rzeczowy zadania</t>
  </si>
  <si>
    <t>Odpow. za realizację           i uwagi</t>
  </si>
  <si>
    <t>Termin rozpocz. i zakoń. inwestycji</t>
  </si>
  <si>
    <t>ogółem</t>
  </si>
  <si>
    <t>środki  w ramach ustawy Prawo ochrony środowiska</t>
  </si>
  <si>
    <t>RAZEM GMINA</t>
  </si>
  <si>
    <t>MZK/DR</t>
  </si>
  <si>
    <t>monitoring wewnetrzny do autobusów</t>
  </si>
  <si>
    <t>80110</t>
  </si>
  <si>
    <t>Zakup monitoringu wewnętrznego do autobusów - MZK</t>
  </si>
  <si>
    <t>Transport i łączność</t>
  </si>
  <si>
    <t>Drogi publiczne gminne</t>
  </si>
  <si>
    <t>Budowa ulic na osiedlu Wilków (Leszczynowa, Borowa)</t>
  </si>
  <si>
    <t>zakup busa</t>
  </si>
  <si>
    <t>budowa windy schodowej</t>
  </si>
  <si>
    <t>budowa podjazdu</t>
  </si>
  <si>
    <t xml:space="preserve"> ścianka boulderowa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</si>
</sst>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20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4"/>
      <color indexed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b/>
      <sz val="14"/>
      <color indexed="12"/>
      <name val="Times New Roman"/>
      <family val="1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4"/>
      <color indexed="48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  <font>
      <sz val="9"/>
      <name val="Arial"/>
      <family val="0"/>
    </font>
    <font>
      <sz val="14"/>
      <name val="Arial"/>
      <family val="0"/>
    </font>
    <font>
      <sz val="8"/>
      <name val="Times New Roman"/>
      <family val="1"/>
    </font>
    <font>
      <i/>
      <sz val="16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i/>
      <sz val="9"/>
      <name val="Times New Roman"/>
      <family val="1"/>
    </font>
    <font>
      <sz val="9"/>
      <name val="Arial CE"/>
      <family val="0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0"/>
    </font>
    <font>
      <sz val="16"/>
      <name val="Times New Roman"/>
      <family val="1"/>
    </font>
    <font>
      <i/>
      <sz val="10"/>
      <name val="Arial"/>
      <family val="0"/>
    </font>
    <font>
      <b/>
      <sz val="16"/>
      <name val="Times New Roman"/>
      <family val="1"/>
    </font>
    <font>
      <b/>
      <sz val="9"/>
      <name val="Arial CE"/>
      <family val="0"/>
    </font>
    <font>
      <sz val="11"/>
      <name val="Times New Roman CE"/>
      <family val="1"/>
    </font>
    <font>
      <sz val="11"/>
      <name val="Arial"/>
      <family val="0"/>
    </font>
    <font>
      <b/>
      <sz val="10"/>
      <color indexed="10"/>
      <name val="Arial"/>
      <family val="2"/>
    </font>
    <font>
      <b/>
      <i/>
      <sz val="16"/>
      <name val="Times New Roman"/>
      <family val="1"/>
    </font>
    <font>
      <b/>
      <sz val="9"/>
      <name val="Arial"/>
      <family val="0"/>
    </font>
    <font>
      <i/>
      <sz val="9"/>
      <name val="Arial"/>
      <family val="0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sz val="9"/>
      <color indexed="63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6"/>
      <color indexed="12"/>
      <name val="Times New Roman"/>
      <family val="1"/>
    </font>
    <font>
      <b/>
      <sz val="9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indexed="48"/>
      <name val="Times New Roman"/>
      <family val="1"/>
    </font>
    <font>
      <i/>
      <sz val="13"/>
      <name val="Times New Roman"/>
      <family val="1"/>
    </font>
    <font>
      <sz val="9"/>
      <color indexed="10"/>
      <name val="Times New Roman"/>
      <family val="1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1" applyNumberFormat="0" applyAlignment="0" applyProtection="0"/>
    <xf numFmtId="0" fontId="106" fillId="27" borderId="2" applyNumberFormat="0" applyAlignment="0" applyProtection="0"/>
    <xf numFmtId="0" fontId="10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8" fillId="0" borderId="3" applyNumberFormat="0" applyFill="0" applyAlignment="0" applyProtection="0"/>
    <xf numFmtId="0" fontId="109" fillId="29" borderId="4" applyNumberFormat="0" applyAlignment="0" applyProtection="0"/>
    <xf numFmtId="0" fontId="110" fillId="0" borderId="5" applyNumberFormat="0" applyFill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4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5" fillId="0" borderId="8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9" fillId="32" borderId="0" applyNumberFormat="0" applyBorder="0" applyAlignment="0" applyProtection="0"/>
  </cellStyleXfs>
  <cellXfs count="945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4" fontId="2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4" fontId="3" fillId="0" borderId="0" xfId="53" applyNumberFormat="1" applyFont="1" applyFill="1">
      <alignment/>
      <protection/>
    </xf>
    <xf numFmtId="0" fontId="9" fillId="0" borderId="10" xfId="52" applyFont="1" applyFill="1" applyBorder="1">
      <alignment/>
      <protection/>
    </xf>
    <xf numFmtId="0" fontId="9" fillId="0" borderId="11" xfId="52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9" fillId="0" borderId="12" xfId="52" applyFont="1" applyFill="1" applyBorder="1" applyAlignment="1">
      <alignment horizontal="center" vertical="top"/>
      <protection/>
    </xf>
    <xf numFmtId="0" fontId="10" fillId="0" borderId="13" xfId="52" applyFont="1" applyFill="1" applyBorder="1" applyAlignment="1">
      <alignment vertical="center" wrapText="1"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4" fontId="2" fillId="0" borderId="0" xfId="52" applyNumberFormat="1" applyFont="1" applyFill="1">
      <alignment/>
      <protection/>
    </xf>
    <xf numFmtId="4" fontId="5" fillId="0" borderId="0" xfId="52" applyNumberFormat="1" applyFont="1" applyFill="1" applyBorder="1" applyAlignment="1">
      <alignment horizontal="right"/>
      <protection/>
    </xf>
    <xf numFmtId="0" fontId="15" fillId="0" borderId="0" xfId="52" applyFont="1" applyFill="1">
      <alignment/>
      <protection/>
    </xf>
    <xf numFmtId="4" fontId="11" fillId="0" borderId="0" xfId="52" applyNumberFormat="1" applyFont="1" applyFill="1" applyAlignment="1">
      <alignment vertical="center"/>
      <protection/>
    </xf>
    <xf numFmtId="4" fontId="11" fillId="0" borderId="0" xfId="52" applyNumberFormat="1" applyFont="1" applyFill="1">
      <alignment/>
      <protection/>
    </xf>
    <xf numFmtId="4" fontId="7" fillId="0" borderId="0" xfId="56" applyNumberFormat="1" applyFont="1" applyFill="1" applyAlignment="1">
      <alignment horizontal="right"/>
      <protection/>
    </xf>
    <xf numFmtId="0" fontId="2" fillId="0" borderId="0" xfId="53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52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53" applyFont="1" applyFill="1" applyAlignment="1">
      <alignment horizont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3" fillId="0" borderId="0" xfId="52" applyNumberFormat="1" applyFont="1" applyFill="1" applyBorder="1" applyAlignment="1">
      <alignment vertical="center"/>
      <protection/>
    </xf>
    <xf numFmtId="4" fontId="3" fillId="0" borderId="0" xfId="52" applyNumberFormat="1" applyFont="1" applyFill="1" applyAlignment="1">
      <alignment vertical="center"/>
      <protection/>
    </xf>
    <xf numFmtId="4" fontId="13" fillId="0" borderId="0" xfId="52" applyNumberFormat="1" applyFont="1" applyFill="1" applyAlignment="1">
      <alignment vertical="center"/>
      <protection/>
    </xf>
    <xf numFmtId="0" fontId="2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" fontId="14" fillId="0" borderId="0" xfId="53" applyNumberFormat="1" applyFont="1" applyFill="1" applyAlignment="1">
      <alignment horizontal="right" vertical="center"/>
      <protection/>
    </xf>
    <xf numFmtId="4" fontId="2" fillId="0" borderId="0" xfId="53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49" fontId="2" fillId="0" borderId="0" xfId="53" applyNumberFormat="1" applyFont="1" applyFill="1">
      <alignment/>
      <protection/>
    </xf>
    <xf numFmtId="49" fontId="9" fillId="0" borderId="0" xfId="53" applyNumberFormat="1" applyFont="1" applyFill="1">
      <alignment/>
      <protection/>
    </xf>
    <xf numFmtId="49" fontId="9" fillId="0" borderId="0" xfId="53" applyNumberFormat="1" applyFont="1" applyFill="1" applyAlignment="1">
      <alignment horizontal="center"/>
      <protection/>
    </xf>
    <xf numFmtId="49" fontId="3" fillId="0" borderId="0" xfId="53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0" fontId="7" fillId="0" borderId="0" xfId="58" applyFont="1" applyFill="1" applyAlignment="1">
      <alignment horizontal="left"/>
      <protection/>
    </xf>
    <xf numFmtId="49" fontId="3" fillId="0" borderId="0" xfId="53" applyNumberFormat="1" applyFont="1" applyFill="1" applyAlignment="1">
      <alignment horizontal="center"/>
      <protection/>
    </xf>
    <xf numFmtId="49" fontId="3" fillId="0" borderId="0" xfId="52" applyNumberFormat="1" applyFont="1" applyFill="1">
      <alignment/>
      <protection/>
    </xf>
    <xf numFmtId="4" fontId="20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32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55" applyNumberFormat="1" applyFont="1" applyFill="1">
      <alignment/>
      <protection/>
    </xf>
    <xf numFmtId="49" fontId="32" fillId="0" borderId="0" xfId="55" applyNumberFormat="1" applyFont="1" applyFill="1">
      <alignment/>
      <protection/>
    </xf>
    <xf numFmtId="49" fontId="32" fillId="0" borderId="0" xfId="55" applyNumberFormat="1" applyFont="1" applyFill="1" applyAlignment="1">
      <alignment horizontal="center"/>
      <protection/>
    </xf>
    <xf numFmtId="0" fontId="32" fillId="0" borderId="0" xfId="0" applyFont="1" applyFill="1" applyAlignment="1">
      <alignment horizontal="left"/>
    </xf>
    <xf numFmtId="0" fontId="32" fillId="0" borderId="0" xfId="53" applyFont="1" applyFill="1">
      <alignment/>
      <protection/>
    </xf>
    <xf numFmtId="4" fontId="2" fillId="0" borderId="0" xfId="0" applyNumberFormat="1" applyFont="1" applyFill="1" applyAlignment="1">
      <alignment/>
    </xf>
    <xf numFmtId="49" fontId="9" fillId="0" borderId="0" xfId="55" applyNumberFormat="1" applyFont="1" applyFill="1">
      <alignment/>
      <protection/>
    </xf>
    <xf numFmtId="49" fontId="9" fillId="0" borderId="0" xfId="55" applyNumberFormat="1" applyFont="1" applyFill="1" applyAlignment="1">
      <alignment horizontal="center"/>
      <protection/>
    </xf>
    <xf numFmtId="0" fontId="7" fillId="0" borderId="0" xfId="53" applyFont="1" applyFill="1">
      <alignment/>
      <protection/>
    </xf>
    <xf numFmtId="49" fontId="3" fillId="0" borderId="0" xfId="55" applyNumberFormat="1" applyFont="1" applyFill="1">
      <alignment/>
      <protection/>
    </xf>
    <xf numFmtId="49" fontId="7" fillId="0" borderId="0" xfId="55" applyNumberFormat="1" applyFont="1" applyFill="1">
      <alignment/>
      <protection/>
    </xf>
    <xf numFmtId="49" fontId="7" fillId="0" borderId="0" xfId="55" applyNumberFormat="1" applyFont="1" applyFill="1" applyAlignment="1">
      <alignment horizontal="center"/>
      <protection/>
    </xf>
    <xf numFmtId="49" fontId="9" fillId="0" borderId="14" xfId="52" applyNumberFormat="1" applyFont="1" applyFill="1" applyBorder="1">
      <alignment/>
      <protection/>
    </xf>
    <xf numFmtId="49" fontId="9" fillId="0" borderId="14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>
      <alignment/>
      <protection/>
    </xf>
    <xf numFmtId="49" fontId="9" fillId="0" borderId="15" xfId="52" applyNumberFormat="1" applyFont="1" applyFill="1" applyBorder="1" applyAlignment="1">
      <alignment horizontal="center"/>
      <protection/>
    </xf>
    <xf numFmtId="49" fontId="9" fillId="0" borderId="12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horizontal="right" vertical="top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horizontal="right" vertical="top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49" fontId="5" fillId="0" borderId="0" xfId="52" applyNumberFormat="1" applyFont="1" applyFill="1" applyBorder="1" applyAlignment="1">
      <alignment horizontal="left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" fontId="5" fillId="0" borderId="0" xfId="52" applyNumberFormat="1" applyFont="1" applyFill="1" applyBorder="1" applyAlignment="1">
      <alignment horizontal="right" vertical="center"/>
      <protection/>
    </xf>
    <xf numFmtId="4" fontId="5" fillId="0" borderId="17" xfId="52" applyNumberFormat="1" applyFont="1" applyFill="1" applyBorder="1" applyAlignment="1">
      <alignment horizontal="right" vertical="top"/>
      <protection/>
    </xf>
    <xf numFmtId="0" fontId="11" fillId="0" borderId="0" xfId="0" applyFont="1" applyFill="1" applyAlignment="1">
      <alignment/>
    </xf>
    <xf numFmtId="4" fontId="3" fillId="0" borderId="17" xfId="52" applyNumberFormat="1" applyFont="1" applyFill="1" applyBorder="1" applyAlignment="1">
      <alignment horizontal="right" vertical="top"/>
      <protection/>
    </xf>
    <xf numFmtId="49" fontId="3" fillId="0" borderId="12" xfId="52" applyNumberFormat="1" applyFont="1" applyFill="1" applyBorder="1" applyAlignment="1">
      <alignment horizontal="center" vertical="center"/>
      <protection/>
    </xf>
    <xf numFmtId="4" fontId="5" fillId="0" borderId="17" xfId="52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Fill="1" applyAlignment="1">
      <alignment/>
    </xf>
    <xf numFmtId="49" fontId="9" fillId="0" borderId="0" xfId="52" applyNumberFormat="1" applyFont="1" applyFill="1">
      <alignment/>
      <protection/>
    </xf>
    <xf numFmtId="49" fontId="9" fillId="0" borderId="0" xfId="52" applyNumberFormat="1" applyFont="1" applyFill="1" applyAlignment="1">
      <alignment horizontal="center"/>
      <protection/>
    </xf>
    <xf numFmtId="164" fontId="9" fillId="0" borderId="0" xfId="52" applyNumberFormat="1" applyFont="1" applyFill="1">
      <alignment/>
      <protection/>
    </xf>
    <xf numFmtId="49" fontId="5" fillId="0" borderId="0" xfId="52" applyNumberFormat="1" applyFont="1" applyFill="1">
      <alignment/>
      <protection/>
    </xf>
    <xf numFmtId="49" fontId="12" fillId="0" borderId="0" xfId="52" applyNumberFormat="1" applyFont="1" applyFill="1" applyAlignment="1">
      <alignment horizontal="center"/>
      <protection/>
    </xf>
    <xf numFmtId="4" fontId="5" fillId="0" borderId="0" xfId="52" applyNumberFormat="1" applyFont="1" applyFill="1">
      <alignment/>
      <protection/>
    </xf>
    <xf numFmtId="49" fontId="7" fillId="0" borderId="0" xfId="52" applyNumberFormat="1" applyFont="1" applyFill="1">
      <alignment/>
      <protection/>
    </xf>
    <xf numFmtId="4" fontId="3" fillId="0" borderId="0" xfId="52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9" fontId="6" fillId="0" borderId="0" xfId="53" applyNumberFormat="1" applyFont="1" applyFill="1">
      <alignment/>
      <protection/>
    </xf>
    <xf numFmtId="49" fontId="3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2" fillId="0" borderId="0" xfId="53" applyNumberFormat="1" applyFont="1" applyFill="1">
      <alignment/>
      <protection/>
    </xf>
    <xf numFmtId="4" fontId="9" fillId="0" borderId="0" xfId="52" applyNumberFormat="1" applyFont="1" applyFill="1">
      <alignment/>
      <protection/>
    </xf>
    <xf numFmtId="49" fontId="17" fillId="0" borderId="0" xfId="52" applyNumberFormat="1" applyFont="1" applyFill="1">
      <alignment/>
      <protection/>
    </xf>
    <xf numFmtId="49" fontId="5" fillId="0" borderId="0" xfId="52" applyNumberFormat="1" applyFont="1" applyFill="1" applyBorder="1">
      <alignment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15" fillId="0" borderId="0" xfId="52" applyNumberFormat="1" applyFont="1" applyFill="1">
      <alignment/>
      <protection/>
    </xf>
    <xf numFmtId="49" fontId="15" fillId="0" borderId="0" xfId="52" applyNumberFormat="1" applyFont="1" applyFill="1" applyAlignment="1">
      <alignment horizontal="center"/>
      <protection/>
    </xf>
    <xf numFmtId="49" fontId="5" fillId="0" borderId="18" xfId="52" applyNumberFormat="1" applyFont="1" applyFill="1" applyBorder="1" applyAlignment="1">
      <alignment horizontal="center" vertical="center"/>
      <protection/>
    </xf>
    <xf numFmtId="0" fontId="5" fillId="0" borderId="0" xfId="52" applyFont="1" applyFill="1">
      <alignment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9" fontId="20" fillId="0" borderId="11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9" fontId="20" fillId="0" borderId="0" xfId="52" applyNumberFormat="1" applyFont="1" applyFill="1" applyBorder="1" applyAlignment="1">
      <alignment horizontal="center" vertical="center"/>
      <protection/>
    </xf>
    <xf numFmtId="49" fontId="9" fillId="0" borderId="20" xfId="52" applyNumberFormat="1" applyFont="1" applyFill="1" applyBorder="1">
      <alignment/>
      <protection/>
    </xf>
    <xf numFmtId="49" fontId="9" fillId="0" borderId="18" xfId="52" applyNumberFormat="1" applyFont="1" applyFill="1" applyBorder="1" applyAlignment="1">
      <alignment horizontal="center"/>
      <protection/>
    </xf>
    <xf numFmtId="49" fontId="9" fillId="0" borderId="16" xfId="52" applyNumberFormat="1" applyFont="1" applyFill="1" applyBorder="1">
      <alignment/>
      <protection/>
    </xf>
    <xf numFmtId="49" fontId="9" fillId="0" borderId="21" xfId="52" applyNumberFormat="1" applyFont="1" applyFill="1" applyBorder="1" applyAlignment="1">
      <alignment horizontal="center"/>
      <protection/>
    </xf>
    <xf numFmtId="49" fontId="9" fillId="0" borderId="16" xfId="52" applyNumberFormat="1" applyFont="1" applyFill="1" applyBorder="1" applyAlignment="1">
      <alignment horizontal="center" vertical="center"/>
      <protection/>
    </xf>
    <xf numFmtId="49" fontId="9" fillId="0" borderId="15" xfId="52" applyNumberFormat="1" applyFont="1" applyFill="1" applyBorder="1" applyAlignment="1">
      <alignment horizontal="center" vertical="center"/>
      <protection/>
    </xf>
    <xf numFmtId="49" fontId="9" fillId="0" borderId="21" xfId="52" applyNumberFormat="1" applyFont="1" applyFill="1" applyBorder="1" applyAlignment="1">
      <alignment horizontal="center" vertical="center"/>
      <protection/>
    </xf>
    <xf numFmtId="49" fontId="3" fillId="0" borderId="0" xfId="56" applyNumberFormat="1" applyFont="1" applyFill="1">
      <alignment/>
      <protection/>
    </xf>
    <xf numFmtId="49" fontId="28" fillId="0" borderId="0" xfId="56" applyNumberFormat="1" applyFont="1" applyFill="1">
      <alignment/>
      <protection/>
    </xf>
    <xf numFmtId="49" fontId="7" fillId="0" borderId="0" xfId="56" applyNumberFormat="1" applyFont="1" applyFill="1" applyAlignment="1">
      <alignment horizontal="center"/>
      <protection/>
    </xf>
    <xf numFmtId="49" fontId="30" fillId="0" borderId="0" xfId="52" applyNumberFormat="1" applyFont="1" applyFill="1">
      <alignment/>
      <protection/>
    </xf>
    <xf numFmtId="49" fontId="7" fillId="0" borderId="0" xfId="56" applyNumberFormat="1" applyFont="1" applyFill="1">
      <alignment/>
      <protection/>
    </xf>
    <xf numFmtId="49" fontId="4" fillId="0" borderId="0" xfId="52" applyNumberFormat="1" applyFont="1" applyFill="1">
      <alignment/>
      <protection/>
    </xf>
    <xf numFmtId="49" fontId="13" fillId="0" borderId="0" xfId="56" applyNumberFormat="1" applyFont="1" applyFill="1" applyAlignment="1">
      <alignment horizontal="center"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56" applyNumberFormat="1" applyFont="1" applyFill="1" applyBorder="1" applyAlignment="1">
      <alignment horizontal="center"/>
      <protection/>
    </xf>
    <xf numFmtId="49" fontId="15" fillId="0" borderId="0" xfId="56" applyNumberFormat="1" applyFont="1" applyFill="1">
      <alignment/>
      <protection/>
    </xf>
    <xf numFmtId="49" fontId="3" fillId="0" borderId="0" xfId="55" applyNumberFormat="1" applyFont="1" applyFill="1" applyAlignment="1">
      <alignment horizontal="center"/>
      <protection/>
    </xf>
    <xf numFmtId="0" fontId="3" fillId="0" borderId="0" xfId="55" applyFont="1" applyFill="1">
      <alignment/>
      <protection/>
    </xf>
    <xf numFmtId="4" fontId="3" fillId="0" borderId="0" xfId="55" applyNumberFormat="1" applyFont="1" applyFill="1">
      <alignment/>
      <protection/>
    </xf>
    <xf numFmtId="49" fontId="15" fillId="0" borderId="0" xfId="55" applyNumberFormat="1" applyFont="1" applyFill="1">
      <alignment/>
      <protection/>
    </xf>
    <xf numFmtId="49" fontId="15" fillId="0" borderId="0" xfId="55" applyNumberFormat="1" applyFont="1" applyFill="1" applyAlignment="1">
      <alignment horizontal="center"/>
      <protection/>
    </xf>
    <xf numFmtId="0" fontId="15" fillId="0" borderId="0" xfId="55" applyFont="1" applyFill="1">
      <alignment/>
      <protection/>
    </xf>
    <xf numFmtId="4" fontId="15" fillId="0" borderId="0" xfId="55" applyNumberFormat="1" applyFont="1" applyFill="1">
      <alignment/>
      <protection/>
    </xf>
    <xf numFmtId="0" fontId="9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16" fillId="0" borderId="0" xfId="0" applyFont="1" applyFill="1" applyAlignment="1">
      <alignment/>
    </xf>
    <xf numFmtId="0" fontId="16" fillId="0" borderId="0" xfId="53" applyFont="1" applyFill="1">
      <alignment/>
      <protection/>
    </xf>
    <xf numFmtId="49" fontId="5" fillId="0" borderId="19" xfId="52" applyNumberFormat="1" applyFont="1" applyFill="1" applyBorder="1" applyAlignment="1">
      <alignment horizontal="center" vertical="center"/>
      <protection/>
    </xf>
    <xf numFmtId="49" fontId="3" fillId="0" borderId="13" xfId="52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7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wrapText="1"/>
    </xf>
    <xf numFmtId="0" fontId="14" fillId="0" borderId="0" xfId="0" applyFont="1" applyFill="1" applyAlignment="1">
      <alignment horizontal="left"/>
    </xf>
    <xf numFmtId="1" fontId="4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4" fontId="48" fillId="0" borderId="0" xfId="0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/>
    </xf>
    <xf numFmtId="4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4" fontId="46" fillId="0" borderId="15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4" fontId="49" fillId="0" borderId="10" xfId="0" applyNumberFormat="1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 wrapText="1"/>
    </xf>
    <xf numFmtId="4" fontId="29" fillId="0" borderId="13" xfId="0" applyNumberFormat="1" applyFont="1" applyFill="1" applyBorder="1" applyAlignment="1">
      <alignment vertical="center"/>
    </xf>
    <xf numFmtId="0" fontId="46" fillId="0" borderId="13" xfId="0" applyFont="1" applyFill="1" applyBorder="1" applyAlignment="1">
      <alignment vertical="center" wrapText="1"/>
    </xf>
    <xf numFmtId="4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29" fillId="0" borderId="14" xfId="0" applyFont="1" applyFill="1" applyBorder="1" applyAlignment="1">
      <alignment vertical="center" wrapText="1"/>
    </xf>
    <xf numFmtId="0" fontId="29" fillId="0" borderId="20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4" fontId="49" fillId="0" borderId="10" xfId="0" applyNumberFormat="1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top" wrapText="1"/>
    </xf>
    <xf numFmtId="0" fontId="49" fillId="0" borderId="23" xfId="0" applyFont="1" applyFill="1" applyBorder="1" applyAlignment="1">
      <alignment vertical="center" wrapText="1"/>
    </xf>
    <xf numFmtId="4" fontId="49" fillId="0" borderId="23" xfId="0" applyNumberFormat="1" applyFont="1" applyFill="1" applyBorder="1" applyAlignment="1">
      <alignment vertical="center" wrapText="1"/>
    </xf>
    <xf numFmtId="0" fontId="46" fillId="0" borderId="13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vertical="center" wrapText="1"/>
    </xf>
    <xf numFmtId="4" fontId="51" fillId="0" borderId="23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29" fillId="0" borderId="11" xfId="52" applyFont="1" applyFill="1" applyBorder="1" applyAlignment="1">
      <alignment vertical="center" wrapText="1"/>
      <protection/>
    </xf>
    <xf numFmtId="4" fontId="29" fillId="0" borderId="11" xfId="0" applyNumberFormat="1" applyFont="1" applyFill="1" applyBorder="1" applyAlignment="1">
      <alignment vertical="center" wrapText="1"/>
    </xf>
    <xf numFmtId="0" fontId="46" fillId="0" borderId="11" xfId="52" applyFont="1" applyFill="1" applyBorder="1" applyAlignment="1">
      <alignment vertical="center" wrapText="1"/>
      <protection/>
    </xf>
    <xf numFmtId="4" fontId="9" fillId="0" borderId="11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vertical="center"/>
    </xf>
    <xf numFmtId="0" fontId="54" fillId="0" borderId="14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vertical="center" wrapText="1"/>
    </xf>
    <xf numFmtId="4" fontId="29" fillId="0" borderId="23" xfId="0" applyNumberFormat="1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51" fillId="0" borderId="13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horizontal="center" vertical="center"/>
    </xf>
    <xf numFmtId="0" fontId="29" fillId="0" borderId="10" xfId="52" applyFont="1" applyFill="1" applyBorder="1" applyAlignment="1">
      <alignment vertical="center" wrapText="1"/>
      <protection/>
    </xf>
    <xf numFmtId="0" fontId="46" fillId="0" borderId="10" xfId="52" applyFont="1" applyFill="1" applyBorder="1" applyAlignment="1">
      <alignment vertical="center" wrapText="1"/>
      <protection/>
    </xf>
    <xf numFmtId="4" fontId="29" fillId="0" borderId="10" xfId="52" applyNumberFormat="1" applyFont="1" applyFill="1" applyBorder="1" applyAlignment="1">
      <alignment vertical="center"/>
      <protection/>
    </xf>
    <xf numFmtId="0" fontId="12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29" fillId="0" borderId="13" xfId="52" applyFont="1" applyFill="1" applyBorder="1" applyAlignment="1">
      <alignment vertical="center" wrapText="1"/>
      <protection/>
    </xf>
    <xf numFmtId="4" fontId="9" fillId="0" borderId="10" xfId="52" applyNumberFormat="1" applyFont="1" applyFill="1" applyBorder="1" applyAlignment="1">
      <alignment vertical="center"/>
      <protection/>
    </xf>
    <xf numFmtId="4" fontId="29" fillId="0" borderId="10" xfId="52" applyNumberFormat="1" applyFont="1" applyFill="1" applyBorder="1" applyAlignment="1">
      <alignment vertical="center" wrapText="1"/>
      <protection/>
    </xf>
    <xf numFmtId="0" fontId="46" fillId="0" borderId="10" xfId="52" applyFont="1" applyFill="1" applyBorder="1" applyAlignment="1">
      <alignment horizontal="left" vertical="center" wrapText="1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" fontId="29" fillId="0" borderId="13" xfId="52" applyNumberFormat="1" applyFont="1" applyFill="1" applyBorder="1" applyAlignment="1">
      <alignment vertical="center" wrapText="1"/>
      <protection/>
    </xf>
    <xf numFmtId="4" fontId="29" fillId="0" borderId="12" xfId="52" applyNumberFormat="1" applyFont="1" applyFill="1" applyBorder="1" applyAlignment="1">
      <alignment vertical="center" wrapText="1"/>
      <protection/>
    </xf>
    <xf numFmtId="0" fontId="46" fillId="0" borderId="13" xfId="56" applyFont="1" applyFill="1" applyBorder="1" applyAlignment="1">
      <alignment horizontal="left" vertical="center" wrapText="1"/>
      <protection/>
    </xf>
    <xf numFmtId="4" fontId="9" fillId="0" borderId="13" xfId="52" applyNumberFormat="1" applyFont="1" applyFill="1" applyBorder="1" applyAlignment="1">
      <alignment vertical="center"/>
      <protection/>
    </xf>
    <xf numFmtId="4" fontId="29" fillId="0" borderId="23" xfId="52" applyNumberFormat="1" applyFont="1" applyFill="1" applyBorder="1" applyAlignment="1">
      <alignment vertical="center" wrapText="1"/>
      <protection/>
    </xf>
    <xf numFmtId="0" fontId="46" fillId="0" borderId="10" xfId="56" applyFont="1" applyFill="1" applyBorder="1" applyAlignment="1">
      <alignment horizontal="left" vertical="center" wrapText="1"/>
      <protection/>
    </xf>
    <xf numFmtId="0" fontId="29" fillId="0" borderId="10" xfId="52" applyFont="1" applyFill="1" applyBorder="1" applyAlignment="1">
      <alignment wrapText="1"/>
      <protection/>
    </xf>
    <xf numFmtId="0" fontId="26" fillId="0" borderId="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0" fontId="46" fillId="0" borderId="14" xfId="52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12" fillId="0" borderId="13" xfId="0" applyNumberFormat="1" applyFont="1" applyFill="1" applyBorder="1" applyAlignment="1">
      <alignment vertical="center"/>
    </xf>
    <xf numFmtId="4" fontId="53" fillId="0" borderId="10" xfId="0" applyNumberFormat="1" applyFont="1" applyFill="1" applyBorder="1" applyAlignment="1">
      <alignment vertical="center" wrapText="1"/>
    </xf>
    <xf numFmtId="0" fontId="46" fillId="0" borderId="13" xfId="52" applyFont="1" applyFill="1" applyBorder="1" applyAlignment="1">
      <alignment vertical="center" wrapText="1"/>
      <protection/>
    </xf>
    <xf numFmtId="0" fontId="48" fillId="0" borderId="13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vertical="center" wrapText="1"/>
    </xf>
    <xf numFmtId="4" fontId="9" fillId="0" borderId="23" xfId="0" applyNumberFormat="1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vertical="center" wrapText="1"/>
    </xf>
    <xf numFmtId="0" fontId="26" fillId="0" borderId="23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vertical="center" wrapText="1"/>
    </xf>
    <xf numFmtId="0" fontId="29" fillId="0" borderId="22" xfId="0" applyFont="1" applyFill="1" applyBorder="1" applyAlignment="1">
      <alignment vertical="center" wrapText="1"/>
    </xf>
    <xf numFmtId="4" fontId="29" fillId="0" borderId="20" xfId="0" applyNumberFormat="1" applyFont="1" applyFill="1" applyBorder="1" applyAlignment="1">
      <alignment vertical="center" wrapText="1"/>
    </xf>
    <xf numFmtId="4" fontId="29" fillId="0" borderId="13" xfId="0" applyNumberFormat="1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61" fillId="0" borderId="10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 vertical="center"/>
    </xf>
    <xf numFmtId="4" fontId="52" fillId="0" borderId="0" xfId="0" applyNumberFormat="1" applyFont="1" applyFill="1" applyAlignment="1">
      <alignment horizontal="right"/>
    </xf>
    <xf numFmtId="4" fontId="62" fillId="0" borderId="0" xfId="0" applyNumberFormat="1" applyFont="1" applyFill="1" applyAlignment="1">
      <alignment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21" xfId="52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63" fillId="0" borderId="0" xfId="52" applyFont="1" applyFill="1" applyAlignment="1">
      <alignment horizontal="left"/>
      <protection/>
    </xf>
    <xf numFmtId="0" fontId="63" fillId="0" borderId="0" xfId="58" applyFont="1" applyFill="1" applyAlignment="1">
      <alignment horizontal="left"/>
      <protection/>
    </xf>
    <xf numFmtId="0" fontId="64" fillId="0" borderId="0" xfId="0" applyFont="1" applyFill="1" applyAlignment="1">
      <alignment horizontal="left"/>
    </xf>
    <xf numFmtId="49" fontId="29" fillId="0" borderId="0" xfId="52" applyNumberFormat="1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center"/>
      <protection/>
    </xf>
    <xf numFmtId="49" fontId="28" fillId="0" borderId="0" xfId="53" applyNumberFormat="1" applyFont="1" applyFill="1">
      <alignment/>
      <protection/>
    </xf>
    <xf numFmtId="4" fontId="3" fillId="0" borderId="12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4" fontId="5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49" fontId="3" fillId="0" borderId="18" xfId="52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26" fillId="0" borderId="0" xfId="0" applyNumberFormat="1" applyFont="1" applyFill="1" applyAlignment="1">
      <alignment/>
    </xf>
    <xf numFmtId="0" fontId="26" fillId="0" borderId="0" xfId="52" applyFont="1" applyFill="1">
      <alignment/>
      <protection/>
    </xf>
    <xf numFmtId="4" fontId="14" fillId="0" borderId="0" xfId="52" applyNumberFormat="1" applyFont="1" applyFill="1">
      <alignment/>
      <protection/>
    </xf>
    <xf numFmtId="49" fontId="15" fillId="0" borderId="0" xfId="0" applyNumberFormat="1" applyFont="1" applyFill="1" applyAlignment="1">
      <alignment/>
    </xf>
    <xf numFmtId="0" fontId="12" fillId="0" borderId="16" xfId="0" applyFont="1" applyFill="1" applyBorder="1" applyAlignment="1">
      <alignment vertical="center"/>
    </xf>
    <xf numFmtId="0" fontId="53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49" fillId="0" borderId="10" xfId="52" applyFont="1" applyFill="1" applyBorder="1" applyAlignment="1">
      <alignment vertical="center" wrapText="1"/>
      <protection/>
    </xf>
    <xf numFmtId="0" fontId="57" fillId="0" borderId="13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51" fillId="0" borderId="10" xfId="52" applyFont="1" applyFill="1" applyBorder="1" applyAlignment="1">
      <alignment vertical="center" wrapText="1"/>
      <protection/>
    </xf>
    <xf numFmtId="0" fontId="26" fillId="0" borderId="13" xfId="0" applyFont="1" applyFill="1" applyBorder="1" applyAlignment="1">
      <alignment vertical="center"/>
    </xf>
    <xf numFmtId="4" fontId="49" fillId="0" borderId="10" xfId="52" applyNumberFormat="1" applyFont="1" applyFill="1" applyBorder="1" applyAlignment="1">
      <alignment vertical="center" wrapText="1"/>
      <protection/>
    </xf>
    <xf numFmtId="4" fontId="51" fillId="0" borderId="10" xfId="52" applyNumberFormat="1" applyFont="1" applyFill="1" applyBorder="1" applyAlignment="1">
      <alignment vertical="center" wrapText="1"/>
      <protection/>
    </xf>
    <xf numFmtId="0" fontId="29" fillId="0" borderId="24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horizontal="center" vertical="center"/>
    </xf>
    <xf numFmtId="0" fontId="5" fillId="0" borderId="0" xfId="52" applyFont="1" applyFill="1" applyBorder="1">
      <alignment/>
      <protection/>
    </xf>
    <xf numFmtId="4" fontId="5" fillId="0" borderId="13" xfId="52" applyNumberFormat="1" applyFont="1" applyFill="1" applyBorder="1" applyAlignment="1">
      <alignment horizontal="right" vertical="top"/>
      <protection/>
    </xf>
    <xf numFmtId="0" fontId="29" fillId="0" borderId="10" xfId="52" applyFont="1" applyFill="1" applyBorder="1" applyAlignment="1">
      <alignment vertical="top" wrapText="1"/>
      <protection/>
    </xf>
    <xf numFmtId="0" fontId="10" fillId="0" borderId="10" xfId="56" applyFont="1" applyFill="1" applyBorder="1" applyAlignment="1">
      <alignment horizontal="left" vertical="top" wrapText="1"/>
      <protection/>
    </xf>
    <xf numFmtId="0" fontId="10" fillId="0" borderId="10" xfId="56" applyFont="1" applyFill="1" applyBorder="1" applyAlignment="1">
      <alignment horizontal="left" vertical="center" wrapText="1"/>
      <protection/>
    </xf>
    <xf numFmtId="0" fontId="29" fillId="0" borderId="11" xfId="0" applyFont="1" applyFill="1" applyBorder="1" applyAlignment="1">
      <alignment vertical="center" wrapText="1"/>
    </xf>
    <xf numFmtId="49" fontId="15" fillId="0" borderId="0" xfId="52" applyNumberFormat="1" applyFont="1" applyFill="1" applyAlignment="1">
      <alignment horizontal="left"/>
      <protection/>
    </xf>
    <xf numFmtId="49" fontId="17" fillId="0" borderId="0" xfId="52" applyNumberFormat="1" applyFont="1" applyFill="1" applyBorder="1" applyAlignment="1">
      <alignment horizontal="center"/>
      <protection/>
    </xf>
    <xf numFmtId="4" fontId="17" fillId="0" borderId="0" xfId="52" applyNumberFormat="1" applyFont="1" applyFill="1" applyBorder="1" applyAlignment="1">
      <alignment horizontal="right"/>
      <protection/>
    </xf>
    <xf numFmtId="0" fontId="53" fillId="0" borderId="15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7" fillId="0" borderId="12" xfId="0" applyFont="1" applyFill="1" applyBorder="1" applyAlignment="1">
      <alignment horizontal="center" vertical="center" wrapText="1"/>
    </xf>
    <xf numFmtId="49" fontId="5" fillId="0" borderId="12" xfId="52" applyNumberFormat="1" applyFont="1" applyFill="1" applyBorder="1" applyAlignment="1">
      <alignment horizontal="center" vertical="center"/>
      <protection/>
    </xf>
    <xf numFmtId="0" fontId="56" fillId="0" borderId="14" xfId="0" applyFont="1" applyFill="1" applyBorder="1" applyAlignment="1">
      <alignment horizontal="center" vertical="center"/>
    </xf>
    <xf numFmtId="4" fontId="3" fillId="0" borderId="17" xfId="52" applyNumberFormat="1" applyFont="1" applyFill="1" applyBorder="1" applyAlignment="1">
      <alignment horizontal="right" vertical="center"/>
      <protection/>
    </xf>
    <xf numFmtId="2" fontId="29" fillId="0" borderId="10" xfId="0" applyNumberFormat="1" applyFont="1" applyFill="1" applyBorder="1" applyAlignment="1">
      <alignment vertical="center" wrapText="1"/>
    </xf>
    <xf numFmtId="4" fontId="29" fillId="0" borderId="0" xfId="0" applyNumberFormat="1" applyFont="1" applyFill="1" applyBorder="1" applyAlignment="1">
      <alignment vertical="center" wrapText="1"/>
    </xf>
    <xf numFmtId="49" fontId="29" fillId="0" borderId="13" xfId="52" applyNumberFormat="1" applyFont="1" applyFill="1" applyBorder="1" applyAlignment="1">
      <alignment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4" fontId="5" fillId="0" borderId="13" xfId="52" applyNumberFormat="1" applyFont="1" applyFill="1" applyBorder="1" applyAlignment="1">
      <alignment horizontal="right" vertical="center"/>
      <protection/>
    </xf>
    <xf numFmtId="4" fontId="10" fillId="0" borderId="13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left" vertical="center"/>
    </xf>
    <xf numFmtId="4" fontId="9" fillId="0" borderId="15" xfId="0" applyNumberFormat="1" applyFont="1" applyFill="1" applyBorder="1" applyAlignment="1">
      <alignment horizontal="left" vertical="center"/>
    </xf>
    <xf numFmtId="1" fontId="9" fillId="0" borderId="21" xfId="0" applyNumberFormat="1" applyFont="1" applyFill="1" applyBorder="1" applyAlignment="1">
      <alignment horizontal="left" vertical="center"/>
    </xf>
    <xf numFmtId="1" fontId="9" fillId="0" borderId="13" xfId="0" applyNumberFormat="1" applyFont="1" applyFill="1" applyBorder="1" applyAlignment="1">
      <alignment horizontal="left" vertical="center"/>
    </xf>
    <xf numFmtId="4" fontId="12" fillId="0" borderId="13" xfId="0" applyNumberFormat="1" applyFont="1" applyFill="1" applyBorder="1" applyAlignment="1">
      <alignment horizontal="left" vertical="center"/>
    </xf>
    <xf numFmtId="1" fontId="12" fillId="0" borderId="13" xfId="0" applyNumberFormat="1" applyFont="1" applyFill="1" applyBorder="1" applyAlignment="1">
      <alignment horizontal="left" vertical="center"/>
    </xf>
    <xf numFmtId="4" fontId="49" fillId="0" borderId="13" xfId="52" applyNumberFormat="1" applyFont="1" applyFill="1" applyBorder="1" applyAlignment="1">
      <alignment horizontal="left" vertical="center" wrapText="1"/>
      <protection/>
    </xf>
    <xf numFmtId="4" fontId="57" fillId="0" borderId="13" xfId="0" applyNumberFormat="1" applyFont="1" applyFill="1" applyBorder="1" applyAlignment="1">
      <alignment horizontal="left" vertical="center" wrapText="1"/>
    </xf>
    <xf numFmtId="4" fontId="58" fillId="0" borderId="0" xfId="0" applyNumberFormat="1" applyFont="1" applyFill="1" applyAlignment="1">
      <alignment horizontal="left" vertical="center"/>
    </xf>
    <xf numFmtId="4" fontId="26" fillId="0" borderId="15" xfId="0" applyNumberFormat="1" applyFont="1" applyFill="1" applyBorder="1" applyAlignment="1">
      <alignment horizontal="left" vertical="center"/>
    </xf>
    <xf numFmtId="1" fontId="26" fillId="0" borderId="13" xfId="0" applyNumberFormat="1" applyFont="1" applyFill="1" applyBorder="1" applyAlignment="1">
      <alignment horizontal="left" vertical="center"/>
    </xf>
    <xf numFmtId="4" fontId="51" fillId="0" borderId="13" xfId="52" applyNumberFormat="1" applyFont="1" applyFill="1" applyBorder="1" applyAlignment="1">
      <alignment horizontal="left" vertical="center" wrapText="1"/>
      <protection/>
    </xf>
    <xf numFmtId="4" fontId="48" fillId="0" borderId="13" xfId="0" applyNumberFormat="1" applyFont="1" applyFill="1" applyBorder="1" applyAlignment="1">
      <alignment horizontal="left" vertical="center" wrapText="1"/>
    </xf>
    <xf numFmtId="4" fontId="60" fillId="0" borderId="0" xfId="0" applyNumberFormat="1" applyFont="1" applyFill="1" applyAlignment="1">
      <alignment horizontal="left" vertical="center"/>
    </xf>
    <xf numFmtId="4" fontId="49" fillId="0" borderId="13" xfId="0" applyNumberFormat="1" applyFont="1" applyFill="1" applyBorder="1" applyAlignment="1">
      <alignment horizontal="right" vertical="center" wrapText="1"/>
    </xf>
    <xf numFmtId="4" fontId="51" fillId="0" borderId="23" xfId="0" applyNumberFormat="1" applyFont="1" applyFill="1" applyBorder="1" applyAlignment="1">
      <alignment horizontal="right" vertical="center" wrapText="1"/>
    </xf>
    <xf numFmtId="4" fontId="29" fillId="0" borderId="13" xfId="56" applyNumberFormat="1" applyFont="1" applyFill="1" applyBorder="1" applyAlignment="1">
      <alignment horizontal="right" vertical="center"/>
      <protection/>
    </xf>
    <xf numFmtId="4" fontId="29" fillId="0" borderId="13" xfId="52" applyNumberFormat="1" applyFont="1" applyFill="1" applyBorder="1" applyAlignment="1">
      <alignment horizontal="right" vertical="center"/>
      <protection/>
    </xf>
    <xf numFmtId="4" fontId="29" fillId="0" borderId="13" xfId="52" applyNumberFormat="1" applyFont="1" applyFill="1" applyBorder="1" applyAlignment="1">
      <alignment horizontal="left" vertical="center"/>
      <protection/>
    </xf>
    <xf numFmtId="0" fontId="29" fillId="0" borderId="10" xfId="0" applyFont="1" applyFill="1" applyBorder="1" applyAlignment="1">
      <alignment horizontal="center" vertical="center"/>
    </xf>
    <xf numFmtId="4" fontId="46" fillId="0" borderId="13" xfId="52" applyNumberFormat="1" applyFont="1" applyFill="1" applyBorder="1" applyAlignment="1">
      <alignment vertical="center" wrapText="1"/>
      <protection/>
    </xf>
    <xf numFmtId="2" fontId="29" fillId="0" borderId="13" xfId="52" applyNumberFormat="1" applyFont="1" applyFill="1" applyBorder="1" applyAlignment="1">
      <alignment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51" fillId="0" borderId="13" xfId="52" applyFont="1" applyFill="1" applyBorder="1" applyAlignment="1">
      <alignment vertical="center" wrapText="1"/>
      <protection/>
    </xf>
    <xf numFmtId="4" fontId="51" fillId="0" borderId="13" xfId="52" applyNumberFormat="1" applyFont="1" applyFill="1" applyBorder="1" applyAlignment="1">
      <alignment vertical="center" wrapText="1"/>
      <protection/>
    </xf>
    <xf numFmtId="0" fontId="48" fillId="0" borderId="12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0" fontId="49" fillId="0" borderId="13" xfId="52" applyFont="1" applyFill="1" applyBorder="1" applyAlignment="1">
      <alignment vertical="center" wrapText="1"/>
      <protection/>
    </xf>
    <xf numFmtId="4" fontId="49" fillId="0" borderId="13" xfId="52" applyNumberFormat="1" applyFont="1" applyFill="1" applyBorder="1" applyAlignment="1">
      <alignment vertical="center" wrapText="1"/>
      <protection/>
    </xf>
    <xf numFmtId="0" fontId="58" fillId="0" borderId="0" xfId="0" applyFont="1" applyFill="1" applyAlignment="1">
      <alignment vertical="center"/>
    </xf>
    <xf numFmtId="4" fontId="9" fillId="0" borderId="10" xfId="0" applyNumberFormat="1" applyFont="1" applyFill="1" applyBorder="1" applyAlignment="1">
      <alignment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29" fillId="0" borderId="15" xfId="0" applyNumberFormat="1" applyFont="1" applyFill="1" applyBorder="1" applyAlignment="1">
      <alignment horizontal="left" vertical="center"/>
    </xf>
    <xf numFmtId="4" fontId="71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  <xf numFmtId="4" fontId="7" fillId="0" borderId="13" xfId="56" applyNumberFormat="1" applyFont="1" applyFill="1" applyBorder="1" applyAlignment="1">
      <alignment horizontal="right" wrapText="1"/>
      <protection/>
    </xf>
    <xf numFmtId="0" fontId="29" fillId="0" borderId="13" xfId="52" applyFont="1" applyFill="1" applyBorder="1" applyAlignment="1">
      <alignment vertical="center"/>
      <protection/>
    </xf>
    <xf numFmtId="0" fontId="29" fillId="0" borderId="0" xfId="0" applyFont="1" applyFill="1" applyAlignment="1">
      <alignment/>
    </xf>
    <xf numFmtId="0" fontId="29" fillId="0" borderId="18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0" fontId="56" fillId="0" borderId="13" xfId="0" applyFont="1" applyFill="1" applyBorder="1" applyAlignment="1">
      <alignment horizontal="center" vertical="center"/>
    </xf>
    <xf numFmtId="49" fontId="16" fillId="0" borderId="0" xfId="53" applyNumberFormat="1" applyFont="1" applyFill="1">
      <alignment/>
      <protection/>
    </xf>
    <xf numFmtId="4" fontId="26" fillId="0" borderId="10" xfId="52" applyNumberFormat="1" applyFont="1" applyFill="1" applyBorder="1" applyAlignment="1">
      <alignment vertical="center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4" fontId="46" fillId="0" borderId="13" xfId="0" applyNumberFormat="1" applyFont="1" applyFill="1" applyBorder="1" applyAlignment="1">
      <alignment vertical="center" wrapText="1"/>
    </xf>
    <xf numFmtId="4" fontId="46" fillId="0" borderId="11" xfId="0" applyNumberFormat="1" applyFont="1" applyFill="1" applyBorder="1" applyAlignment="1">
      <alignment vertical="center" wrapText="1"/>
    </xf>
    <xf numFmtId="49" fontId="29" fillId="0" borderId="10" xfId="52" applyNumberFormat="1" applyFont="1" applyFill="1" applyBorder="1" applyAlignment="1">
      <alignment vertical="center" wrapText="1"/>
      <protection/>
    </xf>
    <xf numFmtId="4" fontId="46" fillId="0" borderId="20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/>
    </xf>
    <xf numFmtId="2" fontId="29" fillId="0" borderId="0" xfId="0" applyNumberFormat="1" applyFont="1" applyFill="1" applyAlignment="1">
      <alignment vertical="center"/>
    </xf>
    <xf numFmtId="49" fontId="75" fillId="0" borderId="0" xfId="0" applyNumberFormat="1" applyFont="1" applyFill="1" applyAlignment="1">
      <alignment/>
    </xf>
    <xf numFmtId="4" fontId="76" fillId="0" borderId="0" xfId="0" applyNumberFormat="1" applyFont="1" applyFill="1" applyAlignment="1">
      <alignment/>
    </xf>
    <xf numFmtId="0" fontId="74" fillId="0" borderId="13" xfId="0" applyFont="1" applyBorder="1" applyAlignment="1">
      <alignment/>
    </xf>
    <xf numFmtId="4" fontId="7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4" fontId="45" fillId="0" borderId="13" xfId="0" applyNumberFormat="1" applyFont="1" applyBorder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12" fillId="0" borderId="14" xfId="57" applyFont="1" applyFill="1" applyBorder="1" applyAlignment="1">
      <alignment horizontal="center" vertical="center"/>
      <protection/>
    </xf>
    <xf numFmtId="0" fontId="46" fillId="0" borderId="14" xfId="0" applyFont="1" applyFill="1" applyBorder="1" applyAlignment="1">
      <alignment vertical="center"/>
    </xf>
    <xf numFmtId="4" fontId="9" fillId="0" borderId="14" xfId="57" applyNumberFormat="1" applyFont="1" applyFill="1" applyBorder="1" applyAlignment="1">
      <alignment vertical="center"/>
      <protection/>
    </xf>
    <xf numFmtId="0" fontId="46" fillId="0" borderId="15" xfId="0" applyFont="1" applyFill="1" applyBorder="1" applyAlignment="1">
      <alignment vertical="center"/>
    </xf>
    <xf numFmtId="0" fontId="9" fillId="0" borderId="12" xfId="57" applyFont="1" applyFill="1" applyBorder="1" applyAlignment="1">
      <alignment horizontal="center" vertical="center"/>
      <protection/>
    </xf>
    <xf numFmtId="4" fontId="9" fillId="0" borderId="12" xfId="57" applyNumberFormat="1" applyFont="1" applyFill="1" applyBorder="1" applyAlignment="1">
      <alignment vertical="center"/>
      <protection/>
    </xf>
    <xf numFmtId="0" fontId="12" fillId="0" borderId="11" xfId="53" applyFont="1" applyFill="1" applyBorder="1" applyAlignment="1">
      <alignment vertical="center" wrapText="1"/>
      <protection/>
    </xf>
    <xf numFmtId="4" fontId="9" fillId="0" borderId="0" xfId="57" applyNumberFormat="1" applyFont="1" applyFill="1" applyBorder="1" applyAlignment="1">
      <alignment vertical="center" wrapText="1"/>
      <protection/>
    </xf>
    <xf numFmtId="4" fontId="3" fillId="0" borderId="14" xfId="53" applyNumberFormat="1" applyFont="1" applyFill="1" applyBorder="1" applyAlignment="1">
      <alignment horizontal="center" vertical="center" wrapText="1"/>
      <protection/>
    </xf>
    <xf numFmtId="0" fontId="9" fillId="0" borderId="15" xfId="57" applyFont="1" applyFill="1" applyBorder="1" applyAlignment="1">
      <alignment horizontal="center" vertical="center"/>
      <protection/>
    </xf>
    <xf numFmtId="0" fontId="9" fillId="0" borderId="19" xfId="0" applyFont="1" applyFill="1" applyBorder="1" applyAlignment="1">
      <alignment vertical="center" wrapText="1"/>
    </xf>
    <xf numFmtId="4" fontId="9" fillId="0" borderId="20" xfId="57" applyNumberFormat="1" applyFont="1" applyFill="1" applyBorder="1" applyAlignment="1">
      <alignment vertical="center"/>
      <protection/>
    </xf>
    <xf numFmtId="4" fontId="3" fillId="0" borderId="0" xfId="53" applyNumberFormat="1" applyFont="1" applyFill="1" applyBorder="1" applyAlignment="1">
      <alignment horizontal="center" vertical="center" wrapText="1"/>
      <protection/>
    </xf>
    <xf numFmtId="4" fontId="3" fillId="0" borderId="15" xfId="53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/>
    </xf>
    <xf numFmtId="4" fontId="3" fillId="0" borderId="12" xfId="53" applyNumberFormat="1" applyFont="1" applyFill="1" applyBorder="1" applyAlignment="1">
      <alignment horizontal="center" vertical="center" wrapText="1"/>
      <protection/>
    </xf>
    <xf numFmtId="4" fontId="9" fillId="0" borderId="13" xfId="57" applyNumberFormat="1" applyFont="1" applyFill="1" applyBorder="1" applyAlignment="1">
      <alignment vertical="center" wrapText="1"/>
      <protection/>
    </xf>
    <xf numFmtId="0" fontId="9" fillId="0" borderId="20" xfId="53" applyFont="1" applyFill="1" applyBorder="1" applyAlignment="1">
      <alignment vertical="center" wrapText="1"/>
      <protection/>
    </xf>
    <xf numFmtId="0" fontId="46" fillId="0" borderId="14" xfId="53" applyFont="1" applyFill="1" applyBorder="1" applyAlignment="1">
      <alignment horizontal="center" vertical="center"/>
      <protection/>
    </xf>
    <xf numFmtId="0" fontId="9" fillId="0" borderId="19" xfId="57" applyFont="1" applyFill="1" applyBorder="1" applyAlignment="1">
      <alignment vertical="center" wrapText="1"/>
      <protection/>
    </xf>
    <xf numFmtId="0" fontId="46" fillId="0" borderId="15" xfId="53" applyFont="1" applyFill="1" applyBorder="1" applyAlignment="1">
      <alignment horizontal="center" vertical="center"/>
      <protection/>
    </xf>
    <xf numFmtId="0" fontId="46" fillId="0" borderId="23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4" fontId="3" fillId="0" borderId="20" xfId="53" applyNumberFormat="1" applyFont="1" applyFill="1" applyBorder="1" applyAlignment="1">
      <alignment horizontal="center" vertical="center" wrapText="1"/>
      <protection/>
    </xf>
    <xf numFmtId="0" fontId="46" fillId="0" borderId="16" xfId="0" applyFont="1" applyFill="1" applyBorder="1" applyAlignment="1">
      <alignment vertical="center"/>
    </xf>
    <xf numFmtId="4" fontId="3" fillId="0" borderId="16" xfId="53" applyNumberFormat="1" applyFont="1" applyFill="1" applyBorder="1" applyAlignment="1">
      <alignment horizontal="center" vertical="center" wrapText="1"/>
      <protection/>
    </xf>
    <xf numFmtId="4" fontId="9" fillId="0" borderId="23" xfId="57" applyNumberFormat="1" applyFont="1" applyFill="1" applyBorder="1" applyAlignment="1">
      <alignment vertical="center"/>
      <protection/>
    </xf>
    <xf numFmtId="0" fontId="9" fillId="0" borderId="0" xfId="57" applyFont="1" applyFill="1">
      <alignment/>
      <protection/>
    </xf>
    <xf numFmtId="0" fontId="9" fillId="0" borderId="0" xfId="0" applyFont="1" applyFill="1" applyBorder="1" applyAlignment="1">
      <alignment/>
    </xf>
    <xf numFmtId="0" fontId="9" fillId="0" borderId="0" xfId="57" applyFont="1" applyFill="1" applyBorder="1">
      <alignment/>
      <protection/>
    </xf>
    <xf numFmtId="0" fontId="29" fillId="0" borderId="0" xfId="57" applyFont="1" applyFill="1">
      <alignment/>
      <protection/>
    </xf>
    <xf numFmtId="4" fontId="2" fillId="0" borderId="0" xfId="57" applyNumberFormat="1" applyFont="1" applyFill="1">
      <alignment/>
      <protection/>
    </xf>
    <xf numFmtId="0" fontId="59" fillId="0" borderId="0" xfId="53" applyFont="1" applyFill="1">
      <alignment/>
      <protection/>
    </xf>
    <xf numFmtId="0" fontId="9" fillId="0" borderId="0" xfId="57" applyFont="1" applyFill="1" applyAlignment="1">
      <alignment horizontal="center"/>
      <protection/>
    </xf>
    <xf numFmtId="0" fontId="9" fillId="0" borderId="0" xfId="53" applyFont="1" applyFill="1" applyBorder="1">
      <alignment/>
      <protection/>
    </xf>
    <xf numFmtId="0" fontId="29" fillId="0" borderId="0" xfId="53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0" fontId="26" fillId="0" borderId="0" xfId="53" applyFont="1" applyFill="1" applyAlignment="1">
      <alignment horizontal="center"/>
      <protection/>
    </xf>
    <xf numFmtId="0" fontId="9" fillId="0" borderId="14" xfId="57" applyFont="1" applyFill="1" applyBorder="1" applyAlignment="1">
      <alignment horizontal="center"/>
      <protection/>
    </xf>
    <xf numFmtId="0" fontId="9" fillId="0" borderId="14" xfId="53" applyFont="1" applyFill="1" applyBorder="1">
      <alignment/>
      <protection/>
    </xf>
    <xf numFmtId="0" fontId="9" fillId="0" borderId="14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vertical="center"/>
      <protection/>
    </xf>
    <xf numFmtId="0" fontId="3" fillId="0" borderId="11" xfId="53" applyFont="1" applyFill="1" applyBorder="1" applyAlignment="1">
      <alignment vertical="center"/>
      <protection/>
    </xf>
    <xf numFmtId="0" fontId="9" fillId="0" borderId="12" xfId="57" applyFont="1" applyFill="1" applyBorder="1" applyAlignment="1">
      <alignment horizontal="center" vertical="top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46" fillId="0" borderId="12" xfId="53" applyFont="1" applyFill="1" applyBorder="1" applyAlignment="1">
      <alignment horizontal="center" vertical="top" wrapText="1"/>
      <protection/>
    </xf>
    <xf numFmtId="0" fontId="46" fillId="0" borderId="13" xfId="53" applyFont="1" applyFill="1" applyBorder="1" applyAlignment="1">
      <alignment horizontal="center" vertical="top" wrapText="1"/>
      <protection/>
    </xf>
    <xf numFmtId="0" fontId="46" fillId="0" borderId="13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top" wrapText="1"/>
      <protection/>
    </xf>
    <xf numFmtId="4" fontId="25" fillId="0" borderId="0" xfId="53" applyNumberFormat="1" applyFont="1" applyFill="1" applyBorder="1" applyAlignment="1">
      <alignment horizontal="right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29" fillId="0" borderId="0" xfId="53" applyFont="1" applyFill="1" applyAlignment="1">
      <alignment horizontal="center" vertical="center" wrapText="1"/>
      <protection/>
    </xf>
    <xf numFmtId="4" fontId="2" fillId="0" borderId="0" xfId="57" applyNumberFormat="1" applyFont="1" applyFill="1" applyAlignment="1">
      <alignment vertical="top"/>
      <protection/>
    </xf>
    <xf numFmtId="4" fontId="2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66" fillId="0" borderId="10" xfId="57" applyFont="1" applyFill="1" applyBorder="1" applyAlignment="1">
      <alignment horizontal="left" vertical="top"/>
      <protection/>
    </xf>
    <xf numFmtId="0" fontId="9" fillId="0" borderId="19" xfId="53" applyFont="1" applyFill="1" applyBorder="1" applyAlignment="1">
      <alignment horizontal="center" vertical="top" wrapText="1"/>
      <protection/>
    </xf>
    <xf numFmtId="0" fontId="46" fillId="0" borderId="19" xfId="53" applyFont="1" applyFill="1" applyBorder="1" applyAlignment="1">
      <alignment horizontal="center" vertical="top" wrapText="1"/>
      <protection/>
    </xf>
    <xf numFmtId="4" fontId="5" fillId="0" borderId="13" xfId="53" applyNumberFormat="1" applyFont="1" applyFill="1" applyBorder="1" applyAlignment="1">
      <alignment horizontal="right" vertical="center" wrapText="1"/>
      <protection/>
    </xf>
    <xf numFmtId="4" fontId="5" fillId="0" borderId="13" xfId="53" applyNumberFormat="1" applyFont="1" applyFill="1" applyBorder="1" applyAlignment="1">
      <alignment horizontal="center" vertical="center" wrapText="1"/>
      <protection/>
    </xf>
    <xf numFmtId="4" fontId="29" fillId="0" borderId="0" xfId="53" applyNumberFormat="1" applyFont="1" applyFill="1" applyAlignment="1">
      <alignment horizontal="center" vertical="center" wrapText="1"/>
      <protection/>
    </xf>
    <xf numFmtId="0" fontId="12" fillId="0" borderId="15" xfId="57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vertical="center" wrapText="1"/>
      <protection/>
    </xf>
    <xf numFmtId="4" fontId="3" fillId="0" borderId="18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77" fillId="0" borderId="0" xfId="53" applyNumberFormat="1" applyFont="1" applyFill="1" applyBorder="1" applyAlignment="1">
      <alignment horizontal="right" vertical="center" wrapText="1"/>
      <protection/>
    </xf>
    <xf numFmtId="4" fontId="78" fillId="0" borderId="0" xfId="0" applyNumberFormat="1" applyFont="1" applyFill="1" applyAlignment="1">
      <alignment vertical="center"/>
    </xf>
    <xf numFmtId="0" fontId="49" fillId="0" borderId="11" xfId="0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vertical="center"/>
    </xf>
    <xf numFmtId="4" fontId="79" fillId="0" borderId="0" xfId="0" applyNumberFormat="1" applyFont="1" applyFill="1" applyBorder="1" applyAlignment="1">
      <alignment vertical="center"/>
    </xf>
    <xf numFmtId="4" fontId="9" fillId="0" borderId="16" xfId="57" applyNumberFormat="1" applyFont="1" applyFill="1" applyBorder="1" applyAlignment="1">
      <alignment vertical="center"/>
      <protection/>
    </xf>
    <xf numFmtId="0" fontId="9" fillId="0" borderId="20" xfId="0" applyFont="1" applyFill="1" applyBorder="1" applyAlignment="1">
      <alignment vertical="center" wrapText="1"/>
    </xf>
    <xf numFmtId="0" fontId="9" fillId="0" borderId="24" xfId="57" applyFont="1" applyFill="1" applyBorder="1" applyAlignment="1">
      <alignment vertical="center" wrapText="1"/>
      <protection/>
    </xf>
    <xf numFmtId="4" fontId="29" fillId="0" borderId="0" xfId="0" applyNumberFormat="1" applyFont="1" applyFill="1" applyBorder="1" applyAlignment="1">
      <alignment vertical="center"/>
    </xf>
    <xf numFmtId="0" fontId="9" fillId="0" borderId="13" xfId="53" applyFont="1" applyFill="1" applyBorder="1" applyAlignment="1">
      <alignment vertical="center" wrapText="1"/>
      <protection/>
    </xf>
    <xf numFmtId="4" fontId="3" fillId="0" borderId="18" xfId="53" applyNumberFormat="1" applyFont="1" applyFill="1" applyBorder="1" applyAlignment="1">
      <alignment horizontal="right" vertical="center" wrapText="1"/>
      <protection/>
    </xf>
    <xf numFmtId="4" fontId="9" fillId="0" borderId="0" xfId="53" applyNumberFormat="1" applyFont="1" applyFill="1" applyAlignment="1">
      <alignment horizontal="center" vertical="center" wrapText="1"/>
      <protection/>
    </xf>
    <xf numFmtId="0" fontId="9" fillId="0" borderId="0" xfId="57" applyFont="1" applyFill="1" applyAlignment="1">
      <alignment vertical="center"/>
      <protection/>
    </xf>
    <xf numFmtId="4" fontId="3" fillId="0" borderId="21" xfId="53" applyNumberFormat="1" applyFont="1" applyFill="1" applyBorder="1" applyAlignment="1">
      <alignment horizontal="right" vertical="center" wrapText="1"/>
      <protection/>
    </xf>
    <xf numFmtId="4" fontId="3" fillId="0" borderId="17" xfId="53" applyNumberFormat="1" applyFont="1" applyFill="1" applyBorder="1" applyAlignment="1">
      <alignment horizontal="right" vertical="center" wrapText="1"/>
      <protection/>
    </xf>
    <xf numFmtId="0" fontId="9" fillId="0" borderId="16" xfId="53" applyFont="1" applyFill="1" applyBorder="1" applyAlignment="1">
      <alignment vertical="center" wrapText="1"/>
      <protection/>
    </xf>
    <xf numFmtId="4" fontId="3" fillId="0" borderId="15" xfId="53" applyNumberFormat="1" applyFont="1" applyFill="1" applyBorder="1" applyAlignment="1">
      <alignment horizontal="right" vertical="center" wrapText="1"/>
      <protection/>
    </xf>
    <xf numFmtId="0" fontId="9" fillId="0" borderId="22" xfId="0" applyFont="1" applyFill="1" applyBorder="1" applyAlignment="1">
      <alignment vertical="center" wrapText="1"/>
    </xf>
    <xf numFmtId="4" fontId="9" fillId="0" borderId="20" xfId="57" applyNumberFormat="1" applyFont="1" applyFill="1" applyBorder="1" applyAlignment="1">
      <alignment vertical="center" wrapText="1"/>
      <protection/>
    </xf>
    <xf numFmtId="4" fontId="3" fillId="0" borderId="18" xfId="53" applyNumberFormat="1" applyFont="1" applyFill="1" applyBorder="1" applyAlignment="1">
      <alignment horizontal="center" vertical="center" wrapText="1"/>
      <protection/>
    </xf>
    <xf numFmtId="4" fontId="3" fillId="0" borderId="21" xfId="53" applyNumberFormat="1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vertical="center" wrapText="1"/>
      <protection/>
    </xf>
    <xf numFmtId="0" fontId="46" fillId="0" borderId="21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4" fontId="11" fillId="0" borderId="0" xfId="0" applyNumberFormat="1" applyFont="1" applyFill="1" applyBorder="1" applyAlignment="1">
      <alignment vertical="center"/>
    </xf>
    <xf numFmtId="0" fontId="12" fillId="0" borderId="13" xfId="53" applyFont="1" applyFill="1" applyBorder="1" applyAlignment="1">
      <alignment vertical="center" wrapText="1"/>
      <protection/>
    </xf>
    <xf numFmtId="0" fontId="9" fillId="0" borderId="10" xfId="57" applyFont="1" applyFill="1" applyBorder="1" applyAlignment="1">
      <alignment vertical="center" wrapText="1"/>
      <protection/>
    </xf>
    <xf numFmtId="0" fontId="29" fillId="0" borderId="19" xfId="0" applyFont="1" applyFill="1" applyBorder="1" applyAlignment="1">
      <alignment vertical="center" wrapText="1"/>
    </xf>
    <xf numFmtId="4" fontId="9" fillId="0" borderId="24" xfId="57" applyNumberFormat="1" applyFont="1" applyFill="1" applyBorder="1" applyAlignment="1">
      <alignment vertical="center"/>
      <protection/>
    </xf>
    <xf numFmtId="0" fontId="46" fillId="0" borderId="24" xfId="0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4" fontId="80" fillId="0" borderId="0" xfId="0" applyNumberFormat="1" applyFont="1" applyFill="1" applyAlignment="1">
      <alignment/>
    </xf>
    <xf numFmtId="4" fontId="46" fillId="0" borderId="14" xfId="53" applyNumberFormat="1" applyFont="1" applyFill="1" applyBorder="1" applyAlignment="1">
      <alignment horizontal="center" vertical="center"/>
      <protection/>
    </xf>
    <xf numFmtId="4" fontId="3" fillId="0" borderId="14" xfId="53" applyNumberFormat="1" applyFont="1" applyFill="1" applyBorder="1" applyAlignment="1">
      <alignment vertical="center"/>
      <protection/>
    </xf>
    <xf numFmtId="4" fontId="31" fillId="0" borderId="0" xfId="53" applyNumberFormat="1" applyFont="1" applyFill="1" applyBorder="1" applyAlignment="1">
      <alignment horizontal="right" vertical="center" wrapText="1"/>
      <protection/>
    </xf>
    <xf numFmtId="4" fontId="31" fillId="0" borderId="0" xfId="0" applyNumberFormat="1" applyFont="1" applyFill="1" applyAlignment="1">
      <alignment vertical="center"/>
    </xf>
    <xf numFmtId="0" fontId="9" fillId="0" borderId="11" xfId="57" applyFont="1" applyFill="1" applyBorder="1" applyAlignment="1">
      <alignment vertical="center" wrapText="1"/>
      <protection/>
    </xf>
    <xf numFmtId="4" fontId="46" fillId="0" borderId="21" xfId="57" applyNumberFormat="1" applyFont="1" applyFill="1" applyBorder="1" applyAlignment="1">
      <alignment horizontal="center" vertical="center"/>
      <protection/>
    </xf>
    <xf numFmtId="0" fontId="3" fillId="0" borderId="15" xfId="57" applyFont="1" applyFill="1" applyBorder="1" applyAlignment="1">
      <alignment vertical="center"/>
      <protection/>
    </xf>
    <xf numFmtId="4" fontId="3" fillId="0" borderId="15" xfId="57" applyNumberFormat="1" applyFont="1" applyFill="1" applyBorder="1" applyAlignment="1">
      <alignment vertical="center"/>
      <protection/>
    </xf>
    <xf numFmtId="0" fontId="29" fillId="0" borderId="17" xfId="57" applyFont="1" applyFill="1" applyBorder="1" applyAlignment="1">
      <alignment vertical="center" wrapText="1"/>
      <protection/>
    </xf>
    <xf numFmtId="0" fontId="46" fillId="0" borderId="17" xfId="53" applyFont="1" applyFill="1" applyBorder="1" applyAlignment="1">
      <alignment horizontal="center" vertical="center"/>
      <protection/>
    </xf>
    <xf numFmtId="4" fontId="3" fillId="0" borderId="12" xfId="57" applyNumberFormat="1" applyFont="1" applyFill="1" applyBorder="1" applyAlignment="1">
      <alignment vertical="center" wrapText="1"/>
      <protection/>
    </xf>
    <xf numFmtId="4" fontId="3" fillId="0" borderId="12" xfId="57" applyNumberFormat="1" applyFont="1" applyFill="1" applyBorder="1" applyAlignment="1">
      <alignment vertical="center"/>
      <protection/>
    </xf>
    <xf numFmtId="2" fontId="9" fillId="0" borderId="13" xfId="0" applyNumberFormat="1" applyFont="1" applyFill="1" applyBorder="1" applyAlignment="1">
      <alignment vertical="center" wrapText="1"/>
    </xf>
    <xf numFmtId="0" fontId="46" fillId="0" borderId="14" xfId="0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vertical="center"/>
    </xf>
    <xf numFmtId="0" fontId="37" fillId="0" borderId="15" xfId="0" applyFont="1" applyFill="1" applyBorder="1" applyAlignment="1">
      <alignment vertical="center" wrapText="1"/>
    </xf>
    <xf numFmtId="4" fontId="20" fillId="0" borderId="15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/>
    </xf>
    <xf numFmtId="0" fontId="9" fillId="0" borderId="13" xfId="57" applyFont="1" applyFill="1" applyBorder="1" applyAlignment="1">
      <alignment vertical="center" wrapText="1"/>
      <protection/>
    </xf>
    <xf numFmtId="0" fontId="37" fillId="0" borderId="12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9" fillId="0" borderId="14" xfId="53" applyFont="1" applyFill="1" applyBorder="1" applyAlignment="1">
      <alignment vertical="center" wrapText="1"/>
      <protection/>
    </xf>
    <xf numFmtId="4" fontId="3" fillId="0" borderId="15" xfId="57" applyNumberFormat="1" applyFont="1" applyFill="1" applyBorder="1" applyAlignment="1">
      <alignment vertical="center" wrapText="1"/>
      <protection/>
    </xf>
    <xf numFmtId="4" fontId="3" fillId="0" borderId="17" xfId="0" applyNumberFormat="1" applyFont="1" applyFill="1" applyBorder="1" applyAlignment="1">
      <alignment vertical="center"/>
    </xf>
    <xf numFmtId="4" fontId="29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25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37" fillId="0" borderId="0" xfId="0" applyFont="1" applyFill="1" applyAlignment="1">
      <alignment wrapText="1"/>
    </xf>
    <xf numFmtId="0" fontId="8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4" fillId="0" borderId="23" xfId="57" applyFont="1" applyFill="1" applyBorder="1" applyAlignment="1">
      <alignment horizontal="left" vertical="center"/>
      <protection/>
    </xf>
    <xf numFmtId="4" fontId="45" fillId="0" borderId="0" xfId="0" applyNumberFormat="1" applyFont="1" applyAlignment="1">
      <alignment/>
    </xf>
    <xf numFmtId="4" fontId="72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0" fontId="44" fillId="0" borderId="13" xfId="0" applyFont="1" applyBorder="1" applyAlignment="1">
      <alignment/>
    </xf>
    <xf numFmtId="4" fontId="44" fillId="0" borderId="13" xfId="0" applyNumberFormat="1" applyFont="1" applyBorder="1" applyAlignment="1">
      <alignment/>
    </xf>
    <xf numFmtId="4" fontId="73" fillId="0" borderId="13" xfId="0" applyNumberFormat="1" applyFont="1" applyBorder="1" applyAlignment="1">
      <alignment/>
    </xf>
    <xf numFmtId="0" fontId="58" fillId="0" borderId="13" xfId="0" applyFont="1" applyBorder="1" applyAlignment="1">
      <alignment/>
    </xf>
    <xf numFmtId="0" fontId="0" fillId="0" borderId="0" xfId="0" applyBorder="1" applyAlignment="1">
      <alignment/>
    </xf>
    <xf numFmtId="0" fontId="58" fillId="0" borderId="0" xfId="0" applyFont="1" applyAlignment="1">
      <alignment/>
    </xf>
    <xf numFmtId="4" fontId="44" fillId="0" borderId="0" xfId="0" applyNumberFormat="1" applyFont="1" applyBorder="1" applyAlignment="1">
      <alignment/>
    </xf>
    <xf numFmtId="4" fontId="73" fillId="0" borderId="0" xfId="0" applyNumberFormat="1" applyFont="1" applyAlignment="1">
      <alignment/>
    </xf>
    <xf numFmtId="4" fontId="3" fillId="0" borderId="13" xfId="52" applyNumberFormat="1" applyFont="1" applyFill="1" applyBorder="1" applyAlignment="1">
      <alignment horizontal="right" vertical="top"/>
      <protection/>
    </xf>
    <xf numFmtId="49" fontId="5" fillId="0" borderId="15" xfId="52" applyNumberFormat="1" applyFont="1" applyFill="1" applyBorder="1" applyAlignment="1">
      <alignment horizontal="center" vertical="center"/>
      <protection/>
    </xf>
    <xf numFmtId="4" fontId="45" fillId="33" borderId="0" xfId="0" applyNumberFormat="1" applyFont="1" applyFill="1" applyAlignment="1">
      <alignment/>
    </xf>
    <xf numFmtId="4" fontId="45" fillId="33" borderId="0" xfId="0" applyNumberFormat="1" applyFont="1" applyFill="1" applyBorder="1" applyAlignment="1">
      <alignment/>
    </xf>
    <xf numFmtId="49" fontId="5" fillId="0" borderId="10" xfId="52" applyNumberFormat="1" applyFont="1" applyFill="1" applyBorder="1" applyAlignment="1">
      <alignment vertical="center"/>
      <protection/>
    </xf>
    <xf numFmtId="49" fontId="5" fillId="0" borderId="23" xfId="52" applyNumberFormat="1" applyFont="1" applyFill="1" applyBorder="1" applyAlignment="1">
      <alignment horizontal="center" vertical="center"/>
      <protection/>
    </xf>
    <xf numFmtId="0" fontId="26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4" fontId="11" fillId="0" borderId="0" xfId="53" applyNumberFormat="1" applyFont="1" applyFill="1" applyAlignment="1">
      <alignment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1" fontId="20" fillId="0" borderId="0" xfId="52" applyNumberFormat="1" applyFont="1" applyFill="1" applyBorder="1" applyAlignment="1">
      <alignment horizontal="center" vertical="center"/>
      <protection/>
    </xf>
    <xf numFmtId="4" fontId="25" fillId="0" borderId="0" xfId="52" applyNumberFormat="1" applyFont="1" applyFill="1" applyBorder="1" applyAlignment="1">
      <alignment vertical="center"/>
      <protection/>
    </xf>
    <xf numFmtId="4" fontId="23" fillId="0" borderId="0" xfId="0" applyNumberFormat="1" applyFont="1" applyFill="1" applyBorder="1" applyAlignment="1">
      <alignment vertical="center"/>
    </xf>
    <xf numFmtId="49" fontId="5" fillId="0" borderId="16" xfId="52" applyNumberFormat="1" applyFont="1" applyFill="1" applyBorder="1" applyAlignment="1">
      <alignment horizontal="center" vertical="center"/>
      <protection/>
    </xf>
    <xf numFmtId="4" fontId="26" fillId="0" borderId="13" xfId="0" applyNumberFormat="1" applyFont="1" applyFill="1" applyBorder="1" applyAlignment="1">
      <alignment horizontal="left" vertical="center"/>
    </xf>
    <xf numFmtId="4" fontId="29" fillId="0" borderId="13" xfId="52" applyNumberFormat="1" applyFont="1" applyFill="1" applyBorder="1" applyAlignment="1">
      <alignment vertical="center"/>
      <protection/>
    </xf>
    <xf numFmtId="4" fontId="46" fillId="0" borderId="1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4" fontId="3" fillId="0" borderId="12" xfId="53" applyNumberFormat="1" applyFont="1" applyFill="1" applyBorder="1" applyAlignment="1">
      <alignment horizontal="right" vertical="center" wrapText="1"/>
      <protection/>
    </xf>
    <xf numFmtId="49" fontId="83" fillId="0" borderId="0" xfId="56" applyNumberFormat="1" applyFont="1" applyFill="1">
      <alignment/>
      <protection/>
    </xf>
    <xf numFmtId="49" fontId="16" fillId="0" borderId="0" xfId="56" applyNumberFormat="1" applyFont="1" applyFill="1" applyAlignment="1">
      <alignment horizontal="center"/>
      <protection/>
    </xf>
    <xf numFmtId="4" fontId="16" fillId="0" borderId="0" xfId="56" applyNumberFormat="1" applyFont="1" applyFill="1" applyAlignment="1">
      <alignment horizontal="right"/>
      <protection/>
    </xf>
    <xf numFmtId="4" fontId="28" fillId="0" borderId="0" xfId="52" applyNumberFormat="1" applyFont="1" applyFill="1" applyBorder="1" applyAlignment="1">
      <alignment vertical="center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49" fontId="5" fillId="0" borderId="0" xfId="56" applyNumberFormat="1" applyFont="1" applyFill="1">
      <alignment/>
      <protection/>
    </xf>
    <xf numFmtId="4" fontId="3" fillId="0" borderId="0" xfId="56" applyNumberFormat="1" applyFont="1" applyFill="1" applyAlignment="1">
      <alignment horizontal="right"/>
      <protection/>
    </xf>
    <xf numFmtId="4" fontId="1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" fontId="3" fillId="34" borderId="15" xfId="53" applyNumberFormat="1" applyFont="1" applyFill="1" applyBorder="1" applyAlignment="1">
      <alignment horizontal="center" vertical="center" wrapText="1"/>
      <protection/>
    </xf>
    <xf numFmtId="4" fontId="3" fillId="34" borderId="12" xfId="53" applyNumberFormat="1" applyFont="1" applyFill="1" applyBorder="1" applyAlignment="1">
      <alignment horizontal="center" vertical="center" wrapText="1"/>
      <protection/>
    </xf>
    <xf numFmtId="4" fontId="21" fillId="0" borderId="0" xfId="52" applyNumberFormat="1" applyFont="1" applyFill="1" applyBorder="1">
      <alignment/>
      <protection/>
    </xf>
    <xf numFmtId="0" fontId="9" fillId="0" borderId="0" xfId="52" applyFont="1" applyFill="1" applyBorder="1">
      <alignment/>
      <protection/>
    </xf>
    <xf numFmtId="4" fontId="2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76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4" fontId="34" fillId="0" borderId="0" xfId="0" applyNumberFormat="1" applyFont="1" applyFill="1" applyBorder="1" applyAlignment="1">
      <alignment/>
    </xf>
    <xf numFmtId="4" fontId="9" fillId="0" borderId="0" xfId="53" applyNumberFormat="1" applyFont="1" applyFill="1" applyBorder="1" applyAlignment="1">
      <alignment vertical="center"/>
      <protection/>
    </xf>
    <xf numFmtId="4" fontId="3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 applyBorder="1" applyAlignment="1">
      <alignment vertical="center"/>
      <protection/>
    </xf>
    <xf numFmtId="4" fontId="9" fillId="0" borderId="0" xfId="53" applyNumberFormat="1" applyFont="1" applyFill="1" applyBorder="1">
      <alignment/>
      <protection/>
    </xf>
    <xf numFmtId="4" fontId="3" fillId="0" borderId="0" xfId="53" applyNumberFormat="1" applyFont="1" applyFill="1" applyBorder="1">
      <alignment/>
      <protection/>
    </xf>
    <xf numFmtId="4" fontId="22" fillId="0" borderId="0" xfId="53" applyNumberFormat="1" applyFont="1" applyFill="1" applyBorder="1">
      <alignment/>
      <protection/>
    </xf>
    <xf numFmtId="4" fontId="20" fillId="0" borderId="0" xfId="53" applyNumberFormat="1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3" fillId="0" borderId="0" xfId="0" applyFont="1" applyFill="1" applyBorder="1" applyAlignment="1">
      <alignment/>
    </xf>
    <xf numFmtId="4" fontId="23" fillId="0" borderId="0" xfId="53" applyNumberFormat="1" applyFont="1" applyFill="1" applyBorder="1">
      <alignment/>
      <protection/>
    </xf>
    <xf numFmtId="4" fontId="21" fillId="0" borderId="0" xfId="53" applyNumberFormat="1" applyFont="1" applyFill="1" applyBorder="1">
      <alignment/>
      <protection/>
    </xf>
    <xf numFmtId="4" fontId="24" fillId="0" borderId="0" xfId="52" applyNumberFormat="1" applyFont="1" applyFill="1" applyBorder="1">
      <alignment/>
      <protection/>
    </xf>
    <xf numFmtId="4" fontId="23" fillId="0" borderId="0" xfId="52" applyNumberFormat="1" applyFont="1" applyFill="1" applyBorder="1">
      <alignment/>
      <protection/>
    </xf>
    <xf numFmtId="4" fontId="36" fillId="0" borderId="0" xfId="52" applyNumberFormat="1" applyFont="1" applyFill="1" applyBorder="1">
      <alignment/>
      <protection/>
    </xf>
    <xf numFmtId="4" fontId="24" fillId="0" borderId="0" xfId="52" applyNumberFormat="1" applyFont="1" applyFill="1" applyBorder="1">
      <alignment/>
      <protection/>
    </xf>
    <xf numFmtId="4" fontId="23" fillId="0" borderId="0" xfId="52" applyNumberFormat="1" applyFont="1" applyFill="1" applyBorder="1">
      <alignment/>
      <protection/>
    </xf>
    <xf numFmtId="4" fontId="82" fillId="0" borderId="0" xfId="52" applyNumberFormat="1" applyFont="1" applyFill="1" applyBorder="1">
      <alignment/>
      <protection/>
    </xf>
    <xf numFmtId="4" fontId="22" fillId="0" borderId="0" xfId="52" applyNumberFormat="1" applyFont="1" applyFill="1" applyBorder="1">
      <alignment/>
      <protection/>
    </xf>
    <xf numFmtId="4" fontId="20" fillId="0" borderId="0" xfId="0" applyNumberFormat="1" applyFont="1" applyFill="1" applyBorder="1" applyAlignment="1">
      <alignment/>
    </xf>
    <xf numFmtId="4" fontId="33" fillId="0" borderId="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4" fontId="36" fillId="0" borderId="0" xfId="0" applyNumberFormat="1" applyFont="1" applyFill="1" applyBorder="1" applyAlignment="1">
      <alignment/>
    </xf>
    <xf numFmtId="4" fontId="4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4" fontId="37" fillId="0" borderId="0" xfId="0" applyNumberFormat="1" applyFont="1" applyFill="1" applyBorder="1" applyAlignment="1">
      <alignment/>
    </xf>
    <xf numFmtId="4" fontId="33" fillId="0" borderId="0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35" fillId="0" borderId="0" xfId="52" applyNumberFormat="1" applyFont="1" applyFill="1" applyBorder="1">
      <alignment/>
      <protection/>
    </xf>
    <xf numFmtId="4" fontId="34" fillId="0" borderId="0" xfId="52" applyNumberFormat="1" applyFont="1" applyFill="1" applyBorder="1">
      <alignment/>
      <protection/>
    </xf>
    <xf numFmtId="164" fontId="9" fillId="0" borderId="0" xfId="52" applyNumberFormat="1" applyFont="1" applyFill="1" applyBorder="1">
      <alignment/>
      <protection/>
    </xf>
    <xf numFmtId="4" fontId="40" fillId="0" borderId="0" xfId="52" applyNumberFormat="1" applyFont="1" applyFill="1" applyBorder="1">
      <alignment/>
      <protection/>
    </xf>
    <xf numFmtId="4" fontId="25" fillId="0" borderId="0" xfId="52" applyNumberFormat="1" applyFont="1" applyFill="1" applyBorder="1">
      <alignment/>
      <protection/>
    </xf>
    <xf numFmtId="4" fontId="33" fillId="0" borderId="0" xfId="52" applyNumberFormat="1" applyFont="1" applyFill="1" applyBorder="1">
      <alignment/>
      <protection/>
    </xf>
    <xf numFmtId="4" fontId="38" fillId="0" borderId="0" xfId="52" applyNumberFormat="1" applyFont="1" applyFill="1" applyBorder="1">
      <alignment/>
      <protection/>
    </xf>
    <xf numFmtId="4" fontId="5" fillId="0" borderId="0" xfId="52" applyNumberFormat="1" applyFont="1" applyFill="1" applyBorder="1">
      <alignment/>
      <protection/>
    </xf>
    <xf numFmtId="4" fontId="2" fillId="0" borderId="0" xfId="52" applyNumberFormat="1" applyFont="1" applyFill="1" applyBorder="1">
      <alignment/>
      <protection/>
    </xf>
    <xf numFmtId="4" fontId="20" fillId="0" borderId="0" xfId="52" applyNumberFormat="1" applyFont="1" applyFill="1" applyBorder="1">
      <alignment/>
      <protection/>
    </xf>
    <xf numFmtId="4" fontId="9" fillId="0" borderId="0" xfId="52" applyNumberFormat="1" applyFont="1" applyFill="1" applyBorder="1">
      <alignment/>
      <protection/>
    </xf>
    <xf numFmtId="4" fontId="41" fillId="0" borderId="0" xfId="52" applyNumberFormat="1" applyFont="1" applyFill="1" applyBorder="1">
      <alignment/>
      <protection/>
    </xf>
    <xf numFmtId="4" fontId="42" fillId="0" borderId="0" xfId="52" applyNumberFormat="1" applyFont="1" applyFill="1" applyBorder="1">
      <alignment/>
      <protection/>
    </xf>
    <xf numFmtId="4" fontId="43" fillId="0" borderId="0" xfId="52" applyNumberFormat="1" applyFont="1" applyFill="1" applyBorder="1">
      <alignment/>
      <protection/>
    </xf>
    <xf numFmtId="0" fontId="3" fillId="0" borderId="0" xfId="52" applyFont="1" applyFill="1" applyBorder="1">
      <alignment/>
      <protection/>
    </xf>
    <xf numFmtId="4" fontId="33" fillId="0" borderId="0" xfId="52" applyNumberFormat="1" applyFont="1" applyFill="1" applyBorder="1" applyAlignment="1">
      <alignment vertical="center"/>
      <protection/>
    </xf>
    <xf numFmtId="4" fontId="23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4" fontId="22" fillId="0" borderId="0" xfId="52" applyNumberFormat="1" applyFont="1" applyFill="1" applyBorder="1" applyAlignment="1">
      <alignment vertical="center"/>
      <protection/>
    </xf>
    <xf numFmtId="4" fontId="3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3" fillId="0" borderId="0" xfId="52" applyFont="1" applyFill="1" applyBorder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3" fillId="0" borderId="0" xfId="0" applyNumberFormat="1" applyFont="1" applyFill="1" applyBorder="1" applyAlignment="1">
      <alignment vertical="center"/>
    </xf>
    <xf numFmtId="4" fontId="5" fillId="0" borderId="12" xfId="52" applyNumberFormat="1" applyFont="1" applyFill="1" applyBorder="1" applyAlignment="1">
      <alignment horizontal="right" vertical="center"/>
      <protection/>
    </xf>
    <xf numFmtId="4" fontId="5" fillId="0" borderId="12" xfId="52" applyNumberFormat="1" applyFont="1" applyFill="1" applyBorder="1" applyAlignment="1">
      <alignment horizontal="right" vertical="center" wrapText="1"/>
      <protection/>
    </xf>
    <xf numFmtId="4" fontId="7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4" fontId="34" fillId="0" borderId="0" xfId="53" applyNumberFormat="1" applyFont="1" applyFill="1" applyAlignment="1">
      <alignment vertical="center"/>
      <protection/>
    </xf>
    <xf numFmtId="4" fontId="60" fillId="0" borderId="0" xfId="0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center"/>
    </xf>
    <xf numFmtId="4" fontId="9" fillId="0" borderId="11" xfId="0" applyNumberFormat="1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vertical="center"/>
    </xf>
    <xf numFmtId="49" fontId="5" fillId="0" borderId="10" xfId="52" applyNumberFormat="1" applyFont="1" applyFill="1" applyBorder="1" applyAlignment="1">
      <alignment horizontal="left" vertical="center"/>
      <protection/>
    </xf>
    <xf numFmtId="4" fontId="3" fillId="0" borderId="21" xfId="0" applyNumberFormat="1" applyFont="1" applyFill="1" applyBorder="1" applyAlignment="1">
      <alignment vertical="center"/>
    </xf>
    <xf numFmtId="4" fontId="3" fillId="0" borderId="23" xfId="53" applyNumberFormat="1" applyFont="1" applyFill="1" applyBorder="1" applyAlignment="1">
      <alignment horizontal="center" vertical="center" wrapText="1"/>
      <protection/>
    </xf>
    <xf numFmtId="4" fontId="3" fillId="34" borderId="12" xfId="57" applyNumberFormat="1" applyFont="1" applyFill="1" applyBorder="1" applyAlignment="1">
      <alignment vertical="center" wrapText="1"/>
      <protection/>
    </xf>
    <xf numFmtId="4" fontId="3" fillId="34" borderId="12" xfId="57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69" fillId="0" borderId="0" xfId="0" applyFont="1" applyFill="1" applyBorder="1" applyAlignment="1">
      <alignment/>
    </xf>
    <xf numFmtId="4" fontId="69" fillId="0" borderId="0" xfId="0" applyNumberFormat="1" applyFont="1" applyFill="1" applyBorder="1" applyAlignment="1">
      <alignment/>
    </xf>
    <xf numFmtId="4" fontId="65" fillId="0" borderId="0" xfId="0" applyNumberFormat="1" applyFont="1" applyFill="1" applyBorder="1" applyAlignment="1">
      <alignment/>
    </xf>
    <xf numFmtId="4" fontId="70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5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5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29" fillId="0" borderId="16" xfId="0" applyNumberFormat="1" applyFont="1" applyFill="1" applyBorder="1" applyAlignment="1">
      <alignment vertical="center" wrapText="1"/>
    </xf>
    <xf numFmtId="4" fontId="58" fillId="0" borderId="0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58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4" fontId="60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4" fontId="77" fillId="0" borderId="0" xfId="0" applyNumberFormat="1" applyFont="1" applyFill="1" applyBorder="1" applyAlignment="1">
      <alignment vertical="center"/>
    </xf>
    <xf numFmtId="4" fontId="59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50" fillId="0" borderId="0" xfId="0" applyNumberFormat="1" applyFont="1" applyFill="1" applyBorder="1" applyAlignment="1">
      <alignment/>
    </xf>
    <xf numFmtId="4" fontId="3" fillId="34" borderId="17" xfId="53" applyNumberFormat="1" applyFont="1" applyFill="1" applyBorder="1" applyAlignment="1">
      <alignment horizontal="center" vertical="center" wrapText="1"/>
      <protection/>
    </xf>
    <xf numFmtId="0" fontId="9" fillId="34" borderId="13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vertical="center" wrapText="1"/>
    </xf>
    <xf numFmtId="4" fontId="29" fillId="34" borderId="10" xfId="0" applyNumberFormat="1" applyFont="1" applyFill="1" applyBorder="1" applyAlignment="1">
      <alignment vertical="center" wrapText="1"/>
    </xf>
    <xf numFmtId="0" fontId="46" fillId="34" borderId="10" xfId="0" applyFont="1" applyFill="1" applyBorder="1" applyAlignment="1">
      <alignment vertical="center" wrapText="1"/>
    </xf>
    <xf numFmtId="4" fontId="9" fillId="34" borderId="10" xfId="0" applyNumberFormat="1" applyFont="1" applyFill="1" applyBorder="1" applyAlignment="1">
      <alignment vertical="center"/>
    </xf>
    <xf numFmtId="0" fontId="10" fillId="34" borderId="13" xfId="0" applyFont="1" applyFill="1" applyBorder="1" applyAlignment="1">
      <alignment horizontal="center" vertical="center"/>
    </xf>
    <xf numFmtId="4" fontId="3" fillId="0" borderId="12" xfId="52" applyNumberFormat="1" applyFont="1" applyFill="1" applyBorder="1" applyAlignment="1">
      <alignment horizontal="right" vertical="center"/>
      <protection/>
    </xf>
    <xf numFmtId="4" fontId="3" fillId="0" borderId="12" xfId="52" applyNumberFormat="1" applyFont="1" applyFill="1" applyBorder="1" applyAlignment="1">
      <alignment horizontal="right" vertical="center" wrapText="1"/>
      <protection/>
    </xf>
    <xf numFmtId="0" fontId="2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center" vertical="center" wrapText="1"/>
    </xf>
    <xf numFmtId="4" fontId="34" fillId="0" borderId="0" xfId="0" applyNumberFormat="1" applyFont="1" applyFill="1" applyAlignment="1">
      <alignment vertical="center"/>
    </xf>
    <xf numFmtId="0" fontId="11" fillId="0" borderId="16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51" fillId="0" borderId="18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4" fontId="37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6" fillId="0" borderId="0" xfId="52" applyNumberFormat="1" applyFont="1" applyFill="1" applyBorder="1" applyAlignment="1">
      <alignment horizontal="right"/>
      <protection/>
    </xf>
    <xf numFmtId="0" fontId="5" fillId="0" borderId="1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left" vertical="center"/>
    </xf>
    <xf numFmtId="0" fontId="51" fillId="0" borderId="17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horizontal="right" vertical="center"/>
    </xf>
    <xf numFmtId="0" fontId="49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left" vertical="center"/>
    </xf>
    <xf numFmtId="0" fontId="29" fillId="0" borderId="18" xfId="54" applyFont="1" applyFill="1" applyBorder="1" applyAlignment="1">
      <alignment horizontal="left" vertical="center" wrapText="1"/>
      <protection/>
    </xf>
    <xf numFmtId="0" fontId="49" fillId="0" borderId="13" xfId="0" applyFont="1" applyFill="1" applyBorder="1" applyAlignment="1">
      <alignment horizontal="left" vertical="center" wrapText="1"/>
    </xf>
    <xf numFmtId="0" fontId="29" fillId="0" borderId="13" xfId="54" applyFont="1" applyFill="1" applyBorder="1" applyAlignment="1">
      <alignment horizontal="left" vertical="center" wrapText="1"/>
      <protection/>
    </xf>
    <xf numFmtId="0" fontId="29" fillId="0" borderId="0" xfId="54" applyFont="1" applyFill="1" applyBorder="1" applyAlignment="1">
      <alignment horizontal="left" vertical="center" wrapText="1"/>
      <protection/>
    </xf>
    <xf numFmtId="0" fontId="49" fillId="0" borderId="14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/>
    </xf>
    <xf numFmtId="49" fontId="29" fillId="0" borderId="13" xfId="52" applyNumberFormat="1" applyFont="1" applyFill="1" applyBorder="1" applyAlignment="1">
      <alignment horizontal="left" vertical="center" wrapText="1"/>
      <protection/>
    </xf>
    <xf numFmtId="4" fontId="3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vertical="center"/>
    </xf>
    <xf numFmtId="4" fontId="3" fillId="0" borderId="12" xfId="0" applyNumberFormat="1" applyFont="1" applyFill="1" applyBorder="1" applyAlignment="1">
      <alignment horizontal="right" vertical="center"/>
    </xf>
    <xf numFmtId="4" fontId="85" fillId="0" borderId="0" xfId="0" applyNumberFormat="1" applyFont="1" applyFill="1" applyAlignment="1">
      <alignment vertical="center"/>
    </xf>
    <xf numFmtId="0" fontId="85" fillId="0" borderId="0" xfId="0" applyFont="1" applyFill="1" applyAlignment="1">
      <alignment vertical="center"/>
    </xf>
    <xf numFmtId="0" fontId="9" fillId="0" borderId="16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 wrapText="1"/>
    </xf>
    <xf numFmtId="4" fontId="65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center" wrapText="1"/>
    </xf>
    <xf numFmtId="0" fontId="54" fillId="0" borderId="2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vertical="center"/>
    </xf>
    <xf numFmtId="0" fontId="54" fillId="0" borderId="16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 wrapText="1"/>
    </xf>
    <xf numFmtId="4" fontId="45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4" fontId="13" fillId="0" borderId="13" xfId="0" applyNumberFormat="1" applyFont="1" applyFill="1" applyBorder="1" applyAlignment="1">
      <alignment horizontal="right" vertical="center"/>
    </xf>
    <xf numFmtId="0" fontId="49" fillId="0" borderId="15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29" fillId="0" borderId="17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horizontal="right" vertical="center"/>
    </xf>
    <xf numFmtId="4" fontId="3" fillId="34" borderId="13" xfId="0" applyNumberFormat="1" applyFont="1" applyFill="1" applyBorder="1" applyAlignment="1">
      <alignment vertical="center"/>
    </xf>
    <xf numFmtId="4" fontId="3" fillId="34" borderId="14" xfId="0" applyNumberFormat="1" applyFont="1" applyFill="1" applyBorder="1" applyAlignment="1">
      <alignment vertical="center"/>
    </xf>
    <xf numFmtId="4" fontId="3" fillId="34" borderId="15" xfId="0" applyNumberFormat="1" applyFont="1" applyFill="1" applyBorder="1" applyAlignment="1">
      <alignment vertical="center"/>
    </xf>
    <xf numFmtId="4" fontId="3" fillId="34" borderId="13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vertical="center"/>
    </xf>
    <xf numFmtId="0" fontId="6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37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" fillId="0" borderId="22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 wrapText="1"/>
    </xf>
    <xf numFmtId="0" fontId="14" fillId="0" borderId="22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right" vertical="center" wrapText="1"/>
    </xf>
    <xf numFmtId="4" fontId="37" fillId="0" borderId="0" xfId="0" applyNumberFormat="1" applyFont="1" applyFill="1" applyAlignment="1">
      <alignment/>
    </xf>
    <xf numFmtId="0" fontId="49" fillId="0" borderId="2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4" fontId="26" fillId="0" borderId="0" xfId="0" applyNumberFormat="1" applyFont="1" applyFill="1" applyAlignment="1">
      <alignment/>
    </xf>
    <xf numFmtId="0" fontId="49" fillId="0" borderId="20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/>
    </xf>
    <xf numFmtId="0" fontId="29" fillId="0" borderId="11" xfId="0" applyFont="1" applyFill="1" applyBorder="1" applyAlignment="1">
      <alignment horizontal="left" vertical="center"/>
    </xf>
    <xf numFmtId="0" fontId="49" fillId="0" borderId="23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/>
    </xf>
    <xf numFmtId="0" fontId="49" fillId="0" borderId="19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right" vertical="center"/>
    </xf>
    <xf numFmtId="49" fontId="29" fillId="0" borderId="19" xfId="52" applyNumberFormat="1" applyFont="1" applyFill="1" applyBorder="1" applyAlignment="1">
      <alignment horizontal="left" vertical="center" wrapText="1"/>
      <protection/>
    </xf>
    <xf numFmtId="49" fontId="29" fillId="0" borderId="13" xfId="52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/>
    </xf>
    <xf numFmtId="0" fontId="5" fillId="0" borderId="24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 wrapText="1"/>
    </xf>
    <xf numFmtId="4" fontId="13" fillId="0" borderId="17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vertical="center"/>
    </xf>
    <xf numFmtId="0" fontId="54" fillId="0" borderId="19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49" fillId="0" borderId="16" xfId="0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/>
    </xf>
    <xf numFmtId="49" fontId="83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0" fontId="9" fillId="34" borderId="19" xfId="0" applyFont="1" applyFill="1" applyBorder="1" applyAlignment="1">
      <alignment horizontal="center" vertical="center"/>
    </xf>
    <xf numFmtId="4" fontId="29" fillId="34" borderId="10" xfId="52" applyNumberFormat="1" applyFont="1" applyFill="1" applyBorder="1" applyAlignment="1">
      <alignment vertical="center"/>
      <protection/>
    </xf>
    <xf numFmtId="0" fontId="26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34" borderId="11" xfId="0" applyFont="1" applyFill="1" applyBorder="1" applyAlignment="1">
      <alignment horizontal="center" vertical="center"/>
    </xf>
    <xf numFmtId="0" fontId="29" fillId="34" borderId="24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/>
    </xf>
    <xf numFmtId="0" fontId="12" fillId="34" borderId="14" xfId="0" applyFont="1" applyFill="1" applyBorder="1" applyAlignment="1">
      <alignment horizontal="left" vertical="center"/>
    </xf>
    <xf numFmtId="0" fontId="49" fillId="34" borderId="14" xfId="0" applyFont="1" applyFill="1" applyBorder="1" applyAlignment="1">
      <alignment horizontal="left" vertical="center"/>
    </xf>
    <xf numFmtId="0" fontId="29" fillId="34" borderId="18" xfId="0" applyFont="1" applyFill="1" applyBorder="1" applyAlignment="1">
      <alignment horizontal="left" vertical="center" wrapText="1"/>
    </xf>
    <xf numFmtId="4" fontId="5" fillId="34" borderId="12" xfId="0" applyNumberFormat="1" applyFont="1" applyFill="1" applyBorder="1" applyAlignment="1">
      <alignment horizontal="right" vertical="center" wrapText="1"/>
    </xf>
    <xf numFmtId="0" fontId="55" fillId="34" borderId="13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/>
    </xf>
    <xf numFmtId="0" fontId="9" fillId="0" borderId="20" xfId="52" applyFont="1" applyFill="1" applyBorder="1">
      <alignment/>
      <protection/>
    </xf>
    <xf numFmtId="0" fontId="9" fillId="0" borderId="22" xfId="52" applyFont="1" applyFill="1" applyBorder="1">
      <alignment/>
      <protection/>
    </xf>
    <xf numFmtId="0" fontId="46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5" xfId="52"/>
    <cellStyle name="Normalny_Arkusz8" xfId="53"/>
    <cellStyle name="Normalny_tabela nr 8" xfId="54"/>
    <cellStyle name="Normalny_Uch.RMK luty" xfId="55"/>
    <cellStyle name="Normalny_Uch.RMK marzec" xfId="56"/>
    <cellStyle name="Normalny_Zał. nr 3A" xfId="57"/>
    <cellStyle name="Normalny_ZPMK luty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4"/>
  <sheetViews>
    <sheetView zoomScalePageLayoutView="0" workbookViewId="0" topLeftCell="A13">
      <selection activeCell="G43" sqref="G43"/>
    </sheetView>
  </sheetViews>
  <sheetFormatPr defaultColWidth="9.140625" defaultRowHeight="12.75"/>
  <cols>
    <col min="1" max="1" width="22.7109375" style="0" customWidth="1"/>
    <col min="2" max="2" width="18.8515625" style="604" customWidth="1"/>
    <col min="3" max="3" width="17.8515625" style="604" customWidth="1"/>
    <col min="4" max="4" width="18.7109375" style="604" customWidth="1"/>
    <col min="5" max="5" width="19.57421875" style="604" customWidth="1"/>
    <col min="6" max="6" width="21.7109375" style="604" customWidth="1"/>
    <col min="7" max="7" width="21.8515625" style="604" customWidth="1"/>
    <col min="8" max="8" width="29.421875" style="604" customWidth="1"/>
    <col min="9" max="14" width="9.140625" style="604" customWidth="1"/>
  </cols>
  <sheetData>
    <row r="2" spans="1:14" s="469" customFormat="1" ht="12">
      <c r="A2" s="607"/>
      <c r="B2" s="608" t="s">
        <v>514</v>
      </c>
      <c r="C2" s="608" t="s">
        <v>517</v>
      </c>
      <c r="D2" s="608" t="s">
        <v>515</v>
      </c>
      <c r="E2" s="608" t="s">
        <v>516</v>
      </c>
      <c r="F2" s="608"/>
      <c r="G2" s="470"/>
      <c r="H2" s="470"/>
      <c r="I2" s="470"/>
      <c r="J2" s="470"/>
      <c r="K2" s="470"/>
      <c r="L2" s="470"/>
      <c r="M2" s="470"/>
      <c r="N2" s="470"/>
    </row>
    <row r="3" spans="1:6" ht="18">
      <c r="A3" s="610" t="s">
        <v>721</v>
      </c>
      <c r="B3" s="609">
        <f>SUM(B4:B11)</f>
        <v>69735</v>
      </c>
      <c r="C3" s="609">
        <f>SUM(C4:C11)</f>
        <v>523</v>
      </c>
      <c r="D3" s="609">
        <f>SUM(D4:D11)</f>
        <v>3867</v>
      </c>
      <c r="E3" s="609">
        <f>SUM(E4:E11)</f>
        <v>8591</v>
      </c>
      <c r="F3" s="609">
        <f>SUM(F4:F11)</f>
        <v>82716</v>
      </c>
    </row>
    <row r="4" spans="1:6" ht="18">
      <c r="A4" s="467" t="s">
        <v>506</v>
      </c>
      <c r="B4" s="468">
        <v>12689</v>
      </c>
      <c r="C4" s="468"/>
      <c r="D4" s="468">
        <v>832</v>
      </c>
      <c r="E4" s="468">
        <v>579</v>
      </c>
      <c r="F4" s="468">
        <f>B4+C4+D4+E4</f>
        <v>14100</v>
      </c>
    </row>
    <row r="5" spans="1:6" ht="18">
      <c r="A5" s="467" t="s">
        <v>508</v>
      </c>
      <c r="B5" s="468">
        <v>4685</v>
      </c>
      <c r="C5" s="468"/>
      <c r="D5" s="468">
        <v>175</v>
      </c>
      <c r="E5" s="468">
        <v>256</v>
      </c>
      <c r="F5" s="468">
        <f aca="true" t="shared" si="0" ref="F5:F11">B5+C5+D5+E5</f>
        <v>5116</v>
      </c>
    </row>
    <row r="6" spans="1:6" ht="18">
      <c r="A6" s="467" t="s">
        <v>509</v>
      </c>
      <c r="B6" s="468">
        <v>16847</v>
      </c>
      <c r="C6" s="468"/>
      <c r="D6" s="468">
        <v>1470</v>
      </c>
      <c r="E6" s="468">
        <v>2438</v>
      </c>
      <c r="F6" s="468">
        <f t="shared" si="0"/>
        <v>20755</v>
      </c>
    </row>
    <row r="7" spans="1:6" ht="18">
      <c r="A7" s="467" t="s">
        <v>507</v>
      </c>
      <c r="B7" s="468"/>
      <c r="C7" s="468"/>
      <c r="D7" s="468"/>
      <c r="E7" s="468">
        <v>370</v>
      </c>
      <c r="F7" s="468">
        <f t="shared" si="0"/>
        <v>370</v>
      </c>
    </row>
    <row r="8" spans="1:6" ht="18">
      <c r="A8" s="467" t="s">
        <v>510</v>
      </c>
      <c r="B8" s="468">
        <v>16332</v>
      </c>
      <c r="C8" s="468"/>
      <c r="D8" s="468">
        <v>741</v>
      </c>
      <c r="E8" s="468">
        <v>3221</v>
      </c>
      <c r="F8" s="468">
        <f t="shared" si="0"/>
        <v>20294</v>
      </c>
    </row>
    <row r="9" spans="1:6" ht="18">
      <c r="A9" s="467" t="s">
        <v>511</v>
      </c>
      <c r="B9" s="468">
        <v>5663</v>
      </c>
      <c r="C9" s="468">
        <v>523</v>
      </c>
      <c r="D9" s="468">
        <v>397</v>
      </c>
      <c r="E9" s="468">
        <v>535</v>
      </c>
      <c r="F9" s="468">
        <f t="shared" si="0"/>
        <v>7118</v>
      </c>
    </row>
    <row r="10" spans="1:6" ht="18">
      <c r="A10" s="467" t="s">
        <v>512</v>
      </c>
      <c r="B10" s="468">
        <v>578</v>
      </c>
      <c r="C10" s="468"/>
      <c r="D10" s="468"/>
      <c r="E10" s="468"/>
      <c r="F10" s="468">
        <f t="shared" si="0"/>
        <v>578</v>
      </c>
    </row>
    <row r="11" spans="1:6" ht="18">
      <c r="A11" s="467" t="s">
        <v>513</v>
      </c>
      <c r="B11" s="468">
        <v>12941</v>
      </c>
      <c r="C11" s="468"/>
      <c r="D11" s="468">
        <v>252</v>
      </c>
      <c r="E11" s="468">
        <v>1192</v>
      </c>
      <c r="F11" s="468">
        <f t="shared" si="0"/>
        <v>14385</v>
      </c>
    </row>
    <row r="12" spans="5:6" ht="18">
      <c r="E12" s="614">
        <f>B3+C3+D3+E3</f>
        <v>82716</v>
      </c>
      <c r="F12" s="614">
        <f>B3+C3+D3+E3+F3</f>
        <v>165432</v>
      </c>
    </row>
    <row r="14" spans="1:4" ht="20.25">
      <c r="A14" s="465" t="s">
        <v>493</v>
      </c>
      <c r="B14" s="466">
        <f>SUM(B15:B26)</f>
        <v>70678</v>
      </c>
      <c r="C14" s="605">
        <v>12800</v>
      </c>
      <c r="D14" s="604">
        <f>B14+C14</f>
        <v>83478</v>
      </c>
    </row>
    <row r="15" spans="1:3" ht="18">
      <c r="A15" s="467" t="s">
        <v>494</v>
      </c>
      <c r="B15" s="468">
        <v>16000</v>
      </c>
      <c r="C15" s="606"/>
    </row>
    <row r="16" spans="1:3" ht="18">
      <c r="A16" s="467" t="s">
        <v>495</v>
      </c>
      <c r="B16" s="468">
        <v>3070</v>
      </c>
      <c r="C16" s="606"/>
    </row>
    <row r="17" spans="1:3" ht="18">
      <c r="A17" s="467" t="s">
        <v>496</v>
      </c>
      <c r="B17" s="468">
        <v>4300</v>
      </c>
      <c r="C17" s="606"/>
    </row>
    <row r="18" spans="1:3" ht="18">
      <c r="A18" s="467" t="s">
        <v>497</v>
      </c>
      <c r="B18" s="468">
        <v>3000</v>
      </c>
      <c r="C18" s="606"/>
    </row>
    <row r="19" spans="1:3" ht="18">
      <c r="A19" s="467" t="s">
        <v>498</v>
      </c>
      <c r="B19" s="468">
        <v>6000</v>
      </c>
      <c r="C19" s="606"/>
    </row>
    <row r="20" spans="1:3" ht="18">
      <c r="A20" s="467" t="s">
        <v>499</v>
      </c>
      <c r="B20" s="468">
        <v>5209</v>
      </c>
      <c r="C20" s="606"/>
    </row>
    <row r="21" spans="1:3" ht="18">
      <c r="A21" s="467" t="s">
        <v>500</v>
      </c>
      <c r="B21" s="468">
        <v>4542</v>
      </c>
      <c r="C21" s="606"/>
    </row>
    <row r="22" spans="1:3" ht="18">
      <c r="A22" s="467" t="s">
        <v>501</v>
      </c>
      <c r="B22" s="468">
        <v>5000</v>
      </c>
      <c r="C22" s="606"/>
    </row>
    <row r="23" spans="1:3" ht="18">
      <c r="A23" s="467" t="s">
        <v>502</v>
      </c>
      <c r="B23" s="468">
        <v>1143</v>
      </c>
      <c r="C23" s="606"/>
    </row>
    <row r="24" spans="1:3" ht="18">
      <c r="A24" s="467" t="s">
        <v>503</v>
      </c>
      <c r="B24" s="468">
        <v>842</v>
      </c>
      <c r="C24" s="606"/>
    </row>
    <row r="25" spans="1:3" ht="18">
      <c r="A25" s="467" t="s">
        <v>504</v>
      </c>
      <c r="B25" s="468">
        <v>12772</v>
      </c>
      <c r="C25" s="606"/>
    </row>
    <row r="26" spans="1:3" ht="18">
      <c r="A26" s="467" t="s">
        <v>505</v>
      </c>
      <c r="B26" s="468">
        <v>8800</v>
      </c>
      <c r="C26" s="606"/>
    </row>
    <row r="27" spans="1:3" ht="18">
      <c r="A27" s="611"/>
      <c r="B27" s="606"/>
      <c r="C27" s="606"/>
    </row>
    <row r="28" spans="1:3" ht="18">
      <c r="A28" s="611"/>
      <c r="B28" s="606"/>
      <c r="C28" s="606"/>
    </row>
    <row r="30" spans="1:4" ht="18">
      <c r="A30" s="467"/>
      <c r="B30" s="608" t="s">
        <v>518</v>
      </c>
      <c r="C30" s="608" t="s">
        <v>515</v>
      </c>
      <c r="D30" s="608" t="s">
        <v>516</v>
      </c>
    </row>
    <row r="31" spans="1:14" s="612" customFormat="1" ht="18">
      <c r="A31" s="610" t="s">
        <v>721</v>
      </c>
      <c r="B31" s="609">
        <f>SUM(B32:B37)</f>
        <v>29292</v>
      </c>
      <c r="C31" s="609">
        <f>SUM(C32:C37)</f>
        <v>1107</v>
      </c>
      <c r="D31" s="609">
        <f>SUM(D32:D37)</f>
        <v>4437</v>
      </c>
      <c r="E31" s="614"/>
      <c r="F31" s="614"/>
      <c r="G31" s="614"/>
      <c r="H31" s="614"/>
      <c r="I31" s="614"/>
      <c r="J31" s="614"/>
      <c r="K31" s="614"/>
      <c r="L31" s="614"/>
      <c r="M31" s="614"/>
      <c r="N31" s="614"/>
    </row>
    <row r="32" spans="1:4" ht="18">
      <c r="A32" s="467" t="s">
        <v>519</v>
      </c>
      <c r="B32" s="468">
        <v>23</v>
      </c>
      <c r="C32" s="468">
        <v>599</v>
      </c>
      <c r="D32" s="468">
        <v>467</v>
      </c>
    </row>
    <row r="33" spans="1:4" ht="18">
      <c r="A33" s="467" t="s">
        <v>520</v>
      </c>
      <c r="B33" s="468">
        <v>6484</v>
      </c>
      <c r="C33" s="468"/>
      <c r="D33" s="468"/>
    </row>
    <row r="34" spans="1:4" ht="18">
      <c r="A34" s="467" t="s">
        <v>521</v>
      </c>
      <c r="B34" s="468">
        <v>137</v>
      </c>
      <c r="C34" s="468"/>
      <c r="D34" s="468"/>
    </row>
    <row r="35" spans="1:4" ht="18">
      <c r="A35" s="467" t="s">
        <v>522</v>
      </c>
      <c r="B35" s="468">
        <v>11733</v>
      </c>
      <c r="C35" s="468"/>
      <c r="D35" s="468">
        <v>225</v>
      </c>
    </row>
    <row r="36" spans="1:4" ht="18">
      <c r="A36" s="467" t="s">
        <v>523</v>
      </c>
      <c r="B36" s="468">
        <v>12480</v>
      </c>
      <c r="C36" s="468">
        <v>50</v>
      </c>
      <c r="D36" s="468">
        <v>2476</v>
      </c>
    </row>
    <row r="37" spans="1:4" ht="18">
      <c r="A37" s="467" t="s">
        <v>524</v>
      </c>
      <c r="B37" s="468">
        <v>-1565</v>
      </c>
      <c r="C37" s="468">
        <v>458</v>
      </c>
      <c r="D37" s="468">
        <f>162+1107</f>
        <v>1269</v>
      </c>
    </row>
    <row r="38" spans="4:8" ht="18">
      <c r="D38" s="614">
        <f>B31+C31+D31</f>
        <v>34836</v>
      </c>
      <c r="F38" s="614">
        <f>E12+B14+D38</f>
        <v>188230</v>
      </c>
      <c r="H38" s="604">
        <v>126543</v>
      </c>
    </row>
    <row r="39" spans="6:8" ht="18">
      <c r="F39" s="604">
        <v>12800</v>
      </c>
      <c r="H39" s="604">
        <f>F38+H38</f>
        <v>314773</v>
      </c>
    </row>
    <row r="40" ht="18">
      <c r="F40" s="604">
        <f>SUM(F38:F39)</f>
        <v>201030</v>
      </c>
    </row>
    <row r="45" ht="18">
      <c r="B45" s="617">
        <v>53073</v>
      </c>
    </row>
    <row r="46" spans="2:14" s="611" customFormat="1" ht="18">
      <c r="B46" s="618">
        <v>45631</v>
      </c>
      <c r="C46" s="613"/>
      <c r="D46" s="613"/>
      <c r="E46" s="613"/>
      <c r="F46" s="613"/>
      <c r="G46" s="613"/>
      <c r="H46" s="613"/>
      <c r="I46" s="606"/>
      <c r="J46" s="606"/>
      <c r="K46" s="606"/>
      <c r="L46" s="606"/>
      <c r="M46" s="606"/>
      <c r="N46" s="606"/>
    </row>
    <row r="47" ht="18">
      <c r="B47" s="604">
        <v>16366</v>
      </c>
    </row>
    <row r="48" ht="18">
      <c r="B48" s="604">
        <v>7741</v>
      </c>
    </row>
    <row r="49" ht="18">
      <c r="B49" s="604">
        <v>9194</v>
      </c>
    </row>
    <row r="50" ht="18">
      <c r="B50" s="604">
        <v>4950</v>
      </c>
    </row>
    <row r="51" ht="18">
      <c r="B51" s="604">
        <v>13293</v>
      </c>
    </row>
    <row r="52" ht="18">
      <c r="B52" s="604">
        <v>66690</v>
      </c>
    </row>
    <row r="53" ht="18">
      <c r="B53" s="604">
        <v>16546</v>
      </c>
    </row>
    <row r="54" spans="2:3" ht="18">
      <c r="B54" s="614">
        <f>SUM(B45:B53)</f>
        <v>233484</v>
      </c>
      <c r="C54" s="604" t="s">
        <v>616</v>
      </c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7:D28"/>
    </sheetView>
  </sheetViews>
  <sheetFormatPr defaultColWidth="9.140625" defaultRowHeight="12.75"/>
  <cols>
    <col min="1" max="1" width="16.7109375" style="0" customWidth="1"/>
    <col min="2" max="2" width="16.421875" style="712" customWidth="1"/>
    <col min="3" max="3" width="16.28125" style="712" customWidth="1"/>
    <col min="4" max="4" width="15.421875" style="712" customWidth="1"/>
    <col min="5" max="5" width="16.28125" style="712" customWidth="1"/>
    <col min="6" max="10" width="9.140625" style="712" customWidth="1"/>
  </cols>
  <sheetData>
    <row r="3" ht="34.5" customHeight="1"/>
    <row r="4" ht="34.5" customHeight="1"/>
    <row r="5" ht="34.5" customHeight="1"/>
    <row r="6" ht="34.5" customHeight="1"/>
    <row r="7" ht="34.5" customHeight="1"/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90"/>
  <sheetViews>
    <sheetView tabSelected="1" zoomScale="120" zoomScaleNormal="120" zoomScalePageLayoutView="0" workbookViewId="0" topLeftCell="A31">
      <selection activeCell="I464" sqref="I464"/>
    </sheetView>
  </sheetViews>
  <sheetFormatPr defaultColWidth="9.140625" defaultRowHeight="12.75"/>
  <cols>
    <col min="1" max="1" width="6.28125" style="2" customWidth="1"/>
    <col min="2" max="2" width="7.140625" style="2" customWidth="1"/>
    <col min="3" max="3" width="7.00390625" style="2" customWidth="1"/>
    <col min="4" max="4" width="15.28125" style="2" customWidth="1"/>
    <col min="5" max="5" width="14.140625" style="2" customWidth="1"/>
    <col min="6" max="6" width="15.57421875" style="2" customWidth="1"/>
    <col min="7" max="7" width="16.140625" style="2" customWidth="1"/>
    <col min="8" max="8" width="19.8515625" style="24" customWidth="1"/>
    <col min="9" max="9" width="28.00390625" style="655" customWidth="1"/>
    <col min="10" max="10" width="22.28125" style="647" customWidth="1"/>
    <col min="11" max="11" width="20.8515625" style="655" customWidth="1"/>
    <col min="12" max="12" width="19.28125" style="655" customWidth="1"/>
    <col min="13" max="13" width="19.00390625" style="655" customWidth="1"/>
    <col min="14" max="14" width="25.57421875" style="500" customWidth="1"/>
    <col min="15" max="15" width="22.421875" style="500" customWidth="1"/>
    <col min="16" max="18" width="9.140625" style="500" customWidth="1"/>
    <col min="19" max="16384" width="9.140625" style="2" customWidth="1"/>
  </cols>
  <sheetData>
    <row r="1" spans="1:18" s="33" customFormat="1" ht="23.25" customHeight="1">
      <c r="A1" s="43" t="s">
        <v>185</v>
      </c>
      <c r="B1" s="44"/>
      <c r="C1" s="45"/>
      <c r="D1" s="5"/>
      <c r="E1" s="5"/>
      <c r="F1" s="5"/>
      <c r="G1" s="38"/>
      <c r="H1" s="623" t="s">
        <v>772</v>
      </c>
      <c r="I1" s="657"/>
      <c r="J1" s="658"/>
      <c r="K1" s="659"/>
      <c r="L1" s="657"/>
      <c r="M1" s="657"/>
      <c r="N1" s="659"/>
      <c r="O1" s="319"/>
      <c r="P1" s="319"/>
      <c r="Q1" s="319"/>
      <c r="R1" s="319"/>
    </row>
    <row r="2" spans="1:18" s="33" customFormat="1" ht="24" customHeight="1">
      <c r="A2" s="43" t="s">
        <v>724</v>
      </c>
      <c r="B2" s="44"/>
      <c r="C2" s="45"/>
      <c r="D2" s="5"/>
      <c r="E2" s="5"/>
      <c r="F2" s="5"/>
      <c r="G2" s="38"/>
      <c r="H2" s="40" t="s">
        <v>622</v>
      </c>
      <c r="I2" s="657"/>
      <c r="J2" s="658"/>
      <c r="K2" s="659"/>
      <c r="L2" s="657"/>
      <c r="M2" s="657"/>
      <c r="N2" s="659"/>
      <c r="O2" s="319"/>
      <c r="P2" s="319"/>
      <c r="Q2" s="319"/>
      <c r="R2" s="319"/>
    </row>
    <row r="3" spans="1:18" s="33" customFormat="1" ht="24" customHeight="1">
      <c r="A3" s="43" t="s">
        <v>424</v>
      </c>
      <c r="B3" s="44"/>
      <c r="C3" s="45"/>
      <c r="D3" s="5"/>
      <c r="E3" s="5"/>
      <c r="F3" s="5"/>
      <c r="G3" s="38"/>
      <c r="H3" s="720"/>
      <c r="I3" s="657"/>
      <c r="J3" s="658"/>
      <c r="K3" s="659"/>
      <c r="L3" s="657"/>
      <c r="M3" s="657"/>
      <c r="N3" s="659"/>
      <c r="O3" s="319"/>
      <c r="P3" s="319"/>
      <c r="Q3" s="319"/>
      <c r="R3" s="319"/>
    </row>
    <row r="4" spans="1:18" s="33" customFormat="1" ht="17.25" customHeight="1">
      <c r="A4" s="37"/>
      <c r="B4" s="38"/>
      <c r="C4" s="39"/>
      <c r="D4" s="38"/>
      <c r="E4" s="38"/>
      <c r="F4" s="38"/>
      <c r="G4" s="38"/>
      <c r="H4" s="41"/>
      <c r="I4" s="657"/>
      <c r="J4" s="658"/>
      <c r="K4" s="659"/>
      <c r="L4" s="657"/>
      <c r="M4" s="657"/>
      <c r="N4" s="659"/>
      <c r="O4" s="319"/>
      <c r="P4" s="319"/>
      <c r="Q4" s="319"/>
      <c r="R4" s="319"/>
    </row>
    <row r="5" spans="1:14" ht="19.5">
      <c r="A5" s="23" t="s">
        <v>824</v>
      </c>
      <c r="B5" s="5"/>
      <c r="C5" s="6"/>
      <c r="D5" s="5"/>
      <c r="E5" s="5"/>
      <c r="F5" s="5"/>
      <c r="G5" s="5"/>
      <c r="H5" s="7"/>
      <c r="I5" s="660"/>
      <c r="J5" s="661"/>
      <c r="K5" s="506"/>
      <c r="L5" s="660"/>
      <c r="M5" s="660"/>
      <c r="N5" s="506"/>
    </row>
    <row r="6" spans="1:14" ht="18.75">
      <c r="A6" s="23"/>
      <c r="B6" s="5"/>
      <c r="C6" s="6"/>
      <c r="D6" s="5"/>
      <c r="E6" s="5"/>
      <c r="F6" s="5"/>
      <c r="G6" s="5"/>
      <c r="H6" s="7"/>
      <c r="I6" s="660"/>
      <c r="J6" s="661"/>
      <c r="K6" s="506"/>
      <c r="L6" s="660"/>
      <c r="M6" s="660"/>
      <c r="N6" s="506"/>
    </row>
    <row r="7" spans="1:14" ht="18.75">
      <c r="A7" s="5"/>
      <c r="B7" s="5"/>
      <c r="C7" s="6"/>
      <c r="D7" s="5"/>
      <c r="E7" s="5"/>
      <c r="F7" s="5"/>
      <c r="G7" s="5"/>
      <c r="H7" s="7"/>
      <c r="I7" s="660"/>
      <c r="J7" s="661"/>
      <c r="K7" s="506"/>
      <c r="L7" s="660"/>
      <c r="M7" s="660"/>
      <c r="N7" s="506"/>
    </row>
    <row r="8" spans="1:14" ht="18.75">
      <c r="A8" s="46" t="s">
        <v>725</v>
      </c>
      <c r="B8" s="44"/>
      <c r="C8" s="45"/>
      <c r="D8" s="5"/>
      <c r="E8" s="5"/>
      <c r="F8" s="5"/>
      <c r="G8" s="5"/>
      <c r="H8" s="7"/>
      <c r="I8" s="660"/>
      <c r="J8" s="661"/>
      <c r="K8" s="506"/>
      <c r="L8" s="660"/>
      <c r="M8" s="660"/>
      <c r="N8" s="506"/>
    </row>
    <row r="9" spans="1:14" ht="18.75">
      <c r="A9" s="46" t="s">
        <v>792</v>
      </c>
      <c r="B9" s="44"/>
      <c r="C9" s="45"/>
      <c r="D9" s="5"/>
      <c r="E9" s="5"/>
      <c r="F9" s="5"/>
      <c r="G9" s="5"/>
      <c r="H9" s="7"/>
      <c r="I9" s="660"/>
      <c r="J9" s="661"/>
      <c r="K9" s="506"/>
      <c r="L9" s="660"/>
      <c r="M9" s="660"/>
      <c r="N9" s="506"/>
    </row>
    <row r="10" spans="1:14" ht="18.75">
      <c r="A10" s="46" t="s">
        <v>793</v>
      </c>
      <c r="B10" s="44"/>
      <c r="C10" s="45"/>
      <c r="D10" s="5"/>
      <c r="E10" s="5"/>
      <c r="F10" s="5"/>
      <c r="G10" s="5"/>
      <c r="H10" s="7"/>
      <c r="I10" s="660"/>
      <c r="J10" s="661"/>
      <c r="K10" s="506"/>
      <c r="L10" s="660"/>
      <c r="M10" s="660"/>
      <c r="N10" s="506"/>
    </row>
    <row r="11" spans="1:14" ht="18.75">
      <c r="A11" s="46"/>
      <c r="B11" s="44"/>
      <c r="C11" s="45"/>
      <c r="D11" s="5"/>
      <c r="E11" s="5"/>
      <c r="F11" s="5"/>
      <c r="G11" s="5"/>
      <c r="H11" s="7"/>
      <c r="I11" s="660"/>
      <c r="J11" s="661"/>
      <c r="K11" s="506"/>
      <c r="L11" s="660"/>
      <c r="M11" s="660"/>
      <c r="N11" s="506"/>
    </row>
    <row r="12" spans="1:18" s="28" customFormat="1" ht="15.75">
      <c r="A12" s="8"/>
      <c r="B12" s="8"/>
      <c r="C12" s="30"/>
      <c r="D12" s="8"/>
      <c r="E12" s="30" t="s">
        <v>713</v>
      </c>
      <c r="F12" s="8"/>
      <c r="G12" s="8"/>
      <c r="H12" s="9"/>
      <c r="I12" s="662"/>
      <c r="J12" s="662"/>
      <c r="K12" s="663"/>
      <c r="L12" s="662"/>
      <c r="M12" s="662"/>
      <c r="N12" s="664"/>
      <c r="O12" s="665"/>
      <c r="P12" s="665"/>
      <c r="Q12" s="665"/>
      <c r="R12" s="665"/>
    </row>
    <row r="13" spans="1:18" s="28" customFormat="1" ht="15.75">
      <c r="A13" s="8"/>
      <c r="B13" s="8"/>
      <c r="C13" s="30"/>
      <c r="D13" s="8"/>
      <c r="E13" s="30"/>
      <c r="F13" s="8"/>
      <c r="G13" s="8"/>
      <c r="H13" s="9"/>
      <c r="I13" s="662"/>
      <c r="J13" s="662"/>
      <c r="K13" s="663"/>
      <c r="L13" s="662"/>
      <c r="M13" s="662"/>
      <c r="N13" s="664"/>
      <c r="O13" s="665"/>
      <c r="P13" s="665"/>
      <c r="Q13" s="665"/>
      <c r="R13" s="665"/>
    </row>
    <row r="14" spans="1:14" ht="18.75">
      <c r="A14" s="354" t="s">
        <v>827</v>
      </c>
      <c r="B14" s="42"/>
      <c r="C14" s="42"/>
      <c r="D14" s="42"/>
      <c r="E14" s="30"/>
      <c r="F14" s="8"/>
      <c r="G14" s="5"/>
      <c r="H14" s="7"/>
      <c r="I14" s="666"/>
      <c r="J14" s="662"/>
      <c r="K14" s="667"/>
      <c r="L14" s="667"/>
      <c r="M14" s="667"/>
      <c r="N14" s="506"/>
    </row>
    <row r="15" spans="1:14" ht="18.75">
      <c r="A15" s="355" t="s">
        <v>307</v>
      </c>
      <c r="B15" s="42"/>
      <c r="C15" s="42"/>
      <c r="D15" s="42"/>
      <c r="E15" s="30"/>
      <c r="F15" s="8"/>
      <c r="G15" s="5"/>
      <c r="H15" s="7"/>
      <c r="I15" s="667"/>
      <c r="J15" s="662"/>
      <c r="K15" s="667"/>
      <c r="L15" s="667"/>
      <c r="M15" s="667"/>
      <c r="N15" s="506"/>
    </row>
    <row r="16" spans="1:8" ht="15.75">
      <c r="A16" s="48" t="s">
        <v>306</v>
      </c>
      <c r="B16" s="8"/>
      <c r="C16" s="49"/>
      <c r="D16" s="8"/>
      <c r="E16" s="30"/>
      <c r="F16" s="8"/>
      <c r="H16" s="1"/>
    </row>
    <row r="17" spans="1:9" ht="15.75">
      <c r="A17" s="355" t="s">
        <v>224</v>
      </c>
      <c r="B17" s="151"/>
      <c r="C17" s="356"/>
      <c r="D17" s="356"/>
      <c r="E17" s="30"/>
      <c r="F17" s="8"/>
      <c r="H17" s="1"/>
      <c r="I17" s="596"/>
    </row>
    <row r="18" spans="1:8" ht="15.75">
      <c r="A18" s="48" t="s">
        <v>225</v>
      </c>
      <c r="B18" s="8"/>
      <c r="C18" s="49"/>
      <c r="D18" s="8"/>
      <c r="E18" s="30"/>
      <c r="F18" s="8"/>
      <c r="H18" s="1"/>
    </row>
    <row r="19" spans="1:8" ht="14.25" customHeight="1">
      <c r="A19" s="48" t="s">
        <v>579</v>
      </c>
      <c r="B19" s="151"/>
      <c r="C19" s="356"/>
      <c r="D19" s="356"/>
      <c r="E19" s="26"/>
      <c r="F19" s="8"/>
      <c r="H19" s="1"/>
    </row>
    <row r="20" spans="1:9" ht="14.25" customHeight="1">
      <c r="A20" s="61" t="s">
        <v>226</v>
      </c>
      <c r="B20" s="151"/>
      <c r="C20" s="356"/>
      <c r="D20" s="356"/>
      <c r="E20" s="26"/>
      <c r="F20" s="8"/>
      <c r="H20" s="1"/>
      <c r="I20" s="651"/>
    </row>
    <row r="21" spans="1:23" ht="14.25" customHeight="1">
      <c r="A21" s="48" t="s">
        <v>149</v>
      </c>
      <c r="B21" s="390"/>
      <c r="C21" s="358"/>
      <c r="D21" s="18"/>
      <c r="E21" s="18"/>
      <c r="F21" s="8"/>
      <c r="H21" s="1"/>
      <c r="I21" s="668"/>
      <c r="J21" s="669"/>
      <c r="K21" s="668"/>
      <c r="L21" s="668"/>
      <c r="M21" s="645"/>
      <c r="N21" s="12"/>
      <c r="O21" s="12"/>
      <c r="P21" s="12"/>
      <c r="Q21" s="12"/>
      <c r="R21" s="12"/>
      <c r="S21" s="16"/>
      <c r="T21" s="16"/>
      <c r="U21" s="16"/>
      <c r="V21" s="16"/>
      <c r="W21" s="16"/>
    </row>
    <row r="22" spans="1:23" ht="14.25" customHeight="1">
      <c r="A22" s="48" t="s">
        <v>227</v>
      </c>
      <c r="B22" s="390"/>
      <c r="C22" s="358"/>
      <c r="D22" s="18"/>
      <c r="E22" s="18"/>
      <c r="F22" s="18"/>
      <c r="H22" s="1"/>
      <c r="I22" s="670"/>
      <c r="J22" s="669"/>
      <c r="K22" s="668"/>
      <c r="L22" s="668"/>
      <c r="M22" s="645"/>
      <c r="N22" s="12"/>
      <c r="O22" s="12"/>
      <c r="P22" s="12"/>
      <c r="Q22" s="12"/>
      <c r="R22" s="12"/>
      <c r="S22" s="16"/>
      <c r="T22" s="16"/>
      <c r="U22" s="16"/>
      <c r="V22" s="16"/>
      <c r="W22" s="16"/>
    </row>
    <row r="23" spans="1:23" ht="14.25" customHeight="1">
      <c r="A23" s="48" t="s">
        <v>461</v>
      </c>
      <c r="B23" s="8"/>
      <c r="C23" s="49"/>
      <c r="D23" s="8"/>
      <c r="E23" s="30"/>
      <c r="F23" s="8"/>
      <c r="H23" s="1"/>
      <c r="I23" s="668"/>
      <c r="J23" s="669"/>
      <c r="K23" s="668"/>
      <c r="L23" s="668"/>
      <c r="M23" s="645"/>
      <c r="N23" s="12"/>
      <c r="O23" s="12"/>
      <c r="P23" s="12"/>
      <c r="Q23" s="12"/>
      <c r="R23" s="12"/>
      <c r="S23" s="16"/>
      <c r="T23" s="16"/>
      <c r="U23" s="16"/>
      <c r="V23" s="16"/>
      <c r="W23" s="16"/>
    </row>
    <row r="24" spans="1:23" ht="14.25" customHeight="1">
      <c r="A24" s="48" t="s">
        <v>150</v>
      </c>
      <c r="B24" s="8"/>
      <c r="C24" s="49"/>
      <c r="D24" s="8"/>
      <c r="E24" s="30"/>
      <c r="F24" s="8"/>
      <c r="H24" s="1"/>
      <c r="I24" s="668"/>
      <c r="J24" s="669"/>
      <c r="K24" s="668"/>
      <c r="L24" s="668"/>
      <c r="M24" s="645"/>
      <c r="N24" s="12"/>
      <c r="O24" s="12"/>
      <c r="P24" s="12"/>
      <c r="Q24" s="12"/>
      <c r="R24" s="12"/>
      <c r="S24" s="16"/>
      <c r="T24" s="16"/>
      <c r="U24" s="16"/>
      <c r="V24" s="16"/>
      <c r="W24" s="16"/>
    </row>
    <row r="25" spans="1:23" ht="14.25" customHeight="1">
      <c r="A25" s="48" t="s">
        <v>151</v>
      </c>
      <c r="B25" s="8"/>
      <c r="C25" s="49"/>
      <c r="D25" s="8"/>
      <c r="E25" s="30"/>
      <c r="F25" s="8"/>
      <c r="H25" s="1"/>
      <c r="I25" s="668"/>
      <c r="J25" s="669"/>
      <c r="K25" s="668"/>
      <c r="L25" s="668"/>
      <c r="M25" s="645"/>
      <c r="N25" s="12"/>
      <c r="O25" s="12"/>
      <c r="P25" s="12"/>
      <c r="Q25" s="12"/>
      <c r="R25" s="12"/>
      <c r="S25" s="16"/>
      <c r="T25" s="16"/>
      <c r="U25" s="16"/>
      <c r="V25" s="16"/>
      <c r="W25" s="16"/>
    </row>
    <row r="26" spans="1:23" ht="14.25" customHeight="1">
      <c r="A26" s="48" t="s">
        <v>742</v>
      </c>
      <c r="B26" s="8"/>
      <c r="C26" s="49"/>
      <c r="D26" s="8"/>
      <c r="E26" s="30"/>
      <c r="F26" s="18"/>
      <c r="G26" s="18"/>
      <c r="H26" s="21"/>
      <c r="I26" s="671"/>
      <c r="J26" s="672"/>
      <c r="K26" s="668"/>
      <c r="L26" s="668"/>
      <c r="M26" s="645"/>
      <c r="N26" s="12"/>
      <c r="O26" s="12"/>
      <c r="P26" s="12"/>
      <c r="Q26" s="12"/>
      <c r="R26" s="12"/>
      <c r="S26" s="16"/>
      <c r="T26" s="16"/>
      <c r="U26" s="16"/>
      <c r="V26" s="16"/>
      <c r="W26" s="16"/>
    </row>
    <row r="27" spans="1:23" ht="14.25" customHeight="1">
      <c r="A27" s="48" t="s">
        <v>798</v>
      </c>
      <c r="B27" s="8"/>
      <c r="C27" s="49"/>
      <c r="D27" s="8"/>
      <c r="E27" s="30"/>
      <c r="F27" s="18"/>
      <c r="G27" s="18"/>
      <c r="H27" s="21"/>
      <c r="I27" s="671"/>
      <c r="J27" s="672"/>
      <c r="K27" s="668"/>
      <c r="L27" s="668"/>
      <c r="M27" s="645"/>
      <c r="N27" s="12"/>
      <c r="O27" s="12"/>
      <c r="P27" s="12"/>
      <c r="Q27" s="12"/>
      <c r="R27" s="12"/>
      <c r="S27" s="16"/>
      <c r="T27" s="16"/>
      <c r="U27" s="16"/>
      <c r="V27" s="16"/>
      <c r="W27" s="16"/>
    </row>
    <row r="28" spans="1:23" ht="14.25" customHeight="1">
      <c r="A28" s="48" t="s">
        <v>799</v>
      </c>
      <c r="B28" s="8"/>
      <c r="C28" s="49"/>
      <c r="D28" s="8"/>
      <c r="E28" s="30"/>
      <c r="F28" s="18"/>
      <c r="G28" s="18"/>
      <c r="H28" s="21"/>
      <c r="I28" s="671"/>
      <c r="J28" s="672"/>
      <c r="K28" s="668"/>
      <c r="L28" s="668"/>
      <c r="M28" s="645"/>
      <c r="N28" s="12"/>
      <c r="O28" s="12"/>
      <c r="P28" s="12"/>
      <c r="Q28" s="12"/>
      <c r="R28" s="12"/>
      <c r="S28" s="16"/>
      <c r="T28" s="16"/>
      <c r="U28" s="16"/>
      <c r="V28" s="16"/>
      <c r="W28" s="16"/>
    </row>
    <row r="29" spans="1:23" ht="14.25" customHeight="1">
      <c r="A29" s="48" t="s">
        <v>743</v>
      </c>
      <c r="B29" s="8"/>
      <c r="C29" s="49"/>
      <c r="D29" s="8"/>
      <c r="E29" s="30"/>
      <c r="F29" s="18"/>
      <c r="G29" s="18"/>
      <c r="H29" s="21"/>
      <c r="I29" s="673"/>
      <c r="J29" s="674"/>
      <c r="K29" s="673"/>
      <c r="L29" s="673"/>
      <c r="M29" s="645"/>
      <c r="N29" s="646"/>
      <c r="O29" s="646"/>
      <c r="P29" s="12"/>
      <c r="Q29" s="12"/>
      <c r="R29" s="12"/>
      <c r="S29" s="16"/>
      <c r="T29" s="16"/>
      <c r="U29" s="16"/>
      <c r="V29" s="16"/>
      <c r="W29" s="16"/>
    </row>
    <row r="30" spans="1:15" ht="14.25" customHeight="1">
      <c r="A30" s="48" t="s">
        <v>795</v>
      </c>
      <c r="B30" s="390"/>
      <c r="C30" s="358"/>
      <c r="D30" s="18"/>
      <c r="E30" s="18"/>
      <c r="F30" s="18"/>
      <c r="G30" s="18"/>
      <c r="H30" s="21"/>
      <c r="J30" s="675"/>
      <c r="M30" s="647"/>
      <c r="N30" s="648"/>
      <c r="O30" s="649"/>
    </row>
    <row r="31" spans="1:15" ht="14.25" customHeight="1">
      <c r="A31" s="48" t="s">
        <v>796</v>
      </c>
      <c r="B31" s="390"/>
      <c r="C31" s="358"/>
      <c r="D31" s="18"/>
      <c r="E31" s="18"/>
      <c r="F31" s="18"/>
      <c r="G31" s="18"/>
      <c r="H31" s="21"/>
      <c r="J31" s="675"/>
      <c r="M31" s="647"/>
      <c r="N31" s="648"/>
      <c r="O31" s="650"/>
    </row>
    <row r="32" spans="1:15" ht="14.25" customHeight="1">
      <c r="A32" s="34" t="s">
        <v>744</v>
      </c>
      <c r="B32" s="624"/>
      <c r="C32" s="625"/>
      <c r="D32" s="626"/>
      <c r="E32" s="626"/>
      <c r="F32" s="626"/>
      <c r="G32" s="626"/>
      <c r="H32" s="20"/>
      <c r="J32" s="675"/>
      <c r="M32" s="651"/>
      <c r="N32" s="652"/>
      <c r="O32" s="649"/>
    </row>
    <row r="33" spans="1:15" ht="14.25" customHeight="1">
      <c r="A33" s="34" t="s">
        <v>699</v>
      </c>
      <c r="B33" s="8"/>
      <c r="C33" s="49"/>
      <c r="D33" s="8"/>
      <c r="E33" s="30"/>
      <c r="F33" s="8"/>
      <c r="H33" s="1"/>
      <c r="J33" s="675"/>
      <c r="M33" s="647"/>
      <c r="N33" s="653"/>
      <c r="O33" s="649"/>
    </row>
    <row r="34" spans="1:15" ht="15.75" customHeight="1">
      <c r="A34" s="34" t="s">
        <v>214</v>
      </c>
      <c r="B34" s="8"/>
      <c r="C34" s="49"/>
      <c r="D34" s="8"/>
      <c r="E34" s="30"/>
      <c r="F34" s="8"/>
      <c r="H34" s="1"/>
      <c r="J34" s="675"/>
      <c r="M34" s="647"/>
      <c r="N34" s="653"/>
      <c r="O34" s="649"/>
    </row>
    <row r="35" spans="1:15" ht="18.75" customHeight="1">
      <c r="A35" s="34" t="s">
        <v>215</v>
      </c>
      <c r="B35" s="8"/>
      <c r="C35" s="49"/>
      <c r="D35" s="8"/>
      <c r="E35" s="30"/>
      <c r="F35" s="8"/>
      <c r="H35" s="1"/>
      <c r="J35" s="675"/>
      <c r="M35" s="647"/>
      <c r="N35" s="648"/>
      <c r="O35" s="649"/>
    </row>
    <row r="36" spans="1:15" ht="18.75">
      <c r="A36" s="27" t="s">
        <v>745</v>
      </c>
      <c r="B36" s="8"/>
      <c r="C36" s="49"/>
      <c r="D36" s="8"/>
      <c r="E36" s="30"/>
      <c r="F36" s="8"/>
      <c r="H36" s="1"/>
      <c r="J36" s="675"/>
      <c r="M36" s="647"/>
      <c r="N36" s="648"/>
      <c r="O36" s="649"/>
    </row>
    <row r="37" spans="1:15" ht="18.75">
      <c r="A37" s="27" t="s">
        <v>746</v>
      </c>
      <c r="B37" s="8"/>
      <c r="C37" s="49"/>
      <c r="D37" s="8"/>
      <c r="E37" s="30"/>
      <c r="F37" s="8"/>
      <c r="H37" s="1"/>
      <c r="J37" s="675"/>
      <c r="M37" s="647"/>
      <c r="N37" s="648"/>
      <c r="O37" s="649"/>
    </row>
    <row r="38" spans="1:15" ht="18.75">
      <c r="A38" s="27"/>
      <c r="B38" s="8"/>
      <c r="C38" s="49"/>
      <c r="D38" s="8"/>
      <c r="E38" s="30"/>
      <c r="F38" s="8"/>
      <c r="H38" s="1"/>
      <c r="J38" s="675"/>
      <c r="M38" s="647"/>
      <c r="N38" s="648"/>
      <c r="O38" s="649"/>
    </row>
    <row r="39" spans="1:15" ht="18.75">
      <c r="A39" s="50" t="s">
        <v>726</v>
      </c>
      <c r="B39" s="47"/>
      <c r="C39" s="47"/>
      <c r="I39" s="676"/>
      <c r="J39" s="675"/>
      <c r="K39" s="656"/>
      <c r="L39" s="677"/>
      <c r="M39" s="654"/>
      <c r="N39" s="652"/>
      <c r="O39" s="649"/>
    </row>
    <row r="40" spans="1:15" ht="15.75">
      <c r="A40" s="52"/>
      <c r="B40" s="53"/>
      <c r="C40" s="53"/>
      <c r="D40" s="26"/>
      <c r="E40" s="26"/>
      <c r="F40" s="54"/>
      <c r="H40" s="54"/>
      <c r="I40" s="678"/>
      <c r="K40" s="656"/>
      <c r="N40" s="656"/>
      <c r="O40" s="649"/>
    </row>
    <row r="41" spans="1:15" ht="15.75">
      <c r="A41" s="52" t="s">
        <v>727</v>
      </c>
      <c r="B41" s="53"/>
      <c r="C41" s="53"/>
      <c r="D41" s="26"/>
      <c r="E41" s="26"/>
      <c r="F41" s="54"/>
      <c r="H41" s="54">
        <f>H44+H55</f>
        <v>414128296.66999996</v>
      </c>
      <c r="I41" s="678"/>
      <c r="K41" s="656"/>
      <c r="N41" s="649"/>
      <c r="O41" s="649"/>
    </row>
    <row r="42" spans="1:11" ht="15.75">
      <c r="A42" s="52" t="s">
        <v>728</v>
      </c>
      <c r="B42" s="53"/>
      <c r="C42" s="53"/>
      <c r="D42" s="26"/>
      <c r="E42" s="26"/>
      <c r="F42" s="54"/>
      <c r="H42" s="54">
        <f>H45+H56</f>
        <v>414269966.11</v>
      </c>
      <c r="I42" s="676"/>
      <c r="K42" s="656"/>
    </row>
    <row r="43" spans="1:11" ht="18.75">
      <c r="A43" s="55" t="s">
        <v>729</v>
      </c>
      <c r="B43" s="56"/>
      <c r="C43" s="56"/>
      <c r="D43" s="26"/>
      <c r="E43" s="26"/>
      <c r="F43" s="54"/>
      <c r="H43" s="54"/>
      <c r="I43" s="676"/>
      <c r="J43" s="596"/>
      <c r="K43" s="677"/>
    </row>
    <row r="44" spans="1:11" ht="15.75">
      <c r="A44" s="52" t="s">
        <v>826</v>
      </c>
      <c r="B44" s="53"/>
      <c r="C44" s="53"/>
      <c r="D44" s="57"/>
      <c r="E44" s="26"/>
      <c r="F44" s="1"/>
      <c r="H44" s="54">
        <v>286209119.59</v>
      </c>
      <c r="I44" s="676"/>
      <c r="K44" s="656"/>
    </row>
    <row r="45" spans="1:12" ht="15.75">
      <c r="A45" s="52" t="s">
        <v>728</v>
      </c>
      <c r="B45" s="53"/>
      <c r="C45" s="53"/>
      <c r="D45" s="57"/>
      <c r="E45" s="26"/>
      <c r="F45" s="1"/>
      <c r="H45" s="54">
        <f>H44-D101+F101</f>
        <v>286263480.95</v>
      </c>
      <c r="I45" s="676"/>
      <c r="K45" s="596"/>
      <c r="L45" s="650"/>
    </row>
    <row r="46" spans="1:11" ht="15.75">
      <c r="A46" s="55"/>
      <c r="B46" s="47" t="s">
        <v>730</v>
      </c>
      <c r="C46" s="56"/>
      <c r="D46" s="26"/>
      <c r="E46" s="26"/>
      <c r="F46" s="1"/>
      <c r="H46" s="54"/>
      <c r="I46" s="676"/>
      <c r="J46" s="675"/>
      <c r="K46" s="656"/>
    </row>
    <row r="47" spans="1:11" ht="15.75">
      <c r="A47" s="58" t="s">
        <v>734</v>
      </c>
      <c r="B47" s="53"/>
      <c r="C47" s="53"/>
      <c r="D47" s="26"/>
      <c r="E47" s="26"/>
      <c r="F47" s="1"/>
      <c r="H47" s="54">
        <v>268202499.7</v>
      </c>
      <c r="I47" s="676"/>
      <c r="K47" s="656"/>
    </row>
    <row r="48" spans="1:11" ht="15.75">
      <c r="A48" s="58" t="s">
        <v>728</v>
      </c>
      <c r="B48" s="53"/>
      <c r="C48" s="53"/>
      <c r="D48" s="26"/>
      <c r="E48" s="26"/>
      <c r="F48" s="1"/>
      <c r="H48" s="54">
        <f>H47-D101+F101</f>
        <v>268256861.06</v>
      </c>
      <c r="I48" s="676"/>
      <c r="J48" s="651"/>
      <c r="K48" s="656"/>
    </row>
    <row r="49" spans="1:12" ht="18" customHeight="1">
      <c r="A49" s="58"/>
      <c r="B49" s="59" t="s">
        <v>609</v>
      </c>
      <c r="C49" s="53"/>
      <c r="D49" s="26"/>
      <c r="E49" s="26"/>
      <c r="F49" s="1"/>
      <c r="H49" s="54"/>
      <c r="I49" s="676"/>
      <c r="K49" s="647"/>
      <c r="L49" s="650"/>
    </row>
    <row r="50" spans="1:11" ht="15.75">
      <c r="A50" s="58"/>
      <c r="B50" s="150" t="s">
        <v>182</v>
      </c>
      <c r="C50" s="53"/>
      <c r="D50" s="26"/>
      <c r="E50" s="26"/>
      <c r="F50" s="1"/>
      <c r="H50" s="1"/>
      <c r="I50" s="676"/>
      <c r="K50" s="647"/>
    </row>
    <row r="51" spans="1:11" ht="18.75">
      <c r="A51" s="58"/>
      <c r="B51" s="150" t="s">
        <v>11</v>
      </c>
      <c r="C51" s="56"/>
      <c r="D51" s="26"/>
      <c r="E51" s="26"/>
      <c r="F51" s="1"/>
      <c r="H51" s="1">
        <v>6219143.25</v>
      </c>
      <c r="I51" s="676"/>
      <c r="J51" s="651"/>
      <c r="K51" s="679"/>
    </row>
    <row r="52" spans="1:11" ht="15.75">
      <c r="A52" s="58"/>
      <c r="B52" s="150" t="s">
        <v>735</v>
      </c>
      <c r="C52" s="59"/>
      <c r="D52" s="150"/>
      <c r="E52" s="26"/>
      <c r="F52" s="1"/>
      <c r="H52" s="1">
        <f>H51-D98+F98</f>
        <v>6136299.61</v>
      </c>
      <c r="I52" s="676"/>
      <c r="K52" s="596"/>
    </row>
    <row r="53" spans="1:11" ht="15.75">
      <c r="A53" s="58"/>
      <c r="B53" s="150"/>
      <c r="C53" s="59"/>
      <c r="D53" s="150"/>
      <c r="E53" s="26"/>
      <c r="F53" s="1"/>
      <c r="H53" s="1"/>
      <c r="I53" s="676"/>
      <c r="K53" s="596"/>
    </row>
    <row r="54" spans="1:11" ht="15.75">
      <c r="A54" s="58"/>
      <c r="B54" s="150"/>
      <c r="C54" s="53"/>
      <c r="D54" s="26"/>
      <c r="E54" s="26"/>
      <c r="F54" s="1"/>
      <c r="H54" s="1"/>
      <c r="I54" s="676"/>
      <c r="K54" s="656"/>
    </row>
    <row r="55" spans="1:11" ht="15.75">
      <c r="A55" s="52" t="s">
        <v>12</v>
      </c>
      <c r="B55" s="53"/>
      <c r="C55" s="53"/>
      <c r="D55" s="57"/>
      <c r="E55" s="65"/>
      <c r="F55" s="1"/>
      <c r="H55" s="54">
        <v>127919177.08</v>
      </c>
      <c r="I55" s="678"/>
      <c r="K55" s="656"/>
    </row>
    <row r="56" spans="1:11" ht="15.75">
      <c r="A56" s="52" t="s">
        <v>728</v>
      </c>
      <c r="B56" s="53"/>
      <c r="C56" s="53"/>
      <c r="D56" s="57"/>
      <c r="E56" s="65"/>
      <c r="F56" s="1"/>
      <c r="H56" s="54">
        <f>H55-D123+F123</f>
        <v>128006485.16</v>
      </c>
      <c r="I56" s="676"/>
      <c r="K56" s="656"/>
    </row>
    <row r="57" spans="1:11" ht="15.75">
      <c r="A57" s="55"/>
      <c r="B57" s="47" t="s">
        <v>730</v>
      </c>
      <c r="C57" s="56"/>
      <c r="D57" s="26"/>
      <c r="E57" s="65"/>
      <c r="F57" s="1"/>
      <c r="H57" s="1"/>
      <c r="I57" s="676"/>
      <c r="K57" s="656"/>
    </row>
    <row r="58" spans="1:11" ht="15.75">
      <c r="A58" s="58" t="s">
        <v>734</v>
      </c>
      <c r="B58" s="53"/>
      <c r="C58" s="53"/>
      <c r="D58" s="26"/>
      <c r="E58" s="65"/>
      <c r="F58" s="1"/>
      <c r="H58" s="932">
        <v>119767512.08</v>
      </c>
      <c r="I58" s="676"/>
      <c r="K58" s="656"/>
    </row>
    <row r="59" spans="1:11" ht="15.75">
      <c r="A59" s="58" t="s">
        <v>728</v>
      </c>
      <c r="B59" s="53"/>
      <c r="C59" s="53"/>
      <c r="D59" s="26"/>
      <c r="E59" s="65"/>
      <c r="F59" s="1"/>
      <c r="H59" s="54">
        <f>H58-D123+F123</f>
        <v>119854820.16</v>
      </c>
      <c r="I59" s="676"/>
      <c r="K59" s="656"/>
    </row>
    <row r="60" spans="1:11" ht="15.75">
      <c r="A60" s="58"/>
      <c r="B60" s="56" t="s">
        <v>711</v>
      </c>
      <c r="C60" s="53"/>
      <c r="D60" s="26"/>
      <c r="E60" s="65"/>
      <c r="F60" s="1"/>
      <c r="H60" s="54"/>
      <c r="I60" s="676"/>
      <c r="K60" s="656"/>
    </row>
    <row r="61" spans="1:11" ht="15.75">
      <c r="A61" s="717"/>
      <c r="B61" s="150" t="s">
        <v>182</v>
      </c>
      <c r="C61" s="53"/>
      <c r="D61" s="26"/>
      <c r="E61" s="26"/>
      <c r="F61" s="1"/>
      <c r="H61" s="1"/>
      <c r="I61" s="676"/>
      <c r="K61" s="656"/>
    </row>
    <row r="62" spans="1:11" ht="15.75">
      <c r="A62" s="717"/>
      <c r="B62" s="150" t="s">
        <v>11</v>
      </c>
      <c r="C62" s="56"/>
      <c r="D62" s="26"/>
      <c r="E62" s="26"/>
      <c r="F62" s="1"/>
      <c r="H62" s="1">
        <v>1499165.71</v>
      </c>
      <c r="I62" s="676"/>
      <c r="K62" s="656"/>
    </row>
    <row r="63" spans="1:11" ht="15.75">
      <c r="A63" s="717"/>
      <c r="B63" s="150" t="s">
        <v>735</v>
      </c>
      <c r="C63" s="59"/>
      <c r="D63" s="150"/>
      <c r="E63" s="26"/>
      <c r="F63" s="1"/>
      <c r="H63" s="1">
        <f>H62-D120</f>
        <v>1443935.79</v>
      </c>
      <c r="I63" s="676"/>
      <c r="K63" s="656"/>
    </row>
    <row r="64" spans="1:11" ht="15.75">
      <c r="A64" s="717"/>
      <c r="B64" s="59"/>
      <c r="C64" s="59"/>
      <c r="D64" s="150"/>
      <c r="E64" s="65"/>
      <c r="F64" s="1"/>
      <c r="H64" s="1"/>
      <c r="I64" s="676"/>
      <c r="K64" s="656"/>
    </row>
    <row r="65" spans="1:11" ht="15.75">
      <c r="A65" s="58"/>
      <c r="B65" s="53"/>
      <c r="C65" s="53"/>
      <c r="D65" s="26"/>
      <c r="E65" s="65"/>
      <c r="F65" s="1"/>
      <c r="H65" s="54"/>
      <c r="I65" s="676"/>
      <c r="K65" s="656"/>
    </row>
    <row r="66" spans="1:11" ht="15.75">
      <c r="A66" s="58"/>
      <c r="B66" s="150"/>
      <c r="C66" s="53"/>
      <c r="D66" s="26"/>
      <c r="E66" s="26"/>
      <c r="F66" s="1"/>
      <c r="H66" s="1"/>
      <c r="I66" s="678"/>
      <c r="K66" s="656"/>
    </row>
    <row r="67" spans="1:11" ht="19.5">
      <c r="A67" s="62" t="s">
        <v>825</v>
      </c>
      <c r="B67" s="63"/>
      <c r="C67" s="64"/>
      <c r="D67" s="65"/>
      <c r="E67" s="65"/>
      <c r="F67" s="66"/>
      <c r="G67" s="66"/>
      <c r="H67" s="67"/>
      <c r="I67" s="676"/>
      <c r="K67" s="656"/>
    </row>
    <row r="68" spans="1:11" ht="19.5">
      <c r="A68" s="62"/>
      <c r="B68" s="63"/>
      <c r="C68" s="64"/>
      <c r="D68" s="65"/>
      <c r="E68" s="65"/>
      <c r="F68" s="66"/>
      <c r="G68" s="66"/>
      <c r="H68" s="67"/>
      <c r="I68" s="676"/>
      <c r="K68" s="656"/>
    </row>
    <row r="69" spans="1:11" ht="18.75">
      <c r="A69" s="71" t="s">
        <v>823</v>
      </c>
      <c r="B69" s="72"/>
      <c r="C69" s="73"/>
      <c r="D69" s="61"/>
      <c r="E69" s="61"/>
      <c r="F69" s="70"/>
      <c r="G69" s="70"/>
      <c r="I69" s="676"/>
      <c r="K69" s="656"/>
    </row>
    <row r="70" spans="1:11" ht="18.75">
      <c r="A70" s="71"/>
      <c r="B70" s="72"/>
      <c r="C70" s="73"/>
      <c r="D70" s="61"/>
      <c r="E70" s="61"/>
      <c r="F70" s="70"/>
      <c r="G70" s="70"/>
      <c r="I70" s="676"/>
      <c r="K70" s="656"/>
    </row>
    <row r="71" spans="1:11" ht="18.75">
      <c r="A71" s="68"/>
      <c r="B71" s="68"/>
      <c r="C71" s="68"/>
      <c r="D71" s="61"/>
      <c r="E71" s="61"/>
      <c r="F71" s="70"/>
      <c r="G71" s="70"/>
      <c r="I71" s="676"/>
      <c r="K71" s="656"/>
    </row>
    <row r="72" spans="1:11" ht="18.75">
      <c r="A72" s="74"/>
      <c r="B72" s="74"/>
      <c r="C72" s="75"/>
      <c r="D72" s="10" t="s">
        <v>736</v>
      </c>
      <c r="E72" s="11"/>
      <c r="F72" s="10" t="s">
        <v>739</v>
      </c>
      <c r="G72" s="11"/>
      <c r="I72" s="676"/>
      <c r="K72" s="656"/>
    </row>
    <row r="73" spans="1:11" ht="15" customHeight="1">
      <c r="A73" s="76"/>
      <c r="B73" s="76"/>
      <c r="C73" s="77"/>
      <c r="D73" s="12" t="s">
        <v>712</v>
      </c>
      <c r="E73" s="11" t="s">
        <v>711</v>
      </c>
      <c r="F73" s="12" t="s">
        <v>712</v>
      </c>
      <c r="G73" s="11" t="s">
        <v>711</v>
      </c>
      <c r="I73" s="676"/>
      <c r="K73" s="656"/>
    </row>
    <row r="74" spans="1:11" ht="21">
      <c r="A74" s="78" t="s">
        <v>714</v>
      </c>
      <c r="B74" s="78" t="s">
        <v>720</v>
      </c>
      <c r="C74" s="78" t="s">
        <v>715</v>
      </c>
      <c r="D74" s="13" t="s">
        <v>716</v>
      </c>
      <c r="E74" s="14" t="s">
        <v>717</v>
      </c>
      <c r="F74" s="13" t="s">
        <v>716</v>
      </c>
      <c r="G74" s="14" t="s">
        <v>717</v>
      </c>
      <c r="I74" s="676"/>
      <c r="K74" s="656"/>
    </row>
    <row r="75" spans="1:18" s="353" customFormat="1" ht="15.75">
      <c r="A75" s="616" t="s">
        <v>194</v>
      </c>
      <c r="B75" s="79"/>
      <c r="C75" s="79"/>
      <c r="D75" s="714">
        <f>D76+D80+D84</f>
        <v>3500000</v>
      </c>
      <c r="E75" s="715"/>
      <c r="F75" s="714">
        <f>F76+F80+F84</f>
        <v>3500000</v>
      </c>
      <c r="G75" s="715"/>
      <c r="I75" s="716"/>
      <c r="J75" s="632"/>
      <c r="K75" s="684"/>
      <c r="L75" s="632"/>
      <c r="M75" s="632"/>
      <c r="N75" s="703"/>
      <c r="O75" s="703"/>
      <c r="P75" s="703"/>
      <c r="Q75" s="703"/>
      <c r="R75" s="703"/>
    </row>
    <row r="76" spans="1:18" s="353" customFormat="1" ht="15.75">
      <c r="A76" s="351"/>
      <c r="B76" s="153" t="s">
        <v>195</v>
      </c>
      <c r="C76" s="94"/>
      <c r="D76" s="763">
        <f>SUM(D77:D79)</f>
        <v>1710000</v>
      </c>
      <c r="E76" s="764"/>
      <c r="F76" s="763">
        <f>SUM(F77:F79)</f>
        <v>2700000</v>
      </c>
      <c r="G76" s="764"/>
      <c r="I76" s="752"/>
      <c r="J76" s="632"/>
      <c r="K76" s="724"/>
      <c r="L76" s="632"/>
      <c r="M76" s="632"/>
      <c r="N76" s="703"/>
      <c r="O76" s="703"/>
      <c r="P76" s="703"/>
      <c r="Q76" s="703"/>
      <c r="R76" s="703"/>
    </row>
    <row r="77" spans="1:18" s="353" customFormat="1" ht="15.75">
      <c r="A77" s="86"/>
      <c r="B77" s="352"/>
      <c r="C77" s="94" t="s">
        <v>196</v>
      </c>
      <c r="D77" s="763"/>
      <c r="E77" s="764"/>
      <c r="F77" s="763">
        <v>2700000</v>
      </c>
      <c r="G77" s="764"/>
      <c r="I77" s="752"/>
      <c r="J77" s="632"/>
      <c r="K77" s="724"/>
      <c r="L77" s="632"/>
      <c r="M77" s="632"/>
      <c r="N77" s="703"/>
      <c r="O77" s="703"/>
      <c r="P77" s="703"/>
      <c r="Q77" s="703"/>
      <c r="R77" s="703"/>
    </row>
    <row r="78" spans="1:18" s="353" customFormat="1" ht="15.75">
      <c r="A78" s="86"/>
      <c r="B78" s="352"/>
      <c r="C78" s="94" t="s">
        <v>197</v>
      </c>
      <c r="D78" s="763">
        <v>40000</v>
      </c>
      <c r="E78" s="764"/>
      <c r="F78" s="763"/>
      <c r="G78" s="764"/>
      <c r="I78" s="752"/>
      <c r="J78" s="632"/>
      <c r="K78" s="724"/>
      <c r="L78" s="632"/>
      <c r="M78" s="632"/>
      <c r="N78" s="703"/>
      <c r="O78" s="703"/>
      <c r="P78" s="703"/>
      <c r="Q78" s="703"/>
      <c r="R78" s="703"/>
    </row>
    <row r="79" spans="1:18" s="353" customFormat="1" ht="15.75">
      <c r="A79" s="86"/>
      <c r="B79" s="352"/>
      <c r="C79" s="94" t="s">
        <v>198</v>
      </c>
      <c r="D79" s="763">
        <v>1670000</v>
      </c>
      <c r="E79" s="764"/>
      <c r="F79" s="763"/>
      <c r="G79" s="764"/>
      <c r="I79" s="752"/>
      <c r="J79" s="632"/>
      <c r="K79" s="724"/>
      <c r="L79" s="632"/>
      <c r="M79" s="632"/>
      <c r="N79" s="703"/>
      <c r="O79" s="703"/>
      <c r="P79" s="703"/>
      <c r="Q79" s="703"/>
      <c r="R79" s="703"/>
    </row>
    <row r="80" spans="1:18" s="353" customFormat="1" ht="15.75">
      <c r="A80" s="86"/>
      <c r="B80" s="153" t="s">
        <v>199</v>
      </c>
      <c r="C80" s="94"/>
      <c r="D80" s="763">
        <f>SUM(D81:D83)</f>
        <v>290000</v>
      </c>
      <c r="E80" s="764"/>
      <c r="F80" s="763">
        <f>SUM(F81:F83)</f>
        <v>800000</v>
      </c>
      <c r="G80" s="764"/>
      <c r="I80" s="752"/>
      <c r="J80" s="632"/>
      <c r="K80" s="724"/>
      <c r="L80" s="632"/>
      <c r="M80" s="632"/>
      <c r="N80" s="703"/>
      <c r="O80" s="703"/>
      <c r="P80" s="703"/>
      <c r="Q80" s="703"/>
      <c r="R80" s="703"/>
    </row>
    <row r="81" spans="1:18" s="353" customFormat="1" ht="15.75">
      <c r="A81" s="86"/>
      <c r="B81" s="352"/>
      <c r="C81" s="94" t="s">
        <v>196</v>
      </c>
      <c r="D81" s="763"/>
      <c r="E81" s="764"/>
      <c r="F81" s="763">
        <v>800000</v>
      </c>
      <c r="G81" s="764"/>
      <c r="I81" s="752"/>
      <c r="J81" s="632"/>
      <c r="K81" s="724"/>
      <c r="L81" s="632"/>
      <c r="M81" s="632"/>
      <c r="N81" s="703"/>
      <c r="O81" s="703"/>
      <c r="P81" s="703"/>
      <c r="Q81" s="703"/>
      <c r="R81" s="703"/>
    </row>
    <row r="82" spans="1:18" s="353" customFormat="1" ht="15.75">
      <c r="A82" s="86"/>
      <c r="B82" s="352"/>
      <c r="C82" s="94" t="s">
        <v>197</v>
      </c>
      <c r="D82" s="763">
        <v>90000</v>
      </c>
      <c r="E82" s="764"/>
      <c r="F82" s="763"/>
      <c r="G82" s="764"/>
      <c r="I82" s="752"/>
      <c r="J82" s="632"/>
      <c r="K82" s="724"/>
      <c r="L82" s="632"/>
      <c r="M82" s="632"/>
      <c r="N82" s="703"/>
      <c r="O82" s="703"/>
      <c r="P82" s="703"/>
      <c r="Q82" s="703"/>
      <c r="R82" s="703"/>
    </row>
    <row r="83" spans="1:18" s="353" customFormat="1" ht="15.75">
      <c r="A83" s="86"/>
      <c r="B83" s="352"/>
      <c r="C83" s="94" t="s">
        <v>198</v>
      </c>
      <c r="D83" s="763">
        <v>200000</v>
      </c>
      <c r="E83" s="764"/>
      <c r="F83" s="763"/>
      <c r="G83" s="764"/>
      <c r="I83" s="752"/>
      <c r="J83" s="632"/>
      <c r="K83" s="724"/>
      <c r="L83" s="632"/>
      <c r="M83" s="632"/>
      <c r="N83" s="703"/>
      <c r="O83" s="703"/>
      <c r="P83" s="703"/>
      <c r="Q83" s="703"/>
      <c r="R83" s="703"/>
    </row>
    <row r="84" spans="1:18" s="353" customFormat="1" ht="15.75">
      <c r="A84" s="86"/>
      <c r="B84" s="153" t="s">
        <v>200</v>
      </c>
      <c r="C84" s="94" t="s">
        <v>201</v>
      </c>
      <c r="D84" s="763">
        <v>1500000</v>
      </c>
      <c r="E84" s="764"/>
      <c r="F84" s="763"/>
      <c r="G84" s="764"/>
      <c r="I84" s="752"/>
      <c r="J84" s="632"/>
      <c r="K84" s="724"/>
      <c r="L84" s="632"/>
      <c r="M84" s="632"/>
      <c r="N84" s="703"/>
      <c r="O84" s="703"/>
      <c r="P84" s="703"/>
      <c r="Q84" s="703"/>
      <c r="R84" s="703"/>
    </row>
    <row r="85" spans="1:18" s="87" customFormat="1" ht="18.75">
      <c r="A85" s="79" t="s">
        <v>476</v>
      </c>
      <c r="B85" s="79" t="s">
        <v>484</v>
      </c>
      <c r="C85" s="79" t="s">
        <v>485</v>
      </c>
      <c r="D85" s="391"/>
      <c r="E85" s="391"/>
      <c r="F85" s="391">
        <v>92517</v>
      </c>
      <c r="G85" s="391"/>
      <c r="H85" s="92"/>
      <c r="I85" s="676"/>
      <c r="J85" s="651"/>
      <c r="K85" s="656"/>
      <c r="L85" s="650"/>
      <c r="M85" s="650"/>
      <c r="N85" s="680"/>
      <c r="O85" s="680"/>
      <c r="P85" s="680"/>
      <c r="Q85" s="680"/>
      <c r="R85" s="680"/>
    </row>
    <row r="86" spans="1:18" s="87" customFormat="1" ht="18.75">
      <c r="A86" s="638" t="s">
        <v>448</v>
      </c>
      <c r="B86" s="79"/>
      <c r="C86" s="82"/>
      <c r="D86" s="80">
        <f>D87+D90+D91+D95</f>
        <v>3232</v>
      </c>
      <c r="E86" s="80"/>
      <c r="F86" s="80">
        <f>F87+F90+F91+F95</f>
        <v>47920</v>
      </c>
      <c r="G86" s="80"/>
      <c r="H86" s="92"/>
      <c r="I86" s="676"/>
      <c r="J86" s="651"/>
      <c r="K86" s="656"/>
      <c r="L86" s="650"/>
      <c r="M86" s="650"/>
      <c r="N86" s="680"/>
      <c r="O86" s="680"/>
      <c r="P86" s="680"/>
      <c r="Q86" s="680"/>
      <c r="R86" s="680"/>
    </row>
    <row r="87" spans="1:11" ht="18.75">
      <c r="A87" s="85"/>
      <c r="B87" s="351" t="s">
        <v>747</v>
      </c>
      <c r="C87" s="83"/>
      <c r="D87" s="84"/>
      <c r="E87" s="84"/>
      <c r="F87" s="84">
        <f>SUM(F88:F89)</f>
        <v>25038</v>
      </c>
      <c r="G87" s="84"/>
      <c r="I87" s="681"/>
      <c r="K87" s="682"/>
    </row>
    <row r="88" spans="1:11" ht="18.75">
      <c r="A88" s="85"/>
      <c r="B88" s="351"/>
      <c r="C88" s="456" t="s">
        <v>766</v>
      </c>
      <c r="D88" s="84"/>
      <c r="E88" s="84"/>
      <c r="F88" s="84">
        <v>250</v>
      </c>
      <c r="G88" s="84"/>
      <c r="I88" s="681"/>
      <c r="K88" s="682"/>
    </row>
    <row r="89" spans="1:11" ht="18.75">
      <c r="A89" s="85"/>
      <c r="B89" s="94"/>
      <c r="C89" s="83" t="s">
        <v>8</v>
      </c>
      <c r="D89" s="84"/>
      <c r="E89" s="84"/>
      <c r="F89" s="84">
        <f>7000+17788</f>
        <v>24788</v>
      </c>
      <c r="G89" s="84"/>
      <c r="I89" s="681"/>
      <c r="K89" s="682"/>
    </row>
    <row r="90" spans="1:11" ht="18.75">
      <c r="A90" s="85"/>
      <c r="B90" s="94" t="s">
        <v>525</v>
      </c>
      <c r="C90" s="456" t="s">
        <v>752</v>
      </c>
      <c r="D90" s="84"/>
      <c r="E90" s="84"/>
      <c r="F90" s="84">
        <f>850+1000+500</f>
        <v>2350</v>
      </c>
      <c r="G90" s="84"/>
      <c r="I90" s="681"/>
      <c r="K90" s="682"/>
    </row>
    <row r="91" spans="1:11" ht="18.75">
      <c r="A91" s="85"/>
      <c r="B91" s="153" t="s">
        <v>92</v>
      </c>
      <c r="C91" s="456"/>
      <c r="D91" s="84">
        <f>SUM(D92:D94)</f>
        <v>132</v>
      </c>
      <c r="E91" s="84"/>
      <c r="F91" s="84">
        <f>SUM(F92:F94)</f>
        <v>15132</v>
      </c>
      <c r="G91" s="84"/>
      <c r="I91" s="681"/>
      <c r="K91" s="682"/>
    </row>
    <row r="92" spans="1:11" ht="18.75">
      <c r="A92" s="85"/>
      <c r="B92" s="86"/>
      <c r="C92" s="456" t="s">
        <v>752</v>
      </c>
      <c r="D92" s="84"/>
      <c r="E92" s="84"/>
      <c r="F92" s="84">
        <v>15000</v>
      </c>
      <c r="G92" s="84"/>
      <c r="I92" s="681"/>
      <c r="K92" s="682"/>
    </row>
    <row r="93" spans="1:11" ht="18.75">
      <c r="A93" s="85"/>
      <c r="B93" s="86"/>
      <c r="C93" s="153" t="s">
        <v>585</v>
      </c>
      <c r="D93" s="84">
        <v>132</v>
      </c>
      <c r="E93" s="84"/>
      <c r="F93" s="84"/>
      <c r="G93" s="84"/>
      <c r="I93" s="681"/>
      <c r="K93" s="682"/>
    </row>
    <row r="94" spans="1:11" ht="18.75">
      <c r="A94" s="85"/>
      <c r="B94" s="86"/>
      <c r="C94" s="352" t="s">
        <v>612</v>
      </c>
      <c r="D94" s="84"/>
      <c r="E94" s="84"/>
      <c r="F94" s="84">
        <v>132</v>
      </c>
      <c r="G94" s="84"/>
      <c r="I94" s="681"/>
      <c r="K94" s="682"/>
    </row>
    <row r="95" spans="1:11" ht="18.75">
      <c r="A95" s="85"/>
      <c r="B95" s="351" t="s">
        <v>526</v>
      </c>
      <c r="C95" s="368"/>
      <c r="D95" s="84">
        <f>SUM(D96:D97)</f>
        <v>3100</v>
      </c>
      <c r="E95" s="84"/>
      <c r="F95" s="84">
        <f>SUM(F96:F97)</f>
        <v>5400</v>
      </c>
      <c r="G95" s="84"/>
      <c r="I95" s="681"/>
      <c r="K95" s="682"/>
    </row>
    <row r="96" spans="1:11" ht="18.75">
      <c r="A96" s="85"/>
      <c r="B96" s="351"/>
      <c r="C96" s="368" t="s">
        <v>752</v>
      </c>
      <c r="D96" s="84"/>
      <c r="E96" s="84"/>
      <c r="F96" s="84">
        <v>5400</v>
      </c>
      <c r="G96" s="84"/>
      <c r="I96" s="681"/>
      <c r="K96" s="682"/>
    </row>
    <row r="97" spans="1:11" ht="18.75">
      <c r="A97" s="85"/>
      <c r="B97" s="94"/>
      <c r="C97" s="368" t="s">
        <v>612</v>
      </c>
      <c r="D97" s="84">
        <v>3100</v>
      </c>
      <c r="E97" s="84"/>
      <c r="F97" s="84"/>
      <c r="G97" s="84"/>
      <c r="I97" s="681"/>
      <c r="K97" s="682"/>
    </row>
    <row r="98" spans="1:18" s="87" customFormat="1" ht="18.75">
      <c r="A98" s="638" t="s">
        <v>757</v>
      </c>
      <c r="B98" s="616" t="s">
        <v>758</v>
      </c>
      <c r="C98" s="82"/>
      <c r="D98" s="80">
        <f>SUM(D99:D100)</f>
        <v>83443.64</v>
      </c>
      <c r="E98" s="80"/>
      <c r="F98" s="80">
        <f>SUM(F99:F100)</f>
        <v>600</v>
      </c>
      <c r="G98" s="80"/>
      <c r="H98" s="92"/>
      <c r="I98" s="676"/>
      <c r="J98" s="651"/>
      <c r="K98" s="656"/>
      <c r="L98" s="650"/>
      <c r="M98" s="650"/>
      <c r="N98" s="680"/>
      <c r="O98" s="680"/>
      <c r="P98" s="680"/>
      <c r="Q98" s="680"/>
      <c r="R98" s="680"/>
    </row>
    <row r="99" spans="1:18" s="87" customFormat="1" ht="18.75">
      <c r="A99" s="628"/>
      <c r="B99" s="351"/>
      <c r="C99" s="83" t="s">
        <v>764</v>
      </c>
      <c r="D99" s="84">
        <f>1500+69652.09</f>
        <v>71152.09</v>
      </c>
      <c r="E99" s="84"/>
      <c r="F99" s="84">
        <v>600</v>
      </c>
      <c r="G99" s="84"/>
      <c r="H99" s="595"/>
      <c r="I99" s="676"/>
      <c r="J99" s="651"/>
      <c r="K99" s="656"/>
      <c r="L99" s="650"/>
      <c r="M99" s="650"/>
      <c r="N99" s="680"/>
      <c r="O99" s="680"/>
      <c r="P99" s="680"/>
      <c r="Q99" s="680"/>
      <c r="R99" s="680"/>
    </row>
    <row r="100" spans="1:18" s="87" customFormat="1" ht="18.75">
      <c r="A100" s="628"/>
      <c r="B100" s="94"/>
      <c r="C100" s="83" t="s">
        <v>769</v>
      </c>
      <c r="D100" s="84">
        <v>12291.55</v>
      </c>
      <c r="E100" s="84"/>
      <c r="F100" s="84"/>
      <c r="G100" s="95"/>
      <c r="H100" s="92"/>
      <c r="I100" s="676"/>
      <c r="J100" s="651"/>
      <c r="K100" s="656"/>
      <c r="L100" s="650"/>
      <c r="M100" s="650"/>
      <c r="N100" s="680"/>
      <c r="O100" s="680"/>
      <c r="P100" s="680"/>
      <c r="Q100" s="680"/>
      <c r="R100" s="680"/>
    </row>
    <row r="101" spans="1:18" s="32" customFormat="1" ht="19.5" customHeight="1">
      <c r="A101" s="725" t="s">
        <v>721</v>
      </c>
      <c r="B101" s="152"/>
      <c r="C101" s="82"/>
      <c r="D101" s="95">
        <f>D75+D85+D86+D98</f>
        <v>3586675.64</v>
      </c>
      <c r="E101" s="95">
        <f>E75+E85+E86+E98</f>
        <v>0</v>
      </c>
      <c r="F101" s="95">
        <f>F75+F85+F86+F98</f>
        <v>3641037</v>
      </c>
      <c r="G101" s="95">
        <f>G75+G85+G86+G98</f>
        <v>0</v>
      </c>
      <c r="H101" s="90"/>
      <c r="I101" s="683"/>
      <c r="J101" s="684"/>
      <c r="K101" s="684"/>
      <c r="L101" s="627"/>
      <c r="M101" s="627"/>
      <c r="N101" s="685"/>
      <c r="O101" s="685"/>
      <c r="P101" s="685"/>
      <c r="Q101" s="685"/>
      <c r="R101" s="685"/>
    </row>
    <row r="102" spans="1:18" s="32" customFormat="1" ht="19.5" customHeight="1">
      <c r="A102" s="88"/>
      <c r="B102" s="89"/>
      <c r="C102" s="89"/>
      <c r="D102" s="90"/>
      <c r="E102" s="90"/>
      <c r="F102" s="90"/>
      <c r="G102" s="90"/>
      <c r="H102" s="90"/>
      <c r="I102" s="683"/>
      <c r="J102" s="684"/>
      <c r="K102" s="684"/>
      <c r="L102" s="627"/>
      <c r="M102" s="627"/>
      <c r="N102" s="685"/>
      <c r="O102" s="685"/>
      <c r="P102" s="685"/>
      <c r="Q102" s="685"/>
      <c r="R102" s="685"/>
    </row>
    <row r="103" spans="1:18" s="32" customFormat="1" ht="19.5" customHeight="1">
      <c r="A103" s="88"/>
      <c r="B103" s="89"/>
      <c r="C103" s="89"/>
      <c r="D103" s="90"/>
      <c r="E103" s="90"/>
      <c r="F103" s="90"/>
      <c r="G103" s="90"/>
      <c r="I103" s="683"/>
      <c r="J103" s="627"/>
      <c r="K103" s="684"/>
      <c r="L103" s="627"/>
      <c r="M103" s="627"/>
      <c r="N103" s="685"/>
      <c r="O103" s="685"/>
      <c r="P103" s="685"/>
      <c r="Q103" s="685"/>
      <c r="R103" s="685"/>
    </row>
    <row r="104" spans="1:11" ht="19.5">
      <c r="A104" s="62" t="s">
        <v>800</v>
      </c>
      <c r="B104" s="63"/>
      <c r="C104" s="64"/>
      <c r="D104" s="65"/>
      <c r="E104" s="65"/>
      <c r="F104" s="66"/>
      <c r="G104" s="66"/>
      <c r="H104" s="67"/>
      <c r="I104" s="676"/>
      <c r="K104" s="656"/>
    </row>
    <row r="105" spans="1:11" ht="19.5">
      <c r="A105" s="62"/>
      <c r="B105" s="63"/>
      <c r="C105" s="64"/>
      <c r="D105" s="65"/>
      <c r="E105" s="65"/>
      <c r="F105" s="66"/>
      <c r="G105" s="66"/>
      <c r="H105" s="67"/>
      <c r="I105" s="676"/>
      <c r="K105" s="656"/>
    </row>
    <row r="106" spans="1:11" ht="18.75">
      <c r="A106" s="71" t="s">
        <v>17</v>
      </c>
      <c r="B106" s="72"/>
      <c r="C106" s="73"/>
      <c r="D106" s="61"/>
      <c r="E106" s="61"/>
      <c r="F106" s="70"/>
      <c r="G106" s="70"/>
      <c r="I106" s="676"/>
      <c r="K106" s="656"/>
    </row>
    <row r="107" spans="1:11" ht="18.75">
      <c r="A107" s="68"/>
      <c r="B107" s="68"/>
      <c r="C107" s="68"/>
      <c r="D107" s="61"/>
      <c r="E107" s="61"/>
      <c r="F107" s="70"/>
      <c r="G107" s="70"/>
      <c r="I107" s="676"/>
      <c r="K107" s="656"/>
    </row>
    <row r="108" spans="1:11" ht="18.75">
      <c r="A108" s="74"/>
      <c r="B108" s="74"/>
      <c r="C108" s="75"/>
      <c r="D108" s="10" t="s">
        <v>736</v>
      </c>
      <c r="E108" s="11"/>
      <c r="F108" s="10" t="s">
        <v>739</v>
      </c>
      <c r="G108" s="11"/>
      <c r="I108" s="676"/>
      <c r="K108" s="656"/>
    </row>
    <row r="109" spans="1:11" ht="15" customHeight="1">
      <c r="A109" s="76"/>
      <c r="B109" s="76"/>
      <c r="C109" s="77"/>
      <c r="D109" s="12" t="s">
        <v>712</v>
      </c>
      <c r="E109" s="11" t="s">
        <v>711</v>
      </c>
      <c r="F109" s="12" t="s">
        <v>712</v>
      </c>
      <c r="G109" s="11" t="s">
        <v>711</v>
      </c>
      <c r="I109" s="676"/>
      <c r="K109" s="656"/>
    </row>
    <row r="110" spans="1:11" ht="21">
      <c r="A110" s="78" t="s">
        <v>714</v>
      </c>
      <c r="B110" s="78" t="s">
        <v>720</v>
      </c>
      <c r="C110" s="78" t="s">
        <v>715</v>
      </c>
      <c r="D110" s="13" t="s">
        <v>716</v>
      </c>
      <c r="E110" s="14" t="s">
        <v>717</v>
      </c>
      <c r="F110" s="13" t="s">
        <v>716</v>
      </c>
      <c r="G110" s="14" t="s">
        <v>717</v>
      </c>
      <c r="I110" s="676"/>
      <c r="K110" s="656"/>
    </row>
    <row r="111" spans="1:18" s="87" customFormat="1" ht="18.75">
      <c r="A111" s="79" t="s">
        <v>476</v>
      </c>
      <c r="B111" s="79" t="s">
        <v>484</v>
      </c>
      <c r="C111" s="82" t="s">
        <v>485</v>
      </c>
      <c r="D111" s="80"/>
      <c r="E111" s="80"/>
      <c r="F111" s="80">
        <v>177933</v>
      </c>
      <c r="G111" s="95"/>
      <c r="H111" s="92"/>
      <c r="I111" s="676"/>
      <c r="J111" s="651"/>
      <c r="K111" s="656"/>
      <c r="L111" s="650"/>
      <c r="M111" s="650"/>
      <c r="N111" s="680"/>
      <c r="O111" s="680"/>
      <c r="P111" s="680"/>
      <c r="Q111" s="680"/>
      <c r="R111" s="680"/>
    </row>
    <row r="112" spans="1:18" s="87" customFormat="1" ht="18.75">
      <c r="A112" s="79" t="s">
        <v>448</v>
      </c>
      <c r="B112" s="81"/>
      <c r="C112" s="82"/>
      <c r="D112" s="91">
        <f>D113+D118+D119</f>
        <v>68220</v>
      </c>
      <c r="E112" s="91"/>
      <c r="F112" s="91">
        <f>F113+F118+F119</f>
        <v>32825</v>
      </c>
      <c r="G112" s="91"/>
      <c r="H112" s="92"/>
      <c r="I112" s="676"/>
      <c r="J112" s="651"/>
      <c r="K112" s="656"/>
      <c r="L112" s="650"/>
      <c r="M112" s="650"/>
      <c r="N112" s="680"/>
      <c r="O112" s="680"/>
      <c r="P112" s="680"/>
      <c r="Q112" s="680"/>
      <c r="R112" s="680"/>
    </row>
    <row r="113" spans="1:11" ht="18.75">
      <c r="A113" s="85"/>
      <c r="B113" s="351" t="s">
        <v>7</v>
      </c>
      <c r="C113" s="456"/>
      <c r="D113" s="93">
        <f>SUM(D114:D117)</f>
        <v>14363</v>
      </c>
      <c r="E113" s="93"/>
      <c r="F113" s="93">
        <f>SUM(F114:F117)</f>
        <v>32825</v>
      </c>
      <c r="G113" s="93"/>
      <c r="I113" s="681"/>
      <c r="K113" s="682"/>
    </row>
    <row r="114" spans="1:11" ht="18.75">
      <c r="A114" s="85"/>
      <c r="B114" s="351"/>
      <c r="C114" s="456" t="s">
        <v>766</v>
      </c>
      <c r="D114" s="93"/>
      <c r="E114" s="93"/>
      <c r="F114" s="93">
        <v>100</v>
      </c>
      <c r="G114" s="93"/>
      <c r="I114" s="681"/>
      <c r="K114" s="682"/>
    </row>
    <row r="115" spans="1:11" ht="18.75">
      <c r="A115" s="85"/>
      <c r="B115" s="86"/>
      <c r="C115" s="456" t="s">
        <v>8</v>
      </c>
      <c r="D115" s="93"/>
      <c r="E115" s="93"/>
      <c r="F115" s="93">
        <f>2050+29385</f>
        <v>31435</v>
      </c>
      <c r="G115" s="93"/>
      <c r="I115" s="681"/>
      <c r="K115" s="682"/>
    </row>
    <row r="116" spans="1:11" ht="18.75">
      <c r="A116" s="85"/>
      <c r="B116" s="86"/>
      <c r="C116" s="456" t="s">
        <v>612</v>
      </c>
      <c r="D116" s="93">
        <v>14363</v>
      </c>
      <c r="E116" s="93"/>
      <c r="F116" s="93"/>
      <c r="G116" s="405"/>
      <c r="I116" s="681"/>
      <c r="K116" s="682"/>
    </row>
    <row r="117" spans="1:11" ht="18.75">
      <c r="A117" s="85"/>
      <c r="B117" s="86"/>
      <c r="C117" s="456" t="s">
        <v>783</v>
      </c>
      <c r="D117" s="93"/>
      <c r="E117" s="93"/>
      <c r="F117" s="93">
        <v>1290</v>
      </c>
      <c r="G117" s="405"/>
      <c r="I117" s="681"/>
      <c r="K117" s="682"/>
    </row>
    <row r="118" spans="1:11" ht="18.75">
      <c r="A118" s="85"/>
      <c r="B118" s="153" t="s">
        <v>594</v>
      </c>
      <c r="C118" s="456" t="s">
        <v>752</v>
      </c>
      <c r="D118" s="93">
        <v>53245</v>
      </c>
      <c r="E118" s="93"/>
      <c r="F118" s="93"/>
      <c r="G118" s="405"/>
      <c r="I118" s="681"/>
      <c r="K118" s="682"/>
    </row>
    <row r="119" spans="1:11" ht="18.75">
      <c r="A119" s="85"/>
      <c r="B119" s="153" t="s">
        <v>704</v>
      </c>
      <c r="C119" s="83" t="s">
        <v>612</v>
      </c>
      <c r="D119" s="93">
        <v>612</v>
      </c>
      <c r="E119" s="93"/>
      <c r="F119" s="93"/>
      <c r="G119" s="405"/>
      <c r="I119" s="681"/>
      <c r="K119" s="682"/>
    </row>
    <row r="120" spans="1:18" s="87" customFormat="1" ht="18.75">
      <c r="A120" s="79" t="s">
        <v>757</v>
      </c>
      <c r="B120" s="79" t="s">
        <v>758</v>
      </c>
      <c r="C120" s="82"/>
      <c r="D120" s="91">
        <f>SUM(D121:D122)</f>
        <v>55229.92</v>
      </c>
      <c r="E120" s="91"/>
      <c r="F120" s="91"/>
      <c r="G120" s="95"/>
      <c r="H120" s="92"/>
      <c r="I120" s="676"/>
      <c r="J120" s="651"/>
      <c r="K120" s="656"/>
      <c r="L120" s="650"/>
      <c r="M120" s="650"/>
      <c r="N120" s="680"/>
      <c r="O120" s="680"/>
      <c r="P120" s="680"/>
      <c r="Q120" s="680"/>
      <c r="R120" s="680"/>
    </row>
    <row r="121" spans="1:11" ht="18.75">
      <c r="A121" s="85"/>
      <c r="B121" s="86"/>
      <c r="C121" s="456" t="s">
        <v>764</v>
      </c>
      <c r="D121" s="93">
        <v>46945.44</v>
      </c>
      <c r="E121" s="93"/>
      <c r="F121" s="93"/>
      <c r="G121" s="405"/>
      <c r="I121" s="681"/>
      <c r="K121" s="682"/>
    </row>
    <row r="122" spans="1:11" ht="18.75">
      <c r="A122" s="85"/>
      <c r="B122" s="86"/>
      <c r="C122" s="83" t="s">
        <v>769</v>
      </c>
      <c r="D122" s="93">
        <v>8284.48</v>
      </c>
      <c r="E122" s="93"/>
      <c r="F122" s="93"/>
      <c r="G122" s="405"/>
      <c r="I122" s="681"/>
      <c r="K122" s="682"/>
    </row>
    <row r="123" spans="1:18" s="32" customFormat="1" ht="19.5" customHeight="1">
      <c r="A123" s="725" t="s">
        <v>721</v>
      </c>
      <c r="B123" s="152"/>
      <c r="C123" s="82"/>
      <c r="D123" s="95">
        <f>D111+D112+D120</f>
        <v>123449.92</v>
      </c>
      <c r="E123" s="95">
        <f>E111+E112+E120</f>
        <v>0</v>
      </c>
      <c r="F123" s="95">
        <f>F111+F112+F120</f>
        <v>210758</v>
      </c>
      <c r="G123" s="95">
        <f>G111+G112+G120</f>
        <v>0</v>
      </c>
      <c r="H123" s="90"/>
      <c r="I123" s="683"/>
      <c r="J123" s="684"/>
      <c r="K123" s="684"/>
      <c r="L123" s="627"/>
      <c r="M123" s="627"/>
      <c r="N123" s="685"/>
      <c r="O123" s="685"/>
      <c r="P123" s="685"/>
      <c r="Q123" s="685"/>
      <c r="R123" s="685"/>
    </row>
    <row r="124" spans="1:18" s="32" customFormat="1" ht="19.5" customHeight="1">
      <c r="A124" s="88"/>
      <c r="B124" s="89"/>
      <c r="C124" s="89"/>
      <c r="D124" s="90"/>
      <c r="E124" s="90"/>
      <c r="F124" s="90"/>
      <c r="G124" s="90"/>
      <c r="H124" s="90"/>
      <c r="I124" s="683"/>
      <c r="J124" s="684"/>
      <c r="K124" s="684"/>
      <c r="L124" s="627"/>
      <c r="M124" s="627"/>
      <c r="N124" s="685"/>
      <c r="O124" s="685"/>
      <c r="P124" s="685"/>
      <c r="Q124" s="685"/>
      <c r="R124" s="685"/>
    </row>
    <row r="125" spans="1:18" s="28" customFormat="1" ht="15.75">
      <c r="A125" s="50" t="s">
        <v>428</v>
      </c>
      <c r="B125" s="97"/>
      <c r="C125" s="98"/>
      <c r="H125" s="1"/>
      <c r="I125" s="676"/>
      <c r="J125" s="647"/>
      <c r="K125" s="596"/>
      <c r="L125" s="647"/>
      <c r="M125" s="647"/>
      <c r="N125" s="665"/>
      <c r="O125" s="665"/>
      <c r="P125" s="665"/>
      <c r="Q125" s="665"/>
      <c r="R125" s="665"/>
    </row>
    <row r="126" spans="1:23" ht="15.75">
      <c r="A126" s="96"/>
      <c r="B126" s="96"/>
      <c r="C126" s="96"/>
      <c r="D126" s="28"/>
      <c r="E126" s="28"/>
      <c r="F126" s="28"/>
      <c r="G126" s="28"/>
      <c r="H126" s="1"/>
      <c r="I126" s="686"/>
      <c r="J126" s="674"/>
      <c r="K126" s="687"/>
      <c r="L126" s="645"/>
      <c r="M126" s="645"/>
      <c r="N126" s="12"/>
      <c r="O126" s="12"/>
      <c r="P126" s="12"/>
      <c r="Q126" s="688"/>
      <c r="R126" s="688"/>
      <c r="S126" s="99"/>
      <c r="T126" s="99"/>
      <c r="U126" s="99"/>
      <c r="V126" s="99"/>
      <c r="W126" s="99"/>
    </row>
    <row r="127" spans="1:23" ht="18.75">
      <c r="A127" s="50"/>
      <c r="B127" s="97"/>
      <c r="C127" s="98"/>
      <c r="D127" s="16"/>
      <c r="E127" s="16"/>
      <c r="F127" s="16"/>
      <c r="G127" s="16"/>
      <c r="H127" s="17"/>
      <c r="I127" s="689"/>
      <c r="J127" s="690"/>
      <c r="K127" s="687"/>
      <c r="L127" s="645"/>
      <c r="M127" s="645"/>
      <c r="N127" s="12"/>
      <c r="O127" s="12"/>
      <c r="P127" s="12"/>
      <c r="Q127" s="688"/>
      <c r="R127" s="688"/>
      <c r="S127" s="99"/>
      <c r="T127" s="99"/>
      <c r="U127" s="99"/>
      <c r="V127" s="99"/>
      <c r="W127" s="99"/>
    </row>
    <row r="128" spans="1:23" ht="15.75">
      <c r="A128" s="50"/>
      <c r="B128" s="100" t="s">
        <v>740</v>
      </c>
      <c r="C128" s="101"/>
      <c r="D128" s="16"/>
      <c r="E128" s="16"/>
      <c r="F128" s="16"/>
      <c r="G128" s="16"/>
      <c r="H128" s="102">
        <f>H131+H147</f>
        <v>420714571.83</v>
      </c>
      <c r="I128" s="689"/>
      <c r="J128" s="690"/>
      <c r="K128" s="687"/>
      <c r="L128" s="645"/>
      <c r="M128" s="645"/>
      <c r="N128" s="12"/>
      <c r="O128" s="12"/>
      <c r="P128" s="12"/>
      <c r="Q128" s="688"/>
      <c r="R128" s="688"/>
      <c r="S128" s="99"/>
      <c r="T128" s="99"/>
      <c r="U128" s="99"/>
      <c r="V128" s="99"/>
      <c r="W128" s="99"/>
    </row>
    <row r="129" spans="1:23" ht="15.75">
      <c r="A129" s="50"/>
      <c r="B129" s="100" t="s">
        <v>735</v>
      </c>
      <c r="C129" s="101"/>
      <c r="D129" s="16"/>
      <c r="E129" s="16"/>
      <c r="F129" s="16"/>
      <c r="G129" s="16"/>
      <c r="H129" s="102">
        <f>H132+H148</f>
        <v>420856241.27</v>
      </c>
      <c r="I129" s="691"/>
      <c r="J129" s="690"/>
      <c r="K129" s="687"/>
      <c r="L129" s="645"/>
      <c r="M129" s="645"/>
      <c r="N129" s="12"/>
      <c r="O129" s="12"/>
      <c r="P129" s="12"/>
      <c r="Q129" s="688"/>
      <c r="R129" s="688"/>
      <c r="S129" s="99"/>
      <c r="T129" s="99"/>
      <c r="U129" s="99"/>
      <c r="V129" s="99"/>
      <c r="W129" s="99"/>
    </row>
    <row r="130" spans="1:23" ht="15.75">
      <c r="A130" s="50"/>
      <c r="B130" s="103" t="s">
        <v>730</v>
      </c>
      <c r="C130" s="98"/>
      <c r="D130" s="16"/>
      <c r="E130" s="16"/>
      <c r="F130" s="16"/>
      <c r="G130" s="16"/>
      <c r="H130" s="102"/>
      <c r="I130" s="691"/>
      <c r="J130" s="690"/>
      <c r="K130" s="687"/>
      <c r="L130" s="645"/>
      <c r="M130" s="645"/>
      <c r="N130" s="12"/>
      <c r="O130" s="12"/>
      <c r="P130" s="12"/>
      <c r="Q130" s="688"/>
      <c r="R130" s="688"/>
      <c r="S130" s="99"/>
      <c r="T130" s="99"/>
      <c r="U130" s="99"/>
      <c r="V130" s="99"/>
      <c r="W130" s="99"/>
    </row>
    <row r="131" spans="1:23" ht="15.75">
      <c r="A131" s="105" t="s">
        <v>741</v>
      </c>
      <c r="B131" s="105"/>
      <c r="C131" s="105"/>
      <c r="D131" s="65"/>
      <c r="E131" s="61"/>
      <c r="F131" s="61"/>
      <c r="G131" s="16"/>
      <c r="H131" s="102">
        <f>H134+H143</f>
        <v>292835779.2</v>
      </c>
      <c r="I131" s="691"/>
      <c r="J131" s="690"/>
      <c r="K131" s="687"/>
      <c r="L131" s="645"/>
      <c r="M131" s="645"/>
      <c r="N131" s="12"/>
      <c r="O131" s="12"/>
      <c r="P131" s="12"/>
      <c r="Q131" s="688"/>
      <c r="R131" s="688"/>
      <c r="S131" s="99"/>
      <c r="T131" s="99"/>
      <c r="U131" s="99"/>
      <c r="V131" s="99"/>
      <c r="W131" s="99"/>
    </row>
    <row r="132" spans="1:23" ht="15.75">
      <c r="A132" s="105"/>
      <c r="B132" s="106" t="s">
        <v>735</v>
      </c>
      <c r="C132" s="105"/>
      <c r="D132" s="65"/>
      <c r="E132" s="61"/>
      <c r="F132" s="61"/>
      <c r="G132" s="16"/>
      <c r="H132" s="102">
        <f>H135+H144</f>
        <v>293159453.56</v>
      </c>
      <c r="I132" s="691"/>
      <c r="J132" s="690"/>
      <c r="K132" s="687"/>
      <c r="L132" s="645"/>
      <c r="M132" s="645"/>
      <c r="N132" s="12"/>
      <c r="O132" s="12"/>
      <c r="P132" s="12"/>
      <c r="Q132" s="688"/>
      <c r="R132" s="688"/>
      <c r="S132" s="99"/>
      <c r="T132" s="99"/>
      <c r="U132" s="99"/>
      <c r="V132" s="99"/>
      <c r="W132" s="99"/>
    </row>
    <row r="133" spans="1:23" ht="15.75">
      <c r="A133" s="60" t="s">
        <v>712</v>
      </c>
      <c r="B133" s="60" t="s">
        <v>804</v>
      </c>
      <c r="C133" s="60"/>
      <c r="D133" s="61"/>
      <c r="E133" s="61"/>
      <c r="F133" s="61"/>
      <c r="G133" s="16"/>
      <c r="H133" s="102"/>
      <c r="I133" s="691"/>
      <c r="J133" s="690"/>
      <c r="K133" s="687"/>
      <c r="L133" s="645"/>
      <c r="M133" s="645"/>
      <c r="N133" s="12"/>
      <c r="O133" s="12"/>
      <c r="P133" s="12"/>
      <c r="Q133" s="688"/>
      <c r="R133" s="688"/>
      <c r="S133" s="99"/>
      <c r="T133" s="99"/>
      <c r="U133" s="99"/>
      <c r="V133" s="99"/>
      <c r="W133" s="99"/>
    </row>
    <row r="134" spans="1:23" ht="15.75">
      <c r="A134" s="107" t="s">
        <v>805</v>
      </c>
      <c r="B134" s="107"/>
      <c r="C134" s="107"/>
      <c r="D134" s="108"/>
      <c r="E134" s="61"/>
      <c r="F134" s="61"/>
      <c r="G134" s="16"/>
      <c r="H134" s="102">
        <v>258150220.53</v>
      </c>
      <c r="I134" s="691"/>
      <c r="J134" s="691"/>
      <c r="K134" s="687"/>
      <c r="L134" s="692"/>
      <c r="M134" s="645"/>
      <c r="N134" s="12"/>
      <c r="O134" s="12"/>
      <c r="P134" s="12"/>
      <c r="Q134" s="688"/>
      <c r="R134" s="688"/>
      <c r="S134" s="99"/>
      <c r="T134" s="99"/>
      <c r="U134" s="99"/>
      <c r="V134" s="99"/>
      <c r="W134" s="99"/>
    </row>
    <row r="135" spans="1:23" ht="15.75">
      <c r="A135" s="107"/>
      <c r="B135" s="109" t="s">
        <v>735</v>
      </c>
      <c r="C135" s="107"/>
      <c r="D135" s="108"/>
      <c r="E135" s="65"/>
      <c r="F135" s="108"/>
      <c r="G135" s="16"/>
      <c r="H135" s="102">
        <f>H134-D275+D193-F194+F275-F241-F209</f>
        <v>258436324.89</v>
      </c>
      <c r="I135" s="691"/>
      <c r="J135" s="690"/>
      <c r="K135" s="687"/>
      <c r="L135" s="692"/>
      <c r="M135" s="645"/>
      <c r="N135" s="12"/>
      <c r="O135" s="12"/>
      <c r="P135" s="12"/>
      <c r="Q135" s="688"/>
      <c r="R135" s="688"/>
      <c r="S135" s="99"/>
      <c r="T135" s="99"/>
      <c r="U135" s="99"/>
      <c r="V135" s="99"/>
      <c r="W135" s="99"/>
    </row>
    <row r="136" spans="1:23" ht="15.75">
      <c r="A136" s="107"/>
      <c r="B136" s="454" t="s">
        <v>711</v>
      </c>
      <c r="C136" s="107"/>
      <c r="D136" s="108"/>
      <c r="E136" s="65"/>
      <c r="F136" s="108"/>
      <c r="G136" s="16"/>
      <c r="H136" s="102"/>
      <c r="I136" s="691"/>
      <c r="J136" s="690"/>
      <c r="K136" s="693"/>
      <c r="L136" s="692"/>
      <c r="M136" s="645"/>
      <c r="N136" s="12"/>
      <c r="O136" s="12"/>
      <c r="P136" s="12"/>
      <c r="Q136" s="688"/>
      <c r="R136" s="688"/>
      <c r="S136" s="99"/>
      <c r="T136" s="99"/>
      <c r="U136" s="99"/>
      <c r="V136" s="99"/>
      <c r="W136" s="99"/>
    </row>
    <row r="137" spans="1:23" ht="15.75">
      <c r="A137" s="58"/>
      <c r="B137" s="463" t="s">
        <v>13</v>
      </c>
      <c r="C137" s="53"/>
      <c r="D137" s="26"/>
      <c r="E137" s="65"/>
      <c r="F137" s="108"/>
      <c r="G137" s="16"/>
      <c r="H137" s="102"/>
      <c r="I137" s="691"/>
      <c r="J137" s="690"/>
      <c r="K137" s="687"/>
      <c r="L137" s="692"/>
      <c r="M137" s="645"/>
      <c r="N137" s="12"/>
      <c r="O137" s="12"/>
      <c r="P137" s="12"/>
      <c r="Q137" s="688"/>
      <c r="R137" s="688"/>
      <c r="S137" s="99"/>
      <c r="T137" s="99"/>
      <c r="U137" s="99"/>
      <c r="V137" s="99"/>
      <c r="W137" s="99"/>
    </row>
    <row r="138" spans="1:23" ht="15.75">
      <c r="A138" s="58"/>
      <c r="B138" s="59" t="s">
        <v>14</v>
      </c>
      <c r="C138" s="53"/>
      <c r="D138" s="26"/>
      <c r="E138" s="65"/>
      <c r="F138" s="108"/>
      <c r="G138" s="16"/>
      <c r="H138" s="102"/>
      <c r="I138" s="691"/>
      <c r="J138" s="690"/>
      <c r="K138" s="687"/>
      <c r="L138" s="692"/>
      <c r="M138" s="645"/>
      <c r="N138" s="12"/>
      <c r="O138" s="12"/>
      <c r="P138" s="12"/>
      <c r="Q138" s="688"/>
      <c r="R138" s="688"/>
      <c r="S138" s="99"/>
      <c r="T138" s="99"/>
      <c r="U138" s="99"/>
      <c r="V138" s="99"/>
      <c r="W138" s="99"/>
    </row>
    <row r="139" spans="1:23" ht="15.75">
      <c r="A139" s="58"/>
      <c r="B139" s="59" t="s">
        <v>15</v>
      </c>
      <c r="C139" s="53"/>
      <c r="D139" s="26"/>
      <c r="E139" s="65"/>
      <c r="F139" s="108"/>
      <c r="G139" s="16"/>
      <c r="H139" s="104">
        <v>6830077.38</v>
      </c>
      <c r="I139" s="691"/>
      <c r="J139" s="690"/>
      <c r="K139" s="687"/>
      <c r="L139" s="692"/>
      <c r="M139" s="645"/>
      <c r="N139" s="12"/>
      <c r="O139" s="12"/>
      <c r="P139" s="12"/>
      <c r="Q139" s="688"/>
      <c r="R139" s="688"/>
      <c r="S139" s="99"/>
      <c r="T139" s="99"/>
      <c r="U139" s="99"/>
      <c r="V139" s="99"/>
      <c r="W139" s="99"/>
    </row>
    <row r="140" spans="1:23" ht="15.75">
      <c r="A140" s="58"/>
      <c r="B140" s="59" t="s">
        <v>735</v>
      </c>
      <c r="C140" s="53"/>
      <c r="D140" s="26"/>
      <c r="E140" s="65"/>
      <c r="F140" s="108"/>
      <c r="G140" s="16"/>
      <c r="H140" s="104">
        <f>H139-D246+F246</f>
        <v>6495475.57</v>
      </c>
      <c r="I140" s="691"/>
      <c r="J140" s="690"/>
      <c r="K140" s="687"/>
      <c r="L140" s="692"/>
      <c r="M140" s="645"/>
      <c r="N140" s="12"/>
      <c r="O140" s="12"/>
      <c r="P140" s="12"/>
      <c r="Q140" s="688"/>
      <c r="R140" s="688"/>
      <c r="S140" s="99"/>
      <c r="T140" s="99"/>
      <c r="U140" s="99"/>
      <c r="V140" s="99"/>
      <c r="W140" s="99"/>
    </row>
    <row r="141" spans="1:23" ht="15.75">
      <c r="A141" s="58"/>
      <c r="B141" s="59"/>
      <c r="C141" s="53"/>
      <c r="D141" s="26"/>
      <c r="E141" s="65"/>
      <c r="F141" s="108"/>
      <c r="G141" s="16"/>
      <c r="H141" s="104"/>
      <c r="I141" s="691"/>
      <c r="J141" s="690"/>
      <c r="K141" s="687"/>
      <c r="L141" s="692"/>
      <c r="M141" s="645"/>
      <c r="N141" s="12"/>
      <c r="O141" s="12"/>
      <c r="P141" s="12"/>
      <c r="Q141" s="688"/>
      <c r="R141" s="688"/>
      <c r="S141" s="99"/>
      <c r="T141" s="99"/>
      <c r="U141" s="99"/>
      <c r="V141" s="99"/>
      <c r="W141" s="99"/>
    </row>
    <row r="142" spans="1:23" ht="15.75">
      <c r="A142" s="107"/>
      <c r="B142" s="109"/>
      <c r="C142" s="107"/>
      <c r="D142" s="108"/>
      <c r="E142" s="65"/>
      <c r="F142" s="108"/>
      <c r="G142" s="16"/>
      <c r="H142" s="102"/>
      <c r="I142" s="689"/>
      <c r="J142" s="690"/>
      <c r="K142" s="687"/>
      <c r="L142" s="692"/>
      <c r="M142" s="645"/>
      <c r="N142" s="12"/>
      <c r="O142" s="12"/>
      <c r="P142" s="12"/>
      <c r="Q142" s="688"/>
      <c r="R142" s="688"/>
      <c r="S142" s="99"/>
      <c r="T142" s="99"/>
      <c r="U142" s="99"/>
      <c r="V142" s="99"/>
      <c r="W142" s="99"/>
    </row>
    <row r="143" spans="1:23" ht="15.75">
      <c r="A143" s="107" t="s">
        <v>806</v>
      </c>
      <c r="B143" s="107"/>
      <c r="C143" s="105"/>
      <c r="D143" s="108"/>
      <c r="E143" s="65"/>
      <c r="F143" s="108"/>
      <c r="G143" s="16"/>
      <c r="H143" s="102">
        <v>34685558.67</v>
      </c>
      <c r="I143" s="689"/>
      <c r="J143" s="690"/>
      <c r="K143" s="687"/>
      <c r="L143" s="692"/>
      <c r="M143" s="645"/>
      <c r="N143" s="12"/>
      <c r="O143" s="12"/>
      <c r="P143" s="12"/>
      <c r="Q143" s="688"/>
      <c r="R143" s="688"/>
      <c r="S143" s="99"/>
      <c r="T143" s="99"/>
      <c r="U143" s="99"/>
      <c r="V143" s="99"/>
      <c r="W143" s="99"/>
    </row>
    <row r="144" spans="1:23" ht="15.75">
      <c r="A144" s="107"/>
      <c r="B144" s="109" t="s">
        <v>735</v>
      </c>
      <c r="C144" s="105"/>
      <c r="D144" s="108"/>
      <c r="E144" s="65"/>
      <c r="F144" s="108"/>
      <c r="G144" s="16"/>
      <c r="H144" s="102">
        <f>H143+F241+F209-D193+F194</f>
        <v>34723128.67</v>
      </c>
      <c r="I144" s="691"/>
      <c r="J144" s="690"/>
      <c r="K144" s="687"/>
      <c r="L144" s="645"/>
      <c r="M144" s="645"/>
      <c r="N144" s="12"/>
      <c r="O144" s="12"/>
      <c r="P144" s="12"/>
      <c r="Q144" s="688"/>
      <c r="R144" s="688"/>
      <c r="S144" s="99"/>
      <c r="T144" s="99"/>
      <c r="U144" s="99"/>
      <c r="V144" s="99"/>
      <c r="W144" s="99"/>
    </row>
    <row r="145" spans="1:23" ht="15.75">
      <c r="A145" s="58"/>
      <c r="B145" s="59"/>
      <c r="C145" s="53"/>
      <c r="D145" s="26"/>
      <c r="E145" s="65"/>
      <c r="F145" s="108"/>
      <c r="G145" s="16"/>
      <c r="H145" s="104"/>
      <c r="I145" s="691"/>
      <c r="J145" s="690"/>
      <c r="K145" s="687"/>
      <c r="L145" s="645"/>
      <c r="M145" s="645"/>
      <c r="N145" s="12"/>
      <c r="O145" s="12"/>
      <c r="P145" s="12"/>
      <c r="Q145" s="688"/>
      <c r="R145" s="688"/>
      <c r="S145" s="99"/>
      <c r="T145" s="99"/>
      <c r="U145" s="99"/>
      <c r="V145" s="99"/>
      <c r="W145" s="99"/>
    </row>
    <row r="146" spans="1:23" ht="15.75">
      <c r="A146" s="107"/>
      <c r="B146" s="109"/>
      <c r="C146" s="105"/>
      <c r="D146" s="108"/>
      <c r="E146" s="65"/>
      <c r="F146" s="108"/>
      <c r="G146" s="16"/>
      <c r="H146" s="102"/>
      <c r="I146" s="691"/>
      <c r="J146" s="674"/>
      <c r="K146" s="687"/>
      <c r="L146" s="645"/>
      <c r="M146" s="645"/>
      <c r="N146" s="12"/>
      <c r="O146" s="12"/>
      <c r="P146" s="12"/>
      <c r="Q146" s="688"/>
      <c r="R146" s="688"/>
      <c r="S146" s="99"/>
      <c r="T146" s="99"/>
      <c r="U146" s="99"/>
      <c r="V146" s="99"/>
      <c r="W146" s="99"/>
    </row>
    <row r="147" spans="1:23" ht="15.75">
      <c r="A147" s="105" t="s">
        <v>807</v>
      </c>
      <c r="B147" s="105"/>
      <c r="C147" s="105"/>
      <c r="D147" s="65"/>
      <c r="E147" s="65"/>
      <c r="F147" s="108"/>
      <c r="G147" s="16"/>
      <c r="H147" s="102">
        <f>H150+H159</f>
        <v>127878792.63</v>
      </c>
      <c r="I147" s="691"/>
      <c r="J147" s="674"/>
      <c r="K147" s="691"/>
      <c r="L147" s="645"/>
      <c r="M147" s="645"/>
      <c r="N147" s="12"/>
      <c r="O147" s="12"/>
      <c r="P147" s="12"/>
      <c r="Q147" s="688"/>
      <c r="R147" s="688"/>
      <c r="S147" s="99"/>
      <c r="T147" s="99"/>
      <c r="U147" s="99"/>
      <c r="V147" s="99"/>
      <c r="W147" s="99"/>
    </row>
    <row r="148" spans="1:11" ht="15.75">
      <c r="A148" s="105"/>
      <c r="B148" s="106" t="s">
        <v>735</v>
      </c>
      <c r="C148" s="105"/>
      <c r="D148" s="65"/>
      <c r="E148" s="65"/>
      <c r="F148" s="108"/>
      <c r="H148" s="54">
        <f>H151+H160</f>
        <v>127696787.71</v>
      </c>
      <c r="I148" s="676"/>
      <c r="J148" s="675"/>
      <c r="K148" s="656"/>
    </row>
    <row r="149" spans="1:12" ht="15.75">
      <c r="A149" s="60" t="s">
        <v>712</v>
      </c>
      <c r="B149" s="60" t="s">
        <v>804</v>
      </c>
      <c r="C149" s="60"/>
      <c r="D149" s="61"/>
      <c r="E149" s="65"/>
      <c r="F149" s="108"/>
      <c r="H149" s="54"/>
      <c r="I149" s="676"/>
      <c r="J149" s="675"/>
      <c r="K149" s="656"/>
      <c r="L149" s="656"/>
    </row>
    <row r="150" spans="1:23" ht="18.75">
      <c r="A150" s="107" t="s">
        <v>805</v>
      </c>
      <c r="B150" s="107"/>
      <c r="C150" s="107"/>
      <c r="D150" s="108"/>
      <c r="E150" s="65"/>
      <c r="F150" s="108"/>
      <c r="G150" s="16"/>
      <c r="H150" s="102">
        <v>114998741.22</v>
      </c>
      <c r="I150" s="694"/>
      <c r="J150" s="695"/>
      <c r="K150" s="687"/>
      <c r="L150" s="687"/>
      <c r="M150" s="645"/>
      <c r="N150" s="696"/>
      <c r="O150" s="12"/>
      <c r="P150" s="12"/>
      <c r="Q150" s="688"/>
      <c r="R150" s="688"/>
      <c r="S150" s="99"/>
      <c r="T150" s="99"/>
      <c r="U150" s="99"/>
      <c r="V150" s="99"/>
      <c r="W150" s="99"/>
    </row>
    <row r="151" spans="1:23" ht="15.75">
      <c r="A151" s="107"/>
      <c r="B151" s="109" t="s">
        <v>735</v>
      </c>
      <c r="C151" s="107"/>
      <c r="D151" s="108"/>
      <c r="E151" s="65"/>
      <c r="F151" s="108"/>
      <c r="G151" s="16"/>
      <c r="H151" s="102">
        <f>H150-D390+F390-F318</f>
        <v>114792230.3</v>
      </c>
      <c r="I151" s="691"/>
      <c r="J151" s="695"/>
      <c r="K151" s="687"/>
      <c r="L151" s="645"/>
      <c r="M151" s="645"/>
      <c r="N151" s="696"/>
      <c r="O151" s="12"/>
      <c r="P151" s="12"/>
      <c r="Q151" s="688"/>
      <c r="R151" s="688"/>
      <c r="S151" s="99"/>
      <c r="T151" s="99"/>
      <c r="U151" s="99"/>
      <c r="V151" s="99"/>
      <c r="W151" s="99"/>
    </row>
    <row r="152" spans="1:23" ht="15.75">
      <c r="A152" s="107"/>
      <c r="B152" s="454" t="s">
        <v>711</v>
      </c>
      <c r="C152" s="107"/>
      <c r="D152" s="108"/>
      <c r="E152" s="65"/>
      <c r="F152" s="108"/>
      <c r="G152" s="16"/>
      <c r="H152" s="102"/>
      <c r="I152" s="691"/>
      <c r="J152" s="695"/>
      <c r="K152" s="687"/>
      <c r="L152" s="645"/>
      <c r="M152" s="645"/>
      <c r="N152" s="696"/>
      <c r="O152" s="12"/>
      <c r="P152" s="12"/>
      <c r="Q152" s="688"/>
      <c r="R152" s="688"/>
      <c r="S152" s="99"/>
      <c r="T152" s="99"/>
      <c r="U152" s="99"/>
      <c r="V152" s="99"/>
      <c r="W152" s="99"/>
    </row>
    <row r="153" spans="1:23" ht="15.75">
      <c r="A153" s="107"/>
      <c r="B153" s="463" t="s">
        <v>13</v>
      </c>
      <c r="C153" s="53"/>
      <c r="D153" s="26"/>
      <c r="E153" s="65"/>
      <c r="F153" s="108"/>
      <c r="G153" s="16"/>
      <c r="H153" s="104"/>
      <c r="I153" s="691"/>
      <c r="J153" s="695"/>
      <c r="K153" s="687"/>
      <c r="L153" s="645"/>
      <c r="M153" s="645"/>
      <c r="N153" s="696"/>
      <c r="O153" s="12"/>
      <c r="P153" s="12"/>
      <c r="Q153" s="688"/>
      <c r="R153" s="688"/>
      <c r="S153" s="99"/>
      <c r="T153" s="99"/>
      <c r="U153" s="99"/>
      <c r="V153" s="99"/>
      <c r="W153" s="99"/>
    </row>
    <row r="154" spans="1:23" ht="15.75">
      <c r="A154" s="107"/>
      <c r="B154" s="59" t="s">
        <v>14</v>
      </c>
      <c r="C154" s="53"/>
      <c r="D154" s="26"/>
      <c r="E154" s="65"/>
      <c r="F154" s="108"/>
      <c r="G154" s="16"/>
      <c r="H154" s="104"/>
      <c r="I154" s="691"/>
      <c r="J154" s="695"/>
      <c r="K154" s="687"/>
      <c r="L154" s="645"/>
      <c r="M154" s="645"/>
      <c r="N154" s="696"/>
      <c r="O154" s="12"/>
      <c r="P154" s="12"/>
      <c r="Q154" s="688"/>
      <c r="R154" s="688"/>
      <c r="S154" s="99"/>
      <c r="T154" s="99"/>
      <c r="U154" s="99"/>
      <c r="V154" s="99"/>
      <c r="W154" s="99"/>
    </row>
    <row r="155" spans="1:23" ht="15.75">
      <c r="A155" s="107"/>
      <c r="B155" s="59" t="s">
        <v>15</v>
      </c>
      <c r="C155" s="53"/>
      <c r="D155" s="26"/>
      <c r="E155" s="65"/>
      <c r="F155" s="108"/>
      <c r="G155" s="16"/>
      <c r="H155" s="104">
        <v>1584385.26</v>
      </c>
      <c r="I155" s="691"/>
      <c r="J155" s="695"/>
      <c r="K155" s="687"/>
      <c r="L155" s="645"/>
      <c r="M155" s="645"/>
      <c r="N155" s="696"/>
      <c r="O155" s="12"/>
      <c r="P155" s="12"/>
      <c r="Q155" s="688"/>
      <c r="R155" s="688"/>
      <c r="S155" s="99"/>
      <c r="T155" s="99"/>
      <c r="U155" s="99"/>
      <c r="V155" s="99"/>
      <c r="W155" s="99"/>
    </row>
    <row r="156" spans="1:23" ht="15.75">
      <c r="A156" s="107"/>
      <c r="B156" s="59" t="s">
        <v>735</v>
      </c>
      <c r="C156" s="53"/>
      <c r="D156" s="26"/>
      <c r="E156" s="65"/>
      <c r="F156" s="108"/>
      <c r="G156" s="16"/>
      <c r="H156" s="104">
        <f>H155-D348</f>
        <v>1529155.34</v>
      </c>
      <c r="I156" s="691"/>
      <c r="J156" s="695"/>
      <c r="K156" s="687"/>
      <c r="L156" s="645"/>
      <c r="M156" s="645"/>
      <c r="N156" s="696"/>
      <c r="O156" s="12"/>
      <c r="P156" s="12"/>
      <c r="Q156" s="688"/>
      <c r="R156" s="688"/>
      <c r="S156" s="99"/>
      <c r="T156" s="99"/>
      <c r="U156" s="99"/>
      <c r="V156" s="99"/>
      <c r="W156" s="99"/>
    </row>
    <row r="157" spans="1:23" ht="15.75">
      <c r="A157" s="107"/>
      <c r="B157" s="454"/>
      <c r="C157" s="718"/>
      <c r="D157" s="719"/>
      <c r="E157" s="65"/>
      <c r="F157" s="108"/>
      <c r="G157" s="16"/>
      <c r="H157" s="102"/>
      <c r="I157" s="691"/>
      <c r="J157" s="695"/>
      <c r="K157" s="687"/>
      <c r="L157" s="645"/>
      <c r="M157" s="645"/>
      <c r="N157" s="696"/>
      <c r="O157" s="12"/>
      <c r="P157" s="12"/>
      <c r="Q157" s="688"/>
      <c r="R157" s="688"/>
      <c r="S157" s="99"/>
      <c r="T157" s="99"/>
      <c r="U157" s="99"/>
      <c r="V157" s="99"/>
      <c r="W157" s="99"/>
    </row>
    <row r="158" spans="1:23" ht="15.75">
      <c r="A158" s="107"/>
      <c r="B158" s="59"/>
      <c r="C158" s="53"/>
      <c r="D158" s="26"/>
      <c r="E158" s="65"/>
      <c r="F158" s="108"/>
      <c r="G158" s="16"/>
      <c r="H158" s="102"/>
      <c r="I158" s="691"/>
      <c r="J158" s="674"/>
      <c r="K158" s="687"/>
      <c r="L158" s="645"/>
      <c r="M158" s="645"/>
      <c r="N158" s="12"/>
      <c r="O158" s="12"/>
      <c r="P158" s="12"/>
      <c r="Q158" s="688"/>
      <c r="R158" s="688"/>
      <c r="S158" s="99"/>
      <c r="T158" s="99"/>
      <c r="U158" s="99"/>
      <c r="V158" s="99"/>
      <c r="W158" s="99"/>
    </row>
    <row r="159" spans="1:23" ht="15.75">
      <c r="A159" s="107" t="s">
        <v>806</v>
      </c>
      <c r="B159" s="107"/>
      <c r="C159" s="105"/>
      <c r="D159" s="108"/>
      <c r="E159" s="65"/>
      <c r="F159" s="108"/>
      <c r="G159" s="16"/>
      <c r="H159" s="102">
        <v>12880051.41</v>
      </c>
      <c r="I159" s="691"/>
      <c r="J159" s="674"/>
      <c r="K159" s="687"/>
      <c r="L159" s="645"/>
      <c r="M159" s="645"/>
      <c r="N159" s="12"/>
      <c r="O159" s="12"/>
      <c r="P159" s="12"/>
      <c r="Q159" s="688"/>
      <c r="R159" s="688"/>
      <c r="S159" s="99"/>
      <c r="T159" s="99"/>
      <c r="U159" s="99"/>
      <c r="V159" s="99"/>
      <c r="W159" s="99"/>
    </row>
    <row r="160" spans="1:23" ht="15.75">
      <c r="A160" s="107"/>
      <c r="B160" s="109" t="s">
        <v>735</v>
      </c>
      <c r="C160" s="105"/>
      <c r="D160" s="108"/>
      <c r="E160" s="65"/>
      <c r="F160" s="108"/>
      <c r="G160" s="16"/>
      <c r="H160" s="102">
        <f>H159+F318</f>
        <v>12904557.41</v>
      </c>
      <c r="I160" s="691"/>
      <c r="J160" s="695"/>
      <c r="K160" s="687"/>
      <c r="L160" s="645"/>
      <c r="M160" s="645"/>
      <c r="N160" s="12"/>
      <c r="O160" s="12"/>
      <c r="P160" s="12"/>
      <c r="Q160" s="688"/>
      <c r="R160" s="688"/>
      <c r="S160" s="99"/>
      <c r="T160" s="99"/>
      <c r="U160" s="99"/>
      <c r="V160" s="99"/>
      <c r="W160" s="99"/>
    </row>
    <row r="161" spans="1:23" ht="15.75">
      <c r="A161" s="15"/>
      <c r="B161" s="359"/>
      <c r="C161" s="358"/>
      <c r="D161" s="18"/>
      <c r="E161" s="65"/>
      <c r="F161" s="108"/>
      <c r="G161" s="16"/>
      <c r="H161" s="104"/>
      <c r="I161" s="691"/>
      <c r="J161" s="690"/>
      <c r="K161" s="687"/>
      <c r="L161" s="645"/>
      <c r="M161" s="645"/>
      <c r="N161" s="12"/>
      <c r="O161" s="12"/>
      <c r="P161" s="12"/>
      <c r="Q161" s="688"/>
      <c r="R161" s="688"/>
      <c r="S161" s="99"/>
      <c r="T161" s="99"/>
      <c r="U161" s="99"/>
      <c r="V161" s="99"/>
      <c r="W161" s="99"/>
    </row>
    <row r="162" spans="1:23" ht="15.75">
      <c r="A162" s="15"/>
      <c r="B162" s="359"/>
      <c r="C162" s="358"/>
      <c r="D162" s="18"/>
      <c r="E162" s="65"/>
      <c r="F162" s="108"/>
      <c r="G162" s="16"/>
      <c r="H162" s="104"/>
      <c r="I162" s="691"/>
      <c r="J162" s="690"/>
      <c r="K162" s="687"/>
      <c r="L162" s="645"/>
      <c r="M162" s="645"/>
      <c r="N162" s="12"/>
      <c r="O162" s="12"/>
      <c r="P162" s="12"/>
      <c r="Q162" s="688"/>
      <c r="R162" s="688"/>
      <c r="S162" s="99"/>
      <c r="T162" s="99"/>
      <c r="U162" s="99"/>
      <c r="V162" s="99"/>
      <c r="W162" s="99"/>
    </row>
    <row r="163" spans="1:23" ht="18.75">
      <c r="A163" s="111" t="s">
        <v>723</v>
      </c>
      <c r="B163" s="112"/>
      <c r="C163" s="113"/>
      <c r="D163" s="18"/>
      <c r="E163" s="18"/>
      <c r="F163" s="18"/>
      <c r="G163" s="18"/>
      <c r="H163" s="21"/>
      <c r="I163" s="691"/>
      <c r="J163" s="690"/>
      <c r="K163" s="670"/>
      <c r="L163" s="669"/>
      <c r="M163" s="645"/>
      <c r="N163" s="696"/>
      <c r="O163" s="696"/>
      <c r="P163" s="12"/>
      <c r="Q163" s="12"/>
      <c r="R163" s="12"/>
      <c r="S163" s="16"/>
      <c r="T163" s="16"/>
      <c r="U163" s="16"/>
      <c r="V163" s="16"/>
      <c r="W163" s="16"/>
    </row>
    <row r="164" spans="1:23" ht="18.75">
      <c r="A164" s="111"/>
      <c r="B164" s="112"/>
      <c r="C164" s="113"/>
      <c r="D164" s="18"/>
      <c r="E164" s="18"/>
      <c r="F164" s="18"/>
      <c r="G164" s="18"/>
      <c r="H164" s="21"/>
      <c r="I164" s="691"/>
      <c r="J164" s="690"/>
      <c r="K164" s="670"/>
      <c r="L164" s="669"/>
      <c r="M164" s="645"/>
      <c r="N164" s="696"/>
      <c r="O164" s="696"/>
      <c r="P164" s="12"/>
      <c r="Q164" s="12"/>
      <c r="R164" s="12"/>
      <c r="S164" s="16"/>
      <c r="T164" s="16"/>
      <c r="U164" s="16"/>
      <c r="V164" s="16"/>
      <c r="W164" s="16"/>
    </row>
    <row r="165" spans="1:23" ht="18.75">
      <c r="A165" s="111"/>
      <c r="B165" s="112"/>
      <c r="C165" s="113"/>
      <c r="D165" s="18"/>
      <c r="E165" s="18"/>
      <c r="F165" s="18"/>
      <c r="G165" s="18"/>
      <c r="H165" s="21"/>
      <c r="I165" s="691"/>
      <c r="J165" s="669"/>
      <c r="K165" s="670"/>
      <c r="L165" s="697"/>
      <c r="M165" s="645"/>
      <c r="N165" s="12"/>
      <c r="O165" s="12"/>
      <c r="P165" s="12"/>
      <c r="Q165" s="12"/>
      <c r="R165" s="12"/>
      <c r="S165" s="16"/>
      <c r="T165" s="16"/>
      <c r="U165" s="16"/>
      <c r="V165" s="16"/>
      <c r="W165" s="16"/>
    </row>
    <row r="166" spans="1:23" ht="18.75">
      <c r="A166" s="114" t="s">
        <v>429</v>
      </c>
      <c r="B166" s="114"/>
      <c r="C166" s="115"/>
      <c r="D166" s="19"/>
      <c r="E166" s="19"/>
      <c r="F166" s="19"/>
      <c r="G166" s="19"/>
      <c r="H166" s="17"/>
      <c r="I166" s="691"/>
      <c r="J166" s="674"/>
      <c r="K166" s="687"/>
      <c r="L166" s="698"/>
      <c r="M166" s="699"/>
      <c r="N166" s="12"/>
      <c r="O166" s="12"/>
      <c r="P166" s="12"/>
      <c r="Q166" s="12"/>
      <c r="R166" s="12"/>
      <c r="S166" s="16"/>
      <c r="T166" s="16"/>
      <c r="U166" s="16"/>
      <c r="V166" s="16"/>
      <c r="W166" s="16"/>
    </row>
    <row r="167" spans="1:23" ht="18.75">
      <c r="A167" s="114"/>
      <c r="B167" s="114"/>
      <c r="C167" s="115"/>
      <c r="D167" s="19"/>
      <c r="E167" s="19"/>
      <c r="F167" s="19"/>
      <c r="G167" s="19"/>
      <c r="H167" s="17"/>
      <c r="I167" s="691"/>
      <c r="J167" s="674"/>
      <c r="K167" s="687"/>
      <c r="L167" s="698"/>
      <c r="M167" s="699"/>
      <c r="N167" s="12"/>
      <c r="O167" s="12"/>
      <c r="P167" s="12"/>
      <c r="Q167" s="12"/>
      <c r="R167" s="12"/>
      <c r="S167" s="16"/>
      <c r="T167" s="16"/>
      <c r="U167" s="16"/>
      <c r="V167" s="16"/>
      <c r="W167" s="16"/>
    </row>
    <row r="168" spans="1:23" ht="18.75">
      <c r="A168" s="74"/>
      <c r="B168" s="74"/>
      <c r="C168" s="75"/>
      <c r="D168" s="10" t="s">
        <v>709</v>
      </c>
      <c r="E168" s="11"/>
      <c r="F168" s="10" t="s">
        <v>710</v>
      </c>
      <c r="G168" s="11"/>
      <c r="H168" s="17"/>
      <c r="I168" s="691"/>
      <c r="J168" s="691"/>
      <c r="K168" s="691"/>
      <c r="L168" s="645"/>
      <c r="M168" s="645"/>
      <c r="N168" s="12"/>
      <c r="O168" s="12"/>
      <c r="P168" s="12"/>
      <c r="Q168" s="12"/>
      <c r="R168" s="12"/>
      <c r="S168" s="16"/>
      <c r="T168" s="16"/>
      <c r="U168" s="16"/>
      <c r="V168" s="16"/>
      <c r="W168" s="16"/>
    </row>
    <row r="169" spans="1:23" ht="13.5" customHeight="1">
      <c r="A169" s="76"/>
      <c r="B169" s="76"/>
      <c r="C169" s="77"/>
      <c r="D169" s="12" t="s">
        <v>712</v>
      </c>
      <c r="E169" s="11" t="s">
        <v>711</v>
      </c>
      <c r="F169" s="12" t="s">
        <v>712</v>
      </c>
      <c r="G169" s="11" t="s">
        <v>711</v>
      </c>
      <c r="H169" s="17"/>
      <c r="I169" s="691"/>
      <c r="J169" s="674"/>
      <c r="K169" s="687"/>
      <c r="L169" s="645"/>
      <c r="M169" s="645"/>
      <c r="N169" s="12"/>
      <c r="O169" s="12"/>
      <c r="P169" s="12"/>
      <c r="Q169" s="12"/>
      <c r="R169" s="12"/>
      <c r="S169" s="16"/>
      <c r="T169" s="16"/>
      <c r="U169" s="16"/>
      <c r="V169" s="16"/>
      <c r="W169" s="16"/>
    </row>
    <row r="170" spans="1:23" ht="27.75" customHeight="1">
      <c r="A170" s="78" t="s">
        <v>714</v>
      </c>
      <c r="B170" s="78" t="s">
        <v>720</v>
      </c>
      <c r="C170" s="78" t="s">
        <v>715</v>
      </c>
      <c r="D170" s="13" t="s">
        <v>716</v>
      </c>
      <c r="E170" s="14" t="s">
        <v>717</v>
      </c>
      <c r="F170" s="13" t="s">
        <v>716</v>
      </c>
      <c r="G170" s="14" t="s">
        <v>717</v>
      </c>
      <c r="H170" s="17"/>
      <c r="I170" s="670"/>
      <c r="J170" s="674"/>
      <c r="K170" s="687"/>
      <c r="L170" s="645"/>
      <c r="M170" s="645"/>
      <c r="N170" s="12"/>
      <c r="O170" s="12"/>
      <c r="P170" s="12"/>
      <c r="Q170" s="12"/>
      <c r="R170" s="12"/>
      <c r="S170" s="16"/>
      <c r="T170" s="16"/>
      <c r="U170" s="16"/>
      <c r="V170" s="16"/>
      <c r="W170" s="16"/>
    </row>
    <row r="171" spans="1:23" s="29" customFormat="1" ht="19.5" customHeight="1">
      <c r="A171" s="638" t="s">
        <v>546</v>
      </c>
      <c r="B171" s="79" t="s">
        <v>652</v>
      </c>
      <c r="C171" s="82" t="s">
        <v>610</v>
      </c>
      <c r="D171" s="391">
        <v>45000</v>
      </c>
      <c r="E171" s="391"/>
      <c r="F171" s="391"/>
      <c r="G171" s="391"/>
      <c r="H171" s="102"/>
      <c r="I171" s="690"/>
      <c r="J171" s="669"/>
      <c r="K171" s="690"/>
      <c r="L171" s="669"/>
      <c r="M171" s="669"/>
      <c r="N171" s="390"/>
      <c r="O171" s="390"/>
      <c r="P171" s="390"/>
      <c r="Q171" s="390"/>
      <c r="R171" s="390"/>
      <c r="S171" s="117"/>
      <c r="T171" s="117"/>
      <c r="U171" s="117"/>
      <c r="V171" s="117"/>
      <c r="W171" s="117"/>
    </row>
    <row r="172" spans="1:23" s="29" customFormat="1" ht="19.5" customHeight="1">
      <c r="A172" s="620" t="s">
        <v>651</v>
      </c>
      <c r="B172" s="616" t="s">
        <v>771</v>
      </c>
      <c r="C172" s="82" t="s">
        <v>610</v>
      </c>
      <c r="D172" s="391">
        <v>10000</v>
      </c>
      <c r="E172" s="391"/>
      <c r="F172" s="391"/>
      <c r="G172" s="391"/>
      <c r="H172" s="102"/>
      <c r="I172" s="690"/>
      <c r="J172" s="669"/>
      <c r="K172" s="690"/>
      <c r="L172" s="669"/>
      <c r="M172" s="669"/>
      <c r="N172" s="390"/>
      <c r="O172" s="390"/>
      <c r="P172" s="390"/>
      <c r="Q172" s="390"/>
      <c r="R172" s="390"/>
      <c r="S172" s="117"/>
      <c r="T172" s="117"/>
      <c r="U172" s="117"/>
      <c r="V172" s="117"/>
      <c r="W172" s="117"/>
    </row>
    <row r="173" spans="1:23" s="29" customFormat="1" ht="19.5" customHeight="1">
      <c r="A173" s="638" t="s">
        <v>476</v>
      </c>
      <c r="B173" s="79" t="s">
        <v>477</v>
      </c>
      <c r="C173" s="82" t="s">
        <v>478</v>
      </c>
      <c r="D173" s="391"/>
      <c r="E173" s="391"/>
      <c r="F173" s="391">
        <f>251758.17+330450-90000+123000+2600-20000-15000+55000</f>
        <v>637808.17</v>
      </c>
      <c r="G173" s="391"/>
      <c r="H173" s="102"/>
      <c r="I173" s="690"/>
      <c r="J173" s="669"/>
      <c r="K173" s="690"/>
      <c r="L173" s="669"/>
      <c r="M173" s="669"/>
      <c r="N173" s="390"/>
      <c r="O173" s="390"/>
      <c r="P173" s="390"/>
      <c r="Q173" s="390"/>
      <c r="R173" s="390"/>
      <c r="S173" s="117"/>
      <c r="T173" s="117"/>
      <c r="U173" s="117"/>
      <c r="V173" s="117"/>
      <c r="W173" s="117"/>
    </row>
    <row r="174" spans="1:23" s="29" customFormat="1" ht="19.5" customHeight="1">
      <c r="A174" s="403" t="s">
        <v>448</v>
      </c>
      <c r="B174" s="616"/>
      <c r="C174" s="79"/>
      <c r="D174" s="391">
        <f>D175+D195+D201+D210+D223+D224+D225</f>
        <v>93694</v>
      </c>
      <c r="E174" s="391"/>
      <c r="F174" s="391">
        <f>F175+F195+F201+F210+F223+F224+F225</f>
        <v>150269</v>
      </c>
      <c r="G174" s="391"/>
      <c r="H174" s="102"/>
      <c r="I174" s="690"/>
      <c r="J174" s="669"/>
      <c r="K174" s="690"/>
      <c r="L174" s="669"/>
      <c r="M174" s="669"/>
      <c r="N174" s="390"/>
      <c r="O174" s="390"/>
      <c r="P174" s="390"/>
      <c r="Q174" s="390"/>
      <c r="R174" s="390"/>
      <c r="S174" s="117"/>
      <c r="T174" s="117"/>
      <c r="U174" s="117"/>
      <c r="V174" s="117"/>
      <c r="W174" s="117"/>
    </row>
    <row r="175" spans="1:23" s="28" customFormat="1" ht="19.5" customHeight="1">
      <c r="A175" s="85"/>
      <c r="B175" s="153" t="s">
        <v>747</v>
      </c>
      <c r="C175" s="83"/>
      <c r="D175" s="615">
        <f>SUM(D176:D194)</f>
        <v>15915</v>
      </c>
      <c r="E175" s="615"/>
      <c r="F175" s="615">
        <f>SUM(F176:F194)</f>
        <v>63070</v>
      </c>
      <c r="G175" s="615"/>
      <c r="H175" s="104"/>
      <c r="I175" s="695"/>
      <c r="J175" s="674"/>
      <c r="K175" s="695"/>
      <c r="L175" s="674"/>
      <c r="M175" s="674"/>
      <c r="N175" s="700"/>
      <c r="O175" s="700"/>
      <c r="P175" s="700"/>
      <c r="Q175" s="700"/>
      <c r="R175" s="700"/>
      <c r="S175" s="15"/>
      <c r="T175" s="15"/>
      <c r="U175" s="15"/>
      <c r="V175" s="15"/>
      <c r="W175" s="15"/>
    </row>
    <row r="176" spans="1:23" s="28" customFormat="1" ht="19.5" customHeight="1">
      <c r="A176" s="85"/>
      <c r="B176" s="86"/>
      <c r="C176" s="83" t="s">
        <v>754</v>
      </c>
      <c r="D176" s="615">
        <v>828</v>
      </c>
      <c r="E176" s="615"/>
      <c r="F176" s="615"/>
      <c r="G176" s="615"/>
      <c r="H176" s="104"/>
      <c r="I176" s="695"/>
      <c r="J176" s="674"/>
      <c r="K176" s="695"/>
      <c r="L176" s="674"/>
      <c r="M176" s="674"/>
      <c r="N176" s="700"/>
      <c r="O176" s="700"/>
      <c r="P176" s="700"/>
      <c r="Q176" s="700"/>
      <c r="R176" s="700"/>
      <c r="S176" s="15"/>
      <c r="T176" s="15"/>
      <c r="U176" s="15"/>
      <c r="V176" s="15"/>
      <c r="W176" s="15"/>
    </row>
    <row r="177" spans="1:23" s="28" customFormat="1" ht="19.5" customHeight="1">
      <c r="A177" s="85"/>
      <c r="B177" s="86"/>
      <c r="C177" s="83" t="s">
        <v>165</v>
      </c>
      <c r="D177" s="615"/>
      <c r="E177" s="615"/>
      <c r="F177" s="615">
        <f>5101+16000-14342</f>
        <v>6759</v>
      </c>
      <c r="G177" s="615"/>
      <c r="H177" s="104"/>
      <c r="I177" s="695"/>
      <c r="J177" s="674"/>
      <c r="K177" s="695"/>
      <c r="L177" s="674"/>
      <c r="M177" s="674"/>
      <c r="N177" s="700"/>
      <c r="O177" s="700"/>
      <c r="P177" s="700"/>
      <c r="Q177" s="700"/>
      <c r="R177" s="700"/>
      <c r="S177" s="15"/>
      <c r="T177" s="15"/>
      <c r="U177" s="15"/>
      <c r="V177" s="15"/>
      <c r="W177" s="15"/>
    </row>
    <row r="178" spans="1:23" s="28" customFormat="1" ht="19.5" customHeight="1">
      <c r="A178" s="85"/>
      <c r="B178" s="86"/>
      <c r="C178" s="83" t="s">
        <v>749</v>
      </c>
      <c r="D178" s="615"/>
      <c r="E178" s="615"/>
      <c r="F178" s="615">
        <v>7044</v>
      </c>
      <c r="G178" s="615"/>
      <c r="H178" s="104"/>
      <c r="I178" s="695"/>
      <c r="J178" s="674"/>
      <c r="K178" s="695"/>
      <c r="L178" s="674"/>
      <c r="M178" s="674"/>
      <c r="N178" s="700"/>
      <c r="O178" s="700"/>
      <c r="P178" s="700"/>
      <c r="Q178" s="700"/>
      <c r="R178" s="700"/>
      <c r="S178" s="15"/>
      <c r="T178" s="15"/>
      <c r="U178" s="15"/>
      <c r="V178" s="15"/>
      <c r="W178" s="15"/>
    </row>
    <row r="179" spans="1:23" s="28" customFormat="1" ht="19.5" customHeight="1">
      <c r="A179" s="85"/>
      <c r="B179" s="86"/>
      <c r="C179" s="83" t="s">
        <v>753</v>
      </c>
      <c r="D179" s="615">
        <f>1690+1300</f>
        <v>2990</v>
      </c>
      <c r="E179" s="615"/>
      <c r="F179" s="615"/>
      <c r="G179" s="615"/>
      <c r="H179" s="104"/>
      <c r="I179" s="695"/>
      <c r="J179" s="674"/>
      <c r="K179" s="695"/>
      <c r="L179" s="674"/>
      <c r="M179" s="674"/>
      <c r="N179" s="700"/>
      <c r="O179" s="700"/>
      <c r="P179" s="700"/>
      <c r="Q179" s="700"/>
      <c r="R179" s="700"/>
      <c r="S179" s="15"/>
      <c r="T179" s="15"/>
      <c r="U179" s="15"/>
      <c r="V179" s="15"/>
      <c r="W179" s="15"/>
    </row>
    <row r="180" spans="1:23" s="28" customFormat="1" ht="19.5" customHeight="1">
      <c r="A180" s="85"/>
      <c r="B180" s="86"/>
      <c r="C180" s="83" t="s">
        <v>9</v>
      </c>
      <c r="D180" s="615"/>
      <c r="E180" s="615"/>
      <c r="F180" s="615">
        <f>4000+380+6937</f>
        <v>11317</v>
      </c>
      <c r="G180" s="615"/>
      <c r="H180" s="104"/>
      <c r="I180" s="695"/>
      <c r="J180" s="674"/>
      <c r="K180" s="695"/>
      <c r="L180" s="674"/>
      <c r="M180" s="674"/>
      <c r="N180" s="700"/>
      <c r="O180" s="700"/>
      <c r="P180" s="700"/>
      <c r="Q180" s="700"/>
      <c r="R180" s="700"/>
      <c r="S180" s="15"/>
      <c r="T180" s="15"/>
      <c r="U180" s="15"/>
      <c r="V180" s="15"/>
      <c r="W180" s="15"/>
    </row>
    <row r="181" spans="1:23" s="28" customFormat="1" ht="19.5" customHeight="1">
      <c r="A181" s="85"/>
      <c r="B181" s="86"/>
      <c r="C181" s="83" t="s">
        <v>751</v>
      </c>
      <c r="D181" s="615"/>
      <c r="E181" s="615"/>
      <c r="F181" s="615">
        <f>2000+19502+5481</f>
        <v>26983</v>
      </c>
      <c r="G181" s="615"/>
      <c r="H181" s="104"/>
      <c r="I181" s="695"/>
      <c r="J181" s="674"/>
      <c r="K181" s="695"/>
      <c r="L181" s="674"/>
      <c r="M181" s="674"/>
      <c r="N181" s="700"/>
      <c r="O181" s="700"/>
      <c r="P181" s="700"/>
      <c r="Q181" s="700"/>
      <c r="R181" s="700"/>
      <c r="S181" s="15"/>
      <c r="T181" s="15"/>
      <c r="U181" s="15"/>
      <c r="V181" s="15"/>
      <c r="W181" s="15"/>
    </row>
    <row r="182" spans="1:23" s="28" customFormat="1" ht="19.5" customHeight="1">
      <c r="A182" s="85"/>
      <c r="B182" s="86"/>
      <c r="C182" s="83" t="s">
        <v>152</v>
      </c>
      <c r="D182" s="615">
        <v>960</v>
      </c>
      <c r="E182" s="615"/>
      <c r="F182" s="615"/>
      <c r="G182" s="615"/>
      <c r="H182" s="104"/>
      <c r="I182" s="695"/>
      <c r="J182" s="674"/>
      <c r="K182" s="695"/>
      <c r="L182" s="674"/>
      <c r="M182" s="674"/>
      <c r="N182" s="700"/>
      <c r="O182" s="700"/>
      <c r="P182" s="700"/>
      <c r="Q182" s="700"/>
      <c r="R182" s="700"/>
      <c r="S182" s="15"/>
      <c r="T182" s="15"/>
      <c r="U182" s="15"/>
      <c r="V182" s="15"/>
      <c r="W182" s="15"/>
    </row>
    <row r="183" spans="1:23" s="28" customFormat="1" ht="19.5" customHeight="1">
      <c r="A183" s="85"/>
      <c r="B183" s="86"/>
      <c r="C183" s="83" t="s">
        <v>755</v>
      </c>
      <c r="D183" s="615">
        <v>905</v>
      </c>
      <c r="E183" s="615"/>
      <c r="F183" s="615"/>
      <c r="G183" s="615"/>
      <c r="H183" s="104"/>
      <c r="I183" s="695"/>
      <c r="J183" s="674"/>
      <c r="K183" s="695"/>
      <c r="L183" s="674"/>
      <c r="M183" s="674"/>
      <c r="N183" s="700"/>
      <c r="O183" s="700"/>
      <c r="P183" s="700"/>
      <c r="Q183" s="700"/>
      <c r="R183" s="700"/>
      <c r="S183" s="15"/>
      <c r="T183" s="15"/>
      <c r="U183" s="15"/>
      <c r="V183" s="15"/>
      <c r="W183" s="15"/>
    </row>
    <row r="184" spans="1:23" s="28" customFormat="1" ht="19.5" customHeight="1">
      <c r="A184" s="85"/>
      <c r="B184" s="86"/>
      <c r="C184" s="83" t="s">
        <v>610</v>
      </c>
      <c r="D184" s="615"/>
      <c r="E184" s="615"/>
      <c r="F184" s="615">
        <f>1000+2495-3128</f>
        <v>367</v>
      </c>
      <c r="G184" s="615"/>
      <c r="H184" s="104"/>
      <c r="I184" s="695"/>
      <c r="J184" s="674"/>
      <c r="K184" s="695"/>
      <c r="L184" s="674"/>
      <c r="M184" s="674"/>
      <c r="N184" s="700"/>
      <c r="O184" s="700"/>
      <c r="P184" s="700"/>
      <c r="Q184" s="700"/>
      <c r="R184" s="700"/>
      <c r="S184" s="15"/>
      <c r="T184" s="15"/>
      <c r="U184" s="15"/>
      <c r="V184" s="15"/>
      <c r="W184" s="15"/>
    </row>
    <row r="185" spans="1:23" s="28" customFormat="1" ht="19.5" customHeight="1">
      <c r="A185" s="85"/>
      <c r="B185" s="86"/>
      <c r="C185" s="368" t="s">
        <v>312</v>
      </c>
      <c r="D185" s="615">
        <v>470</v>
      </c>
      <c r="E185" s="615"/>
      <c r="F185" s="615"/>
      <c r="G185" s="615"/>
      <c r="H185" s="104"/>
      <c r="I185" s="695"/>
      <c r="J185" s="674"/>
      <c r="K185" s="695"/>
      <c r="L185" s="674"/>
      <c r="M185" s="674"/>
      <c r="N185" s="700"/>
      <c r="O185" s="700"/>
      <c r="P185" s="700"/>
      <c r="Q185" s="700"/>
      <c r="R185" s="700"/>
      <c r="S185" s="15"/>
      <c r="T185" s="15"/>
      <c r="U185" s="15"/>
      <c r="V185" s="15"/>
      <c r="W185" s="15"/>
    </row>
    <row r="186" spans="1:23" s="28" customFormat="1" ht="19.5" customHeight="1">
      <c r="A186" s="85"/>
      <c r="B186" s="86"/>
      <c r="C186" s="368" t="s">
        <v>313</v>
      </c>
      <c r="D186" s="615">
        <f>150-3</f>
        <v>147</v>
      </c>
      <c r="E186" s="615"/>
      <c r="F186" s="615"/>
      <c r="G186" s="615"/>
      <c r="H186" s="104"/>
      <c r="I186" s="695"/>
      <c r="J186" s="674"/>
      <c r="K186" s="695"/>
      <c r="L186" s="674"/>
      <c r="M186" s="674"/>
      <c r="N186" s="700"/>
      <c r="O186" s="700"/>
      <c r="P186" s="700"/>
      <c r="Q186" s="700"/>
      <c r="R186" s="700"/>
      <c r="S186" s="15"/>
      <c r="T186" s="15"/>
      <c r="U186" s="15"/>
      <c r="V186" s="15"/>
      <c r="W186" s="15"/>
    </row>
    <row r="187" spans="1:23" s="28" customFormat="1" ht="19.5" customHeight="1">
      <c r="A187" s="85"/>
      <c r="B187" s="86"/>
      <c r="C187" s="368" t="s">
        <v>583</v>
      </c>
      <c r="D187" s="615">
        <f>380+100+3</f>
        <v>483</v>
      </c>
      <c r="E187" s="615"/>
      <c r="F187" s="615"/>
      <c r="G187" s="615"/>
      <c r="H187" s="104"/>
      <c r="I187" s="695"/>
      <c r="J187" s="674"/>
      <c r="K187" s="695"/>
      <c r="L187" s="674"/>
      <c r="M187" s="674"/>
      <c r="N187" s="700"/>
      <c r="O187" s="700"/>
      <c r="P187" s="700"/>
      <c r="Q187" s="700"/>
      <c r="R187" s="700"/>
      <c r="S187" s="15"/>
      <c r="T187" s="15"/>
      <c r="U187" s="15"/>
      <c r="V187" s="15"/>
      <c r="W187" s="15"/>
    </row>
    <row r="188" spans="1:23" s="28" customFormat="1" ht="19.5" customHeight="1">
      <c r="A188" s="85"/>
      <c r="B188" s="86"/>
      <c r="C188" s="368" t="s">
        <v>311</v>
      </c>
      <c r="D188" s="615">
        <v>69</v>
      </c>
      <c r="E188" s="615"/>
      <c r="F188" s="615"/>
      <c r="G188" s="615"/>
      <c r="H188" s="104"/>
      <c r="I188" s="695"/>
      <c r="J188" s="674"/>
      <c r="K188" s="695"/>
      <c r="L188" s="674"/>
      <c r="M188" s="674"/>
      <c r="N188" s="700"/>
      <c r="O188" s="700"/>
      <c r="P188" s="700"/>
      <c r="Q188" s="700"/>
      <c r="R188" s="700"/>
      <c r="S188" s="15"/>
      <c r="T188" s="15"/>
      <c r="U188" s="15"/>
      <c r="V188" s="15"/>
      <c r="W188" s="15"/>
    </row>
    <row r="189" spans="1:23" s="28" customFormat="1" ht="19.5" customHeight="1">
      <c r="A189" s="85"/>
      <c r="B189" s="86"/>
      <c r="C189" s="368" t="s">
        <v>750</v>
      </c>
      <c r="D189" s="615">
        <f>3637-346</f>
        <v>3291</v>
      </c>
      <c r="E189" s="615"/>
      <c r="F189" s="615"/>
      <c r="G189" s="615"/>
      <c r="H189" s="104"/>
      <c r="I189" s="695"/>
      <c r="J189" s="674"/>
      <c r="K189" s="695"/>
      <c r="L189" s="674"/>
      <c r="M189" s="674"/>
      <c r="N189" s="700"/>
      <c r="O189" s="700"/>
      <c r="P189" s="700"/>
      <c r="Q189" s="700"/>
      <c r="R189" s="700"/>
      <c r="S189" s="15"/>
      <c r="T189" s="15"/>
      <c r="U189" s="15"/>
      <c r="V189" s="15"/>
      <c r="W189" s="15"/>
    </row>
    <row r="190" spans="1:23" s="28" customFormat="1" ht="19.5" customHeight="1">
      <c r="A190" s="85"/>
      <c r="B190" s="86"/>
      <c r="C190" s="368" t="s">
        <v>314</v>
      </c>
      <c r="D190" s="615">
        <v>190</v>
      </c>
      <c r="E190" s="615"/>
      <c r="F190" s="615"/>
      <c r="G190" s="615"/>
      <c r="H190" s="104"/>
      <c r="I190" s="695"/>
      <c r="J190" s="674"/>
      <c r="K190" s="695"/>
      <c r="L190" s="674"/>
      <c r="M190" s="674"/>
      <c r="N190" s="700"/>
      <c r="O190" s="700"/>
      <c r="P190" s="700"/>
      <c r="Q190" s="700"/>
      <c r="R190" s="700"/>
      <c r="S190" s="15"/>
      <c r="T190" s="15"/>
      <c r="U190" s="15"/>
      <c r="V190" s="15"/>
      <c r="W190" s="15"/>
    </row>
    <row r="191" spans="1:23" s="28" customFormat="1" ht="19.5" customHeight="1">
      <c r="A191" s="85"/>
      <c r="B191" s="86"/>
      <c r="C191" s="368" t="s">
        <v>315</v>
      </c>
      <c r="D191" s="615">
        <v>250</v>
      </c>
      <c r="E191" s="615"/>
      <c r="F191" s="615"/>
      <c r="G191" s="615"/>
      <c r="H191" s="104"/>
      <c r="I191" s="695"/>
      <c r="J191" s="674"/>
      <c r="K191" s="695"/>
      <c r="L191" s="674"/>
      <c r="M191" s="674"/>
      <c r="N191" s="700"/>
      <c r="O191" s="700"/>
      <c r="P191" s="700"/>
      <c r="Q191" s="700"/>
      <c r="R191" s="700"/>
      <c r="S191" s="15"/>
      <c r="T191" s="15"/>
      <c r="U191" s="15"/>
      <c r="V191" s="15"/>
      <c r="W191" s="15"/>
    </row>
    <row r="192" spans="1:23" s="28" customFormat="1" ht="19.5" customHeight="1">
      <c r="A192" s="85"/>
      <c r="B192" s="86"/>
      <c r="C192" s="368" t="s">
        <v>595</v>
      </c>
      <c r="D192" s="615">
        <v>102</v>
      </c>
      <c r="E192" s="615"/>
      <c r="F192" s="615"/>
      <c r="G192" s="615"/>
      <c r="H192" s="104"/>
      <c r="I192" s="695"/>
      <c r="J192" s="674"/>
      <c r="K192" s="695"/>
      <c r="L192" s="674"/>
      <c r="M192" s="674"/>
      <c r="N192" s="700"/>
      <c r="O192" s="700"/>
      <c r="P192" s="700"/>
      <c r="Q192" s="700"/>
      <c r="R192" s="700"/>
      <c r="S192" s="15"/>
      <c r="T192" s="15"/>
      <c r="U192" s="15"/>
      <c r="V192" s="15"/>
      <c r="W192" s="15"/>
    </row>
    <row r="193" spans="1:23" s="28" customFormat="1" ht="19.5" customHeight="1">
      <c r="A193" s="85"/>
      <c r="B193" s="86"/>
      <c r="C193" s="368" t="s">
        <v>284</v>
      </c>
      <c r="D193" s="615">
        <v>5230</v>
      </c>
      <c r="E193" s="615"/>
      <c r="F193" s="615"/>
      <c r="G193" s="615"/>
      <c r="H193" s="104"/>
      <c r="I193" s="695"/>
      <c r="J193" s="674"/>
      <c r="K193" s="695"/>
      <c r="L193" s="674"/>
      <c r="M193" s="674"/>
      <c r="N193" s="700"/>
      <c r="O193" s="700"/>
      <c r="P193" s="700"/>
      <c r="Q193" s="700"/>
      <c r="R193" s="700"/>
      <c r="S193" s="15"/>
      <c r="T193" s="15"/>
      <c r="U193" s="15"/>
      <c r="V193" s="15"/>
      <c r="W193" s="15"/>
    </row>
    <row r="194" spans="1:23" s="28" customFormat="1" ht="19.5" customHeight="1">
      <c r="A194" s="85"/>
      <c r="B194" s="86"/>
      <c r="C194" s="368" t="s">
        <v>453</v>
      </c>
      <c r="D194" s="615"/>
      <c r="E194" s="615"/>
      <c r="F194" s="615">
        <v>10600</v>
      </c>
      <c r="G194" s="615"/>
      <c r="H194" s="104"/>
      <c r="I194" s="695"/>
      <c r="J194" s="674"/>
      <c r="K194" s="695"/>
      <c r="L194" s="674"/>
      <c r="M194" s="674"/>
      <c r="N194" s="700"/>
      <c r="O194" s="700"/>
      <c r="P194" s="700"/>
      <c r="Q194" s="700"/>
      <c r="R194" s="700"/>
      <c r="S194" s="15"/>
      <c r="T194" s="15"/>
      <c r="U194" s="15"/>
      <c r="V194" s="15"/>
      <c r="W194" s="15"/>
    </row>
    <row r="195" spans="1:23" s="28" customFormat="1" ht="19.5" customHeight="1">
      <c r="A195" s="85"/>
      <c r="B195" s="351" t="s">
        <v>525</v>
      </c>
      <c r="C195" s="368"/>
      <c r="D195" s="615">
        <f>SUM(D196:D200)</f>
        <v>1061</v>
      </c>
      <c r="E195" s="615"/>
      <c r="F195" s="615">
        <f>SUM(F196:F200)</f>
        <v>4413</v>
      </c>
      <c r="G195" s="615"/>
      <c r="H195" s="104"/>
      <c r="I195" s="695"/>
      <c r="J195" s="674"/>
      <c r="K195" s="695"/>
      <c r="L195" s="674"/>
      <c r="M195" s="674"/>
      <c r="N195" s="700"/>
      <c r="O195" s="700"/>
      <c r="P195" s="700"/>
      <c r="Q195" s="700"/>
      <c r="R195" s="700"/>
      <c r="S195" s="15"/>
      <c r="T195" s="15"/>
      <c r="U195" s="15"/>
      <c r="V195" s="15"/>
      <c r="W195" s="15"/>
    </row>
    <row r="196" spans="1:23" s="28" customFormat="1" ht="19.5" customHeight="1">
      <c r="A196" s="85"/>
      <c r="B196" s="351"/>
      <c r="C196" s="368" t="s">
        <v>749</v>
      </c>
      <c r="D196" s="615">
        <v>260</v>
      </c>
      <c r="E196" s="615"/>
      <c r="F196" s="615"/>
      <c r="G196" s="615"/>
      <c r="H196" s="104"/>
      <c r="I196" s="695"/>
      <c r="J196" s="674"/>
      <c r="K196" s="695"/>
      <c r="L196" s="674"/>
      <c r="M196" s="674"/>
      <c r="N196" s="700"/>
      <c r="O196" s="700"/>
      <c r="P196" s="700"/>
      <c r="Q196" s="700"/>
      <c r="R196" s="700"/>
      <c r="S196" s="15"/>
      <c r="T196" s="15"/>
      <c r="U196" s="15"/>
      <c r="V196" s="15"/>
      <c r="W196" s="15"/>
    </row>
    <row r="197" spans="1:23" s="28" customFormat="1" ht="19.5" customHeight="1">
      <c r="A197" s="85"/>
      <c r="B197" s="86"/>
      <c r="C197" s="368" t="s">
        <v>753</v>
      </c>
      <c r="D197" s="615"/>
      <c r="E197" s="615"/>
      <c r="F197" s="615">
        <f>600-38</f>
        <v>562</v>
      </c>
      <c r="G197" s="615"/>
      <c r="H197" s="104"/>
      <c r="I197" s="695"/>
      <c r="J197" s="674"/>
      <c r="K197" s="695"/>
      <c r="L197" s="674"/>
      <c r="M197" s="674"/>
      <c r="N197" s="700"/>
      <c r="O197" s="700"/>
      <c r="P197" s="700"/>
      <c r="Q197" s="700"/>
      <c r="R197" s="700"/>
      <c r="S197" s="15"/>
      <c r="T197" s="15"/>
      <c r="U197" s="15"/>
      <c r="V197" s="15"/>
      <c r="W197" s="15"/>
    </row>
    <row r="198" spans="1:23" s="28" customFormat="1" ht="19.5" customHeight="1">
      <c r="A198" s="85"/>
      <c r="B198" s="86"/>
      <c r="C198" s="368" t="s">
        <v>751</v>
      </c>
      <c r="D198" s="615"/>
      <c r="E198" s="615"/>
      <c r="F198" s="615">
        <v>650</v>
      </c>
      <c r="G198" s="615"/>
      <c r="H198" s="104"/>
      <c r="I198" s="695"/>
      <c r="J198" s="674"/>
      <c r="K198" s="695"/>
      <c r="L198" s="674"/>
      <c r="M198" s="674"/>
      <c r="N198" s="700"/>
      <c r="O198" s="700"/>
      <c r="P198" s="700"/>
      <c r="Q198" s="700"/>
      <c r="R198" s="700"/>
      <c r="S198" s="15"/>
      <c r="T198" s="15"/>
      <c r="U198" s="15"/>
      <c r="V198" s="15"/>
      <c r="W198" s="15"/>
    </row>
    <row r="199" spans="1:23" s="28" customFormat="1" ht="19.5" customHeight="1">
      <c r="A199" s="85"/>
      <c r="B199" s="86"/>
      <c r="C199" s="368" t="s">
        <v>755</v>
      </c>
      <c r="D199" s="615">
        <v>801</v>
      </c>
      <c r="E199" s="615"/>
      <c r="F199" s="615"/>
      <c r="G199" s="615"/>
      <c r="H199" s="104"/>
      <c r="I199" s="695"/>
      <c r="J199" s="674"/>
      <c r="K199" s="695"/>
      <c r="L199" s="674"/>
      <c r="M199" s="674"/>
      <c r="N199" s="700"/>
      <c r="O199" s="700"/>
      <c r="P199" s="700"/>
      <c r="Q199" s="700"/>
      <c r="R199" s="700"/>
      <c r="S199" s="15"/>
      <c r="T199" s="15"/>
      <c r="U199" s="15"/>
      <c r="V199" s="15"/>
      <c r="W199" s="15"/>
    </row>
    <row r="200" spans="1:23" s="28" customFormat="1" ht="19.5" customHeight="1">
      <c r="A200" s="85"/>
      <c r="B200" s="94"/>
      <c r="C200" s="368" t="s">
        <v>750</v>
      </c>
      <c r="D200" s="615"/>
      <c r="E200" s="615"/>
      <c r="F200" s="615">
        <v>3201</v>
      </c>
      <c r="G200" s="615"/>
      <c r="H200" s="104"/>
      <c r="I200" s="695"/>
      <c r="J200" s="674"/>
      <c r="K200" s="695"/>
      <c r="L200" s="674"/>
      <c r="M200" s="674"/>
      <c r="N200" s="700"/>
      <c r="O200" s="700"/>
      <c r="P200" s="700"/>
      <c r="Q200" s="700"/>
      <c r="R200" s="700"/>
      <c r="S200" s="15"/>
      <c r="T200" s="15"/>
      <c r="U200" s="15"/>
      <c r="V200" s="15"/>
      <c r="W200" s="15"/>
    </row>
    <row r="201" spans="1:23" s="28" customFormat="1" ht="19.5" customHeight="1">
      <c r="A201" s="85"/>
      <c r="B201" s="94" t="s">
        <v>92</v>
      </c>
      <c r="C201" s="83"/>
      <c r="D201" s="615">
        <f>SUM(D202:D209)</f>
        <v>31200</v>
      </c>
      <c r="E201" s="615"/>
      <c r="F201" s="615">
        <f>SUM(F202:F209)</f>
        <v>66200</v>
      </c>
      <c r="G201" s="615"/>
      <c r="H201" s="104"/>
      <c r="I201" s="695"/>
      <c r="J201" s="674"/>
      <c r="K201" s="695"/>
      <c r="L201" s="674"/>
      <c r="M201" s="674"/>
      <c r="N201" s="700"/>
      <c r="O201" s="700"/>
      <c r="P201" s="700"/>
      <c r="Q201" s="700"/>
      <c r="R201" s="700"/>
      <c r="S201" s="15"/>
      <c r="T201" s="15"/>
      <c r="U201" s="15"/>
      <c r="V201" s="15"/>
      <c r="W201" s="15"/>
    </row>
    <row r="202" spans="1:23" s="28" customFormat="1" ht="19.5" customHeight="1">
      <c r="A202" s="85"/>
      <c r="B202" s="86"/>
      <c r="C202" s="456" t="s">
        <v>435</v>
      </c>
      <c r="D202" s="615"/>
      <c r="E202" s="615"/>
      <c r="F202" s="615">
        <v>15000</v>
      </c>
      <c r="G202" s="615"/>
      <c r="H202" s="104"/>
      <c r="I202" s="695"/>
      <c r="J202" s="674"/>
      <c r="K202" s="695"/>
      <c r="L202" s="674"/>
      <c r="M202" s="674"/>
      <c r="N202" s="700"/>
      <c r="O202" s="700"/>
      <c r="P202" s="700"/>
      <c r="Q202" s="700"/>
      <c r="R202" s="700"/>
      <c r="S202" s="15"/>
      <c r="T202" s="15"/>
      <c r="U202" s="15"/>
      <c r="V202" s="15"/>
      <c r="W202" s="15"/>
    </row>
    <row r="203" spans="1:23" s="28" customFormat="1" ht="19.5" customHeight="1">
      <c r="A203" s="85"/>
      <c r="B203" s="86"/>
      <c r="C203" s="83" t="s">
        <v>165</v>
      </c>
      <c r="D203" s="615"/>
      <c r="E203" s="615"/>
      <c r="F203" s="615">
        <f>6000+5000</f>
        <v>11000</v>
      </c>
      <c r="G203" s="615"/>
      <c r="H203" s="104"/>
      <c r="I203" s="695"/>
      <c r="J203" s="674"/>
      <c r="K203" s="695"/>
      <c r="L203" s="674"/>
      <c r="M203" s="674"/>
      <c r="N203" s="700"/>
      <c r="O203" s="700"/>
      <c r="P203" s="700"/>
      <c r="Q203" s="700"/>
      <c r="R203" s="700"/>
      <c r="S203" s="15"/>
      <c r="T203" s="15"/>
      <c r="U203" s="15"/>
      <c r="V203" s="15"/>
      <c r="W203" s="15"/>
    </row>
    <row r="204" spans="1:23" s="28" customFormat="1" ht="19.5" customHeight="1">
      <c r="A204" s="85"/>
      <c r="B204" s="86"/>
      <c r="C204" s="83" t="s">
        <v>749</v>
      </c>
      <c r="D204" s="615"/>
      <c r="E204" s="615"/>
      <c r="F204" s="615">
        <v>1500</v>
      </c>
      <c r="G204" s="615"/>
      <c r="H204" s="104"/>
      <c r="I204" s="695"/>
      <c r="J204" s="674"/>
      <c r="K204" s="695"/>
      <c r="L204" s="674"/>
      <c r="M204" s="674"/>
      <c r="N204" s="700"/>
      <c r="O204" s="700"/>
      <c r="P204" s="700"/>
      <c r="Q204" s="700"/>
      <c r="R204" s="700"/>
      <c r="S204" s="15"/>
      <c r="T204" s="15"/>
      <c r="U204" s="15"/>
      <c r="V204" s="15"/>
      <c r="W204" s="15"/>
    </row>
    <row r="205" spans="1:23" s="28" customFormat="1" ht="19.5" customHeight="1">
      <c r="A205" s="85"/>
      <c r="B205" s="86"/>
      <c r="C205" s="83" t="s">
        <v>753</v>
      </c>
      <c r="D205" s="615">
        <f>10000+5200</f>
        <v>15200</v>
      </c>
      <c r="E205" s="615"/>
      <c r="F205" s="615"/>
      <c r="G205" s="615"/>
      <c r="H205" s="104"/>
      <c r="I205" s="695"/>
      <c r="J205" s="674"/>
      <c r="K205" s="695"/>
      <c r="L205" s="674"/>
      <c r="M205" s="674"/>
      <c r="N205" s="700"/>
      <c r="O205" s="700"/>
      <c r="P205" s="700"/>
      <c r="Q205" s="700"/>
      <c r="R205" s="700"/>
      <c r="S205" s="15"/>
      <c r="T205" s="15"/>
      <c r="U205" s="15"/>
      <c r="V205" s="15"/>
      <c r="W205" s="15"/>
    </row>
    <row r="206" spans="1:23" s="28" customFormat="1" ht="19.5" customHeight="1">
      <c r="A206" s="85"/>
      <c r="B206" s="86"/>
      <c r="C206" s="83" t="s">
        <v>9</v>
      </c>
      <c r="D206" s="615"/>
      <c r="E206" s="615"/>
      <c r="F206" s="615">
        <v>11000</v>
      </c>
      <c r="G206" s="615"/>
      <c r="H206" s="104"/>
      <c r="I206" s="695"/>
      <c r="J206" s="674"/>
      <c r="K206" s="695"/>
      <c r="L206" s="674"/>
      <c r="M206" s="674"/>
      <c r="N206" s="700"/>
      <c r="O206" s="700"/>
      <c r="P206" s="700"/>
      <c r="Q206" s="700"/>
      <c r="R206" s="700"/>
      <c r="S206" s="15"/>
      <c r="T206" s="15"/>
      <c r="U206" s="15"/>
      <c r="V206" s="15"/>
      <c r="W206" s="15"/>
    </row>
    <row r="207" spans="1:23" s="28" customFormat="1" ht="19.5" customHeight="1">
      <c r="A207" s="85"/>
      <c r="B207" s="86"/>
      <c r="C207" s="83" t="s">
        <v>751</v>
      </c>
      <c r="D207" s="615">
        <v>16000</v>
      </c>
      <c r="E207" s="615"/>
      <c r="F207" s="615"/>
      <c r="G207" s="615"/>
      <c r="H207" s="104"/>
      <c r="I207" s="695"/>
      <c r="J207" s="674"/>
      <c r="K207" s="695"/>
      <c r="L207" s="674"/>
      <c r="M207" s="674"/>
      <c r="N207" s="700"/>
      <c r="O207" s="700"/>
      <c r="P207" s="700"/>
      <c r="Q207" s="700"/>
      <c r="R207" s="700"/>
      <c r="S207" s="15"/>
      <c r="T207" s="15"/>
      <c r="U207" s="15"/>
      <c r="V207" s="15"/>
      <c r="W207" s="15"/>
    </row>
    <row r="208" spans="1:23" s="28" customFormat="1" ht="19.5" customHeight="1">
      <c r="A208" s="85"/>
      <c r="B208" s="86"/>
      <c r="C208" s="83" t="s">
        <v>610</v>
      </c>
      <c r="D208" s="615"/>
      <c r="E208" s="615"/>
      <c r="F208" s="615">
        <v>7500</v>
      </c>
      <c r="G208" s="615"/>
      <c r="H208" s="104"/>
      <c r="I208" s="695"/>
      <c r="J208" s="674"/>
      <c r="K208" s="695"/>
      <c r="L208" s="674"/>
      <c r="M208" s="674"/>
      <c r="N208" s="700"/>
      <c r="O208" s="700"/>
      <c r="P208" s="700"/>
      <c r="Q208" s="700"/>
      <c r="R208" s="700"/>
      <c r="S208" s="15"/>
      <c r="T208" s="15"/>
      <c r="U208" s="15"/>
      <c r="V208" s="15"/>
      <c r="W208" s="15"/>
    </row>
    <row r="209" spans="1:23" s="28" customFormat="1" ht="19.5" customHeight="1">
      <c r="A209" s="85"/>
      <c r="B209" s="86"/>
      <c r="C209" s="83" t="s">
        <v>453</v>
      </c>
      <c r="D209" s="615"/>
      <c r="E209" s="615"/>
      <c r="F209" s="615">
        <f>5200+15000</f>
        <v>20200</v>
      </c>
      <c r="G209" s="615"/>
      <c r="H209" s="104"/>
      <c r="I209" s="695"/>
      <c r="J209" s="674"/>
      <c r="K209" s="695"/>
      <c r="L209" s="674"/>
      <c r="M209" s="674"/>
      <c r="N209" s="700"/>
      <c r="O209" s="700"/>
      <c r="P209" s="700"/>
      <c r="Q209" s="700"/>
      <c r="R209" s="700"/>
      <c r="S209" s="15"/>
      <c r="T209" s="15"/>
      <c r="U209" s="15"/>
      <c r="V209" s="15"/>
      <c r="W209" s="15"/>
    </row>
    <row r="210" spans="1:23" s="28" customFormat="1" ht="19.5" customHeight="1">
      <c r="A210" s="85"/>
      <c r="B210" s="153" t="s">
        <v>846</v>
      </c>
      <c r="C210" s="83"/>
      <c r="D210" s="615">
        <f>SUM(D211:D222)</f>
        <v>24530</v>
      </c>
      <c r="E210" s="615"/>
      <c r="F210" s="615">
        <f>SUM(F211:F222)</f>
        <v>11186</v>
      </c>
      <c r="G210" s="615"/>
      <c r="H210" s="104"/>
      <c r="I210" s="695"/>
      <c r="J210" s="674"/>
      <c r="K210" s="695"/>
      <c r="L210" s="674"/>
      <c r="M210" s="674"/>
      <c r="N210" s="700"/>
      <c r="O210" s="700"/>
      <c r="P210" s="700"/>
      <c r="Q210" s="700"/>
      <c r="R210" s="700"/>
      <c r="S210" s="15"/>
      <c r="T210" s="15"/>
      <c r="U210" s="15"/>
      <c r="V210" s="15"/>
      <c r="W210" s="15"/>
    </row>
    <row r="211" spans="1:23" s="28" customFormat="1" ht="19.5" customHeight="1">
      <c r="A211" s="85"/>
      <c r="B211" s="86"/>
      <c r="C211" s="83" t="s">
        <v>316</v>
      </c>
      <c r="D211" s="615">
        <v>3000</v>
      </c>
      <c r="E211" s="615"/>
      <c r="F211" s="615"/>
      <c r="G211" s="615"/>
      <c r="H211" s="104"/>
      <c r="I211" s="695"/>
      <c r="J211" s="674"/>
      <c r="K211" s="695"/>
      <c r="L211" s="674"/>
      <c r="M211" s="674"/>
      <c r="N211" s="700"/>
      <c r="O211" s="700"/>
      <c r="P211" s="700"/>
      <c r="Q211" s="700"/>
      <c r="R211" s="700"/>
      <c r="S211" s="15"/>
      <c r="T211" s="15"/>
      <c r="U211" s="15"/>
      <c r="V211" s="15"/>
      <c r="W211" s="15"/>
    </row>
    <row r="212" spans="1:23" s="28" customFormat="1" ht="19.5" customHeight="1">
      <c r="A212" s="85"/>
      <c r="B212" s="86"/>
      <c r="C212" s="83" t="s">
        <v>754</v>
      </c>
      <c r="D212" s="615"/>
      <c r="E212" s="615"/>
      <c r="F212" s="615">
        <v>800</v>
      </c>
      <c r="G212" s="615"/>
      <c r="H212" s="104"/>
      <c r="I212" s="695"/>
      <c r="J212" s="674"/>
      <c r="K212" s="695"/>
      <c r="L212" s="674"/>
      <c r="M212" s="674"/>
      <c r="N212" s="700"/>
      <c r="O212" s="700"/>
      <c r="P212" s="700"/>
      <c r="Q212" s="700"/>
      <c r="R212" s="700"/>
      <c r="S212" s="15"/>
      <c r="T212" s="15"/>
      <c r="U212" s="15"/>
      <c r="V212" s="15"/>
      <c r="W212" s="15"/>
    </row>
    <row r="213" spans="1:23" s="28" customFormat="1" ht="19.5" customHeight="1">
      <c r="A213" s="85"/>
      <c r="B213" s="86"/>
      <c r="C213" s="83" t="s">
        <v>165</v>
      </c>
      <c r="D213" s="615">
        <f>10000-2748</f>
        <v>7252</v>
      </c>
      <c r="E213" s="615"/>
      <c r="F213" s="615"/>
      <c r="G213" s="615"/>
      <c r="H213" s="104"/>
      <c r="I213" s="695"/>
      <c r="J213" s="674"/>
      <c r="K213" s="695"/>
      <c r="L213" s="674"/>
      <c r="M213" s="674"/>
      <c r="N213" s="700"/>
      <c r="O213" s="700"/>
      <c r="P213" s="700"/>
      <c r="Q213" s="700"/>
      <c r="R213" s="700"/>
      <c r="S213" s="15"/>
      <c r="T213" s="15"/>
      <c r="U213" s="15"/>
      <c r="V213" s="15"/>
      <c r="W213" s="15"/>
    </row>
    <row r="214" spans="1:23" s="28" customFormat="1" ht="19.5" customHeight="1">
      <c r="A214" s="85"/>
      <c r="B214" s="86"/>
      <c r="C214" s="83" t="s">
        <v>753</v>
      </c>
      <c r="D214" s="615">
        <v>6000</v>
      </c>
      <c r="E214" s="615"/>
      <c r="F214" s="615"/>
      <c r="G214" s="615"/>
      <c r="H214" s="104"/>
      <c r="I214" s="695"/>
      <c r="J214" s="674"/>
      <c r="K214" s="695"/>
      <c r="L214" s="674"/>
      <c r="M214" s="674"/>
      <c r="N214" s="700"/>
      <c r="O214" s="700"/>
      <c r="P214" s="700"/>
      <c r="Q214" s="700"/>
      <c r="R214" s="700"/>
      <c r="S214" s="15"/>
      <c r="T214" s="15"/>
      <c r="U214" s="15"/>
      <c r="V214" s="15"/>
      <c r="W214" s="15"/>
    </row>
    <row r="215" spans="1:23" s="28" customFormat="1" ht="19.5" customHeight="1">
      <c r="A215" s="85"/>
      <c r="B215" s="86"/>
      <c r="C215" s="83" t="s">
        <v>599</v>
      </c>
      <c r="D215" s="615"/>
      <c r="E215" s="615"/>
      <c r="F215" s="615">
        <v>200</v>
      </c>
      <c r="G215" s="615"/>
      <c r="H215" s="104"/>
      <c r="I215" s="695"/>
      <c r="J215" s="674"/>
      <c r="K215" s="695"/>
      <c r="L215" s="674"/>
      <c r="M215" s="674"/>
      <c r="N215" s="700"/>
      <c r="O215" s="700"/>
      <c r="P215" s="700"/>
      <c r="Q215" s="700"/>
      <c r="R215" s="700"/>
      <c r="S215" s="15"/>
      <c r="T215" s="15"/>
      <c r="U215" s="15"/>
      <c r="V215" s="15"/>
      <c r="W215" s="15"/>
    </row>
    <row r="216" spans="1:23" s="28" customFormat="1" ht="19.5" customHeight="1">
      <c r="A216" s="85"/>
      <c r="B216" s="86"/>
      <c r="C216" s="83" t="s">
        <v>751</v>
      </c>
      <c r="D216" s="615"/>
      <c r="E216" s="615"/>
      <c r="F216" s="615">
        <v>4000</v>
      </c>
      <c r="G216" s="615"/>
      <c r="H216" s="104"/>
      <c r="I216" s="695"/>
      <c r="J216" s="674"/>
      <c r="K216" s="695"/>
      <c r="L216" s="674"/>
      <c r="M216" s="674"/>
      <c r="N216" s="700"/>
      <c r="O216" s="700"/>
      <c r="P216" s="700"/>
      <c r="Q216" s="700"/>
      <c r="R216" s="700"/>
      <c r="S216" s="15"/>
      <c r="T216" s="15"/>
      <c r="U216" s="15"/>
      <c r="V216" s="15"/>
      <c r="W216" s="15"/>
    </row>
    <row r="217" spans="1:23" s="28" customFormat="1" ht="19.5" customHeight="1">
      <c r="A217" s="85"/>
      <c r="B217" s="86"/>
      <c r="C217" s="83" t="s">
        <v>755</v>
      </c>
      <c r="D217" s="615"/>
      <c r="E217" s="615"/>
      <c r="F217" s="615">
        <v>186</v>
      </c>
      <c r="G217" s="615"/>
      <c r="H217" s="104"/>
      <c r="I217" s="695"/>
      <c r="J217" s="674"/>
      <c r="K217" s="695"/>
      <c r="L217" s="674"/>
      <c r="M217" s="674"/>
      <c r="N217" s="700"/>
      <c r="O217" s="700"/>
      <c r="P217" s="700"/>
      <c r="Q217" s="700"/>
      <c r="R217" s="700"/>
      <c r="S217" s="15"/>
      <c r="T217" s="15"/>
      <c r="U217" s="15"/>
      <c r="V217" s="15"/>
      <c r="W217" s="15"/>
    </row>
    <row r="218" spans="1:23" s="28" customFormat="1" ht="19.5" customHeight="1">
      <c r="A218" s="85"/>
      <c r="B218" s="86"/>
      <c r="C218" s="83" t="s">
        <v>610</v>
      </c>
      <c r="D218" s="615"/>
      <c r="E218" s="615"/>
      <c r="F218" s="615">
        <v>6000</v>
      </c>
      <c r="G218" s="615"/>
      <c r="H218" s="104"/>
      <c r="I218" s="695"/>
      <c r="J218" s="674"/>
      <c r="K218" s="695"/>
      <c r="L218" s="674"/>
      <c r="M218" s="674"/>
      <c r="N218" s="700"/>
      <c r="O218" s="700"/>
      <c r="P218" s="700"/>
      <c r="Q218" s="700"/>
      <c r="R218" s="700"/>
      <c r="S218" s="15"/>
      <c r="T218" s="15"/>
      <c r="U218" s="15"/>
      <c r="V218" s="15"/>
      <c r="W218" s="15"/>
    </row>
    <row r="219" spans="1:23" s="28" customFormat="1" ht="19.5" customHeight="1">
      <c r="A219" s="85"/>
      <c r="B219" s="86"/>
      <c r="C219" s="83" t="s">
        <v>583</v>
      </c>
      <c r="D219" s="615">
        <v>353</v>
      </c>
      <c r="E219" s="615"/>
      <c r="F219" s="615"/>
      <c r="G219" s="615"/>
      <c r="H219" s="104"/>
      <c r="I219" s="695"/>
      <c r="J219" s="674"/>
      <c r="K219" s="695"/>
      <c r="L219" s="674"/>
      <c r="M219" s="674"/>
      <c r="N219" s="700"/>
      <c r="O219" s="700"/>
      <c r="P219" s="700"/>
      <c r="Q219" s="700"/>
      <c r="R219" s="700"/>
      <c r="S219" s="15"/>
      <c r="T219" s="15"/>
      <c r="U219" s="15"/>
      <c r="V219" s="15"/>
      <c r="W219" s="15"/>
    </row>
    <row r="220" spans="1:23" s="28" customFormat="1" ht="19.5" customHeight="1">
      <c r="A220" s="85"/>
      <c r="B220" s="86"/>
      <c r="C220" s="83" t="s">
        <v>584</v>
      </c>
      <c r="D220" s="615">
        <v>1000</v>
      </c>
      <c r="E220" s="615"/>
      <c r="F220" s="615"/>
      <c r="G220" s="615"/>
      <c r="H220" s="104"/>
      <c r="I220" s="695"/>
      <c r="J220" s="674"/>
      <c r="K220" s="695"/>
      <c r="L220" s="674"/>
      <c r="M220" s="674"/>
      <c r="N220" s="700"/>
      <c r="O220" s="700"/>
      <c r="P220" s="700"/>
      <c r="Q220" s="700"/>
      <c r="R220" s="700"/>
      <c r="S220" s="15"/>
      <c r="T220" s="15"/>
      <c r="U220" s="15"/>
      <c r="V220" s="15"/>
      <c r="W220" s="15"/>
    </row>
    <row r="221" spans="1:23" s="28" customFormat="1" ht="19.5" customHeight="1">
      <c r="A221" s="85"/>
      <c r="B221" s="86"/>
      <c r="C221" s="83" t="s">
        <v>756</v>
      </c>
      <c r="D221" s="615">
        <f>403+1000</f>
        <v>1403</v>
      </c>
      <c r="E221" s="615"/>
      <c r="F221" s="615"/>
      <c r="G221" s="615"/>
      <c r="H221" s="104"/>
      <c r="I221" s="695"/>
      <c r="J221" s="674"/>
      <c r="K221" s="695"/>
      <c r="L221" s="674"/>
      <c r="M221" s="674"/>
      <c r="N221" s="700"/>
      <c r="O221" s="700"/>
      <c r="P221" s="700"/>
      <c r="Q221" s="700"/>
      <c r="R221" s="700"/>
      <c r="S221" s="15"/>
      <c r="T221" s="15"/>
      <c r="U221" s="15"/>
      <c r="V221" s="15"/>
      <c r="W221" s="15"/>
    </row>
    <row r="222" spans="1:23" s="28" customFormat="1" ht="19.5" customHeight="1">
      <c r="A222" s="85"/>
      <c r="B222" s="86"/>
      <c r="C222" s="83" t="s">
        <v>750</v>
      </c>
      <c r="D222" s="615">
        <f>235+5287</f>
        <v>5522</v>
      </c>
      <c r="E222" s="615"/>
      <c r="F222" s="615"/>
      <c r="G222" s="615"/>
      <c r="H222" s="104"/>
      <c r="I222" s="695"/>
      <c r="J222" s="674"/>
      <c r="K222" s="695"/>
      <c r="L222" s="674"/>
      <c r="M222" s="674"/>
      <c r="N222" s="700"/>
      <c r="O222" s="700"/>
      <c r="P222" s="700"/>
      <c r="Q222" s="700"/>
      <c r="R222" s="700"/>
      <c r="S222" s="15"/>
      <c r="T222" s="15"/>
      <c r="U222" s="15"/>
      <c r="V222" s="15"/>
      <c r="W222" s="15"/>
    </row>
    <row r="223" spans="1:23" s="28" customFormat="1" ht="19.5" customHeight="1">
      <c r="A223" s="85"/>
      <c r="B223" s="153" t="s">
        <v>586</v>
      </c>
      <c r="C223" s="368" t="s">
        <v>610</v>
      </c>
      <c r="D223" s="615">
        <f>14100+1396</f>
        <v>15496</v>
      </c>
      <c r="E223" s="615"/>
      <c r="F223" s="615"/>
      <c r="G223" s="615"/>
      <c r="H223" s="104"/>
      <c r="I223" s="695"/>
      <c r="J223" s="674"/>
      <c r="K223" s="695"/>
      <c r="L223" s="674"/>
      <c r="M223" s="674"/>
      <c r="N223" s="700"/>
      <c r="O223" s="700"/>
      <c r="P223" s="700"/>
      <c r="Q223" s="700"/>
      <c r="R223" s="700"/>
      <c r="S223" s="15"/>
      <c r="T223" s="15"/>
      <c r="U223" s="15"/>
      <c r="V223" s="15"/>
      <c r="W223" s="15"/>
    </row>
    <row r="224" spans="1:23" s="28" customFormat="1" ht="19.5" customHeight="1">
      <c r="A224" s="85"/>
      <c r="B224" s="351" t="s">
        <v>594</v>
      </c>
      <c r="C224" s="368" t="s">
        <v>311</v>
      </c>
      <c r="D224" s="615">
        <v>620</v>
      </c>
      <c r="E224" s="615"/>
      <c r="F224" s="615"/>
      <c r="G224" s="615"/>
      <c r="H224" s="104"/>
      <c r="I224" s="695"/>
      <c r="J224" s="674"/>
      <c r="K224" s="695"/>
      <c r="L224" s="674"/>
      <c r="M224" s="674"/>
      <c r="N224" s="700"/>
      <c r="O224" s="700"/>
      <c r="P224" s="700"/>
      <c r="Q224" s="700"/>
      <c r="R224" s="700"/>
      <c r="S224" s="15"/>
      <c r="T224" s="15"/>
      <c r="U224" s="15"/>
      <c r="V224" s="15"/>
      <c r="W224" s="15"/>
    </row>
    <row r="225" spans="1:23" s="28" customFormat="1" ht="19.5" customHeight="1">
      <c r="A225" s="85"/>
      <c r="B225" s="351" t="s">
        <v>526</v>
      </c>
      <c r="C225" s="368"/>
      <c r="D225" s="615">
        <f>SUM(D226:D232)</f>
        <v>4872</v>
      </c>
      <c r="E225" s="615"/>
      <c r="F225" s="615">
        <f>SUM(F226:F232)</f>
        <v>5400</v>
      </c>
      <c r="G225" s="615"/>
      <c r="H225" s="104"/>
      <c r="I225" s="695"/>
      <c r="J225" s="674"/>
      <c r="K225" s="695"/>
      <c r="L225" s="674"/>
      <c r="M225" s="674"/>
      <c r="N225" s="700"/>
      <c r="O225" s="700"/>
      <c r="P225" s="700"/>
      <c r="Q225" s="700"/>
      <c r="R225" s="700"/>
      <c r="S225" s="15"/>
      <c r="T225" s="15"/>
      <c r="U225" s="15"/>
      <c r="V225" s="15"/>
      <c r="W225" s="15"/>
    </row>
    <row r="226" spans="1:23" s="28" customFormat="1" ht="19.5" customHeight="1">
      <c r="A226" s="85"/>
      <c r="B226" s="351"/>
      <c r="C226" s="368" t="s">
        <v>754</v>
      </c>
      <c r="D226" s="615">
        <v>102</v>
      </c>
      <c r="E226" s="615"/>
      <c r="F226" s="615"/>
      <c r="G226" s="615"/>
      <c r="H226" s="104"/>
      <c r="I226" s="695"/>
      <c r="J226" s="674"/>
      <c r="K226" s="695"/>
      <c r="L226" s="674"/>
      <c r="M226" s="674"/>
      <c r="N226" s="700"/>
      <c r="O226" s="700"/>
      <c r="P226" s="700"/>
      <c r="Q226" s="700"/>
      <c r="R226" s="700"/>
      <c r="S226" s="15"/>
      <c r="T226" s="15"/>
      <c r="U226" s="15"/>
      <c r="V226" s="15"/>
      <c r="W226" s="15"/>
    </row>
    <row r="227" spans="1:23" s="28" customFormat="1" ht="19.5" customHeight="1">
      <c r="A227" s="85"/>
      <c r="B227" s="86"/>
      <c r="C227" s="368" t="s">
        <v>599</v>
      </c>
      <c r="D227" s="615"/>
      <c r="E227" s="615"/>
      <c r="F227" s="615">
        <v>5400</v>
      </c>
      <c r="G227" s="615"/>
      <c r="H227" s="104"/>
      <c r="I227" s="695"/>
      <c r="J227" s="674"/>
      <c r="K227" s="695"/>
      <c r="L227" s="674"/>
      <c r="M227" s="674"/>
      <c r="N227" s="700"/>
      <c r="O227" s="700"/>
      <c r="P227" s="700"/>
      <c r="Q227" s="700"/>
      <c r="R227" s="700"/>
      <c r="S227" s="15"/>
      <c r="T227" s="15"/>
      <c r="U227" s="15"/>
      <c r="V227" s="15"/>
      <c r="W227" s="15"/>
    </row>
    <row r="228" spans="1:23" s="28" customFormat="1" ht="19.5" customHeight="1">
      <c r="A228" s="85"/>
      <c r="B228" s="86"/>
      <c r="C228" s="368" t="s">
        <v>152</v>
      </c>
      <c r="D228" s="615">
        <v>154</v>
      </c>
      <c r="E228" s="615"/>
      <c r="F228" s="615"/>
      <c r="G228" s="615"/>
      <c r="H228" s="104"/>
      <c r="I228" s="695"/>
      <c r="J228" s="674"/>
      <c r="K228" s="695"/>
      <c r="L228" s="674"/>
      <c r="M228" s="674"/>
      <c r="N228" s="700"/>
      <c r="O228" s="700"/>
      <c r="P228" s="700"/>
      <c r="Q228" s="700"/>
      <c r="R228" s="700"/>
      <c r="S228" s="15"/>
      <c r="T228" s="15"/>
      <c r="U228" s="15"/>
      <c r="V228" s="15"/>
      <c r="W228" s="15"/>
    </row>
    <row r="229" spans="1:23" s="28" customFormat="1" ht="19.5" customHeight="1">
      <c r="A229" s="85"/>
      <c r="B229" s="86"/>
      <c r="C229" s="368" t="s">
        <v>755</v>
      </c>
      <c r="D229" s="615">
        <v>282</v>
      </c>
      <c r="E229" s="615"/>
      <c r="F229" s="615"/>
      <c r="G229" s="615"/>
      <c r="H229" s="104"/>
      <c r="I229" s="695"/>
      <c r="J229" s="674"/>
      <c r="K229" s="695"/>
      <c r="L229" s="674"/>
      <c r="M229" s="674"/>
      <c r="N229" s="700"/>
      <c r="O229" s="700"/>
      <c r="P229" s="700"/>
      <c r="Q229" s="700"/>
      <c r="R229" s="700"/>
      <c r="S229" s="15"/>
      <c r="T229" s="15"/>
      <c r="U229" s="15"/>
      <c r="V229" s="15"/>
      <c r="W229" s="15"/>
    </row>
    <row r="230" spans="1:23" s="28" customFormat="1" ht="19.5" customHeight="1">
      <c r="A230" s="85"/>
      <c r="B230" s="86"/>
      <c r="C230" s="368" t="s">
        <v>610</v>
      </c>
      <c r="D230" s="615">
        <f>3100+387</f>
        <v>3487</v>
      </c>
      <c r="E230" s="615"/>
      <c r="F230" s="615"/>
      <c r="G230" s="615"/>
      <c r="H230" s="104"/>
      <c r="I230" s="695"/>
      <c r="J230" s="674"/>
      <c r="K230" s="695"/>
      <c r="L230" s="674"/>
      <c r="M230" s="674"/>
      <c r="N230" s="700"/>
      <c r="O230" s="700"/>
      <c r="P230" s="700"/>
      <c r="Q230" s="700"/>
      <c r="R230" s="700"/>
      <c r="S230" s="15"/>
      <c r="T230" s="15"/>
      <c r="U230" s="15"/>
      <c r="V230" s="15"/>
      <c r="W230" s="15"/>
    </row>
    <row r="231" spans="1:23" s="28" customFormat="1" ht="19.5" customHeight="1">
      <c r="A231" s="85"/>
      <c r="B231" s="86"/>
      <c r="C231" s="368" t="s">
        <v>756</v>
      </c>
      <c r="D231" s="615">
        <v>46</v>
      </c>
      <c r="E231" s="615"/>
      <c r="F231" s="615"/>
      <c r="G231" s="615"/>
      <c r="H231" s="104"/>
      <c r="I231" s="695"/>
      <c r="J231" s="674"/>
      <c r="K231" s="695"/>
      <c r="L231" s="674"/>
      <c r="M231" s="674"/>
      <c r="N231" s="700"/>
      <c r="O231" s="700"/>
      <c r="P231" s="700"/>
      <c r="Q231" s="700"/>
      <c r="R231" s="700"/>
      <c r="S231" s="15"/>
      <c r="T231" s="15"/>
      <c r="U231" s="15"/>
      <c r="V231" s="15"/>
      <c r="W231" s="15"/>
    </row>
    <row r="232" spans="1:23" s="28" customFormat="1" ht="19.5" customHeight="1">
      <c r="A232" s="85"/>
      <c r="B232" s="86"/>
      <c r="C232" s="368" t="s">
        <v>750</v>
      </c>
      <c r="D232" s="615">
        <f>498+303</f>
        <v>801</v>
      </c>
      <c r="E232" s="615"/>
      <c r="F232" s="615"/>
      <c r="G232" s="615"/>
      <c r="H232" s="104"/>
      <c r="I232" s="695"/>
      <c r="J232" s="674"/>
      <c r="K232" s="695"/>
      <c r="L232" s="674"/>
      <c r="M232" s="674"/>
      <c r="N232" s="700"/>
      <c r="O232" s="700"/>
      <c r="P232" s="700"/>
      <c r="Q232" s="700"/>
      <c r="R232" s="700"/>
      <c r="S232" s="15"/>
      <c r="T232" s="15"/>
      <c r="U232" s="15"/>
      <c r="V232" s="15"/>
      <c r="W232" s="15"/>
    </row>
    <row r="233" spans="1:23" s="29" customFormat="1" ht="19.5" customHeight="1">
      <c r="A233" s="638" t="s">
        <v>320</v>
      </c>
      <c r="B233" s="79" t="s">
        <v>418</v>
      </c>
      <c r="C233" s="116"/>
      <c r="D233" s="391"/>
      <c r="E233" s="391"/>
      <c r="F233" s="391">
        <f>SUM(F234:F236)</f>
        <v>20000</v>
      </c>
      <c r="G233" s="391"/>
      <c r="H233" s="102"/>
      <c r="I233" s="690"/>
      <c r="J233" s="669"/>
      <c r="K233" s="690"/>
      <c r="L233" s="669"/>
      <c r="M233" s="669"/>
      <c r="N233" s="390"/>
      <c r="O233" s="390"/>
      <c r="P233" s="390"/>
      <c r="Q233" s="390"/>
      <c r="R233" s="390"/>
      <c r="S233" s="117"/>
      <c r="T233" s="117"/>
      <c r="U233" s="117"/>
      <c r="V233" s="117"/>
      <c r="W233" s="117"/>
    </row>
    <row r="234" spans="1:23" s="28" customFormat="1" ht="19.5" customHeight="1">
      <c r="A234" s="85"/>
      <c r="B234" s="86"/>
      <c r="C234" s="368" t="s">
        <v>165</v>
      </c>
      <c r="D234" s="615"/>
      <c r="E234" s="615"/>
      <c r="F234" s="615"/>
      <c r="G234" s="615"/>
      <c r="H234" s="104"/>
      <c r="I234" s="695"/>
      <c r="J234" s="674"/>
      <c r="K234" s="695"/>
      <c r="L234" s="674"/>
      <c r="M234" s="674"/>
      <c r="N234" s="700"/>
      <c r="O234" s="700"/>
      <c r="P234" s="700"/>
      <c r="Q234" s="700"/>
      <c r="R234" s="700"/>
      <c r="S234" s="15"/>
      <c r="T234" s="15"/>
      <c r="U234" s="15"/>
      <c r="V234" s="15"/>
      <c r="W234" s="15"/>
    </row>
    <row r="235" spans="1:23" s="28" customFormat="1" ht="19.5" customHeight="1">
      <c r="A235" s="85"/>
      <c r="B235" s="86"/>
      <c r="C235" s="368" t="s">
        <v>749</v>
      </c>
      <c r="D235" s="615"/>
      <c r="E235" s="615"/>
      <c r="F235" s="615">
        <v>20000</v>
      </c>
      <c r="G235" s="615"/>
      <c r="H235" s="104"/>
      <c r="I235" s="695"/>
      <c r="J235" s="674"/>
      <c r="K235" s="695"/>
      <c r="L235" s="674"/>
      <c r="M235" s="674"/>
      <c r="N235" s="700"/>
      <c r="O235" s="700"/>
      <c r="P235" s="700"/>
      <c r="Q235" s="700"/>
      <c r="R235" s="700"/>
      <c r="S235" s="15"/>
      <c r="T235" s="15"/>
      <c r="U235" s="15"/>
      <c r="V235" s="15"/>
      <c r="W235" s="15"/>
    </row>
    <row r="236" spans="1:23" s="28" customFormat="1" ht="19.5" customHeight="1">
      <c r="A236" s="85"/>
      <c r="B236" s="94"/>
      <c r="C236" s="368" t="s">
        <v>753</v>
      </c>
      <c r="D236" s="615"/>
      <c r="E236" s="615"/>
      <c r="F236" s="615"/>
      <c r="G236" s="615"/>
      <c r="H236" s="104"/>
      <c r="I236" s="695"/>
      <c r="J236" s="674"/>
      <c r="K236" s="695"/>
      <c r="L236" s="674"/>
      <c r="M236" s="674"/>
      <c r="N236" s="700"/>
      <c r="O236" s="700"/>
      <c r="P236" s="700"/>
      <c r="Q236" s="700"/>
      <c r="R236" s="700"/>
      <c r="S236" s="15"/>
      <c r="T236" s="15"/>
      <c r="U236" s="15"/>
      <c r="V236" s="15"/>
      <c r="W236" s="15"/>
    </row>
    <row r="237" spans="1:23" s="29" customFormat="1" ht="19.5" customHeight="1">
      <c r="A237" s="638" t="s">
        <v>784</v>
      </c>
      <c r="B237" s="403"/>
      <c r="C237" s="116"/>
      <c r="D237" s="391">
        <f>D238+D239</f>
        <v>12000</v>
      </c>
      <c r="E237" s="391"/>
      <c r="F237" s="391">
        <f>F238+F239</f>
        <v>152000</v>
      </c>
      <c r="G237" s="391"/>
      <c r="H237" s="102"/>
      <c r="I237" s="690"/>
      <c r="J237" s="669"/>
      <c r="K237" s="690"/>
      <c r="L237" s="669"/>
      <c r="M237" s="669"/>
      <c r="N237" s="390"/>
      <c r="O237" s="390"/>
      <c r="P237" s="390"/>
      <c r="Q237" s="390"/>
      <c r="R237" s="390"/>
      <c r="S237" s="117"/>
      <c r="T237" s="117"/>
      <c r="U237" s="117"/>
      <c r="V237" s="117"/>
      <c r="W237" s="117"/>
    </row>
    <row r="238" spans="1:23" s="28" customFormat="1" ht="19.5" customHeight="1">
      <c r="A238" s="85"/>
      <c r="B238" s="86" t="s">
        <v>785</v>
      </c>
      <c r="C238" s="368" t="s">
        <v>787</v>
      </c>
      <c r="D238" s="615"/>
      <c r="E238" s="615"/>
      <c r="F238" s="615">
        <v>140000</v>
      </c>
      <c r="G238" s="615"/>
      <c r="H238" s="104"/>
      <c r="I238" s="695"/>
      <c r="J238" s="674"/>
      <c r="K238" s="695"/>
      <c r="L238" s="674"/>
      <c r="M238" s="674"/>
      <c r="N238" s="700"/>
      <c r="O238" s="700"/>
      <c r="P238" s="700"/>
      <c r="Q238" s="700"/>
      <c r="R238" s="700"/>
      <c r="S238" s="15"/>
      <c r="T238" s="15"/>
      <c r="U238" s="15"/>
      <c r="V238" s="15"/>
      <c r="W238" s="15"/>
    </row>
    <row r="239" spans="1:23" s="28" customFormat="1" ht="19.5" customHeight="1">
      <c r="A239" s="85"/>
      <c r="B239" s="153" t="s">
        <v>786</v>
      </c>
      <c r="C239" s="368"/>
      <c r="D239" s="615">
        <f>SUM(D240:D241)</f>
        <v>12000</v>
      </c>
      <c r="E239" s="615"/>
      <c r="F239" s="615">
        <f>SUM(F240:F241)</f>
        <v>12000</v>
      </c>
      <c r="G239" s="615"/>
      <c r="H239" s="104"/>
      <c r="I239" s="695"/>
      <c r="J239" s="674"/>
      <c r="K239" s="695"/>
      <c r="L239" s="674"/>
      <c r="M239" s="674"/>
      <c r="N239" s="700"/>
      <c r="O239" s="700"/>
      <c r="P239" s="700"/>
      <c r="Q239" s="700"/>
      <c r="R239" s="700"/>
      <c r="S239" s="15"/>
      <c r="T239" s="15"/>
      <c r="U239" s="15"/>
      <c r="V239" s="15"/>
      <c r="W239" s="15"/>
    </row>
    <row r="240" spans="1:23" s="28" customFormat="1" ht="19.5" customHeight="1">
      <c r="A240" s="85"/>
      <c r="B240" s="86"/>
      <c r="C240" s="368" t="s">
        <v>165</v>
      </c>
      <c r="D240" s="615">
        <v>12000</v>
      </c>
      <c r="E240" s="615"/>
      <c r="F240" s="615"/>
      <c r="G240" s="615"/>
      <c r="H240" s="104"/>
      <c r="I240" s="695"/>
      <c r="J240" s="674"/>
      <c r="K240" s="695"/>
      <c r="L240" s="674"/>
      <c r="M240" s="674"/>
      <c r="N240" s="700"/>
      <c r="O240" s="700"/>
      <c r="P240" s="700"/>
      <c r="Q240" s="700"/>
      <c r="R240" s="700"/>
      <c r="S240" s="15"/>
      <c r="T240" s="15"/>
      <c r="U240" s="15"/>
      <c r="V240" s="15"/>
      <c r="W240" s="15"/>
    </row>
    <row r="241" spans="1:23" s="28" customFormat="1" ht="19.5" customHeight="1">
      <c r="A241" s="85"/>
      <c r="B241" s="86"/>
      <c r="C241" s="368" t="s">
        <v>284</v>
      </c>
      <c r="D241" s="615"/>
      <c r="E241" s="615"/>
      <c r="F241" s="615">
        <v>12000</v>
      </c>
      <c r="G241" s="615"/>
      <c r="H241" s="104"/>
      <c r="I241" s="695"/>
      <c r="J241" s="674"/>
      <c r="K241" s="695"/>
      <c r="L241" s="674"/>
      <c r="M241" s="674"/>
      <c r="N241" s="700"/>
      <c r="O241" s="700"/>
      <c r="P241" s="700"/>
      <c r="Q241" s="700"/>
      <c r="R241" s="700"/>
      <c r="S241" s="15"/>
      <c r="T241" s="15"/>
      <c r="U241" s="15"/>
      <c r="V241" s="15"/>
      <c r="W241" s="15"/>
    </row>
    <row r="242" spans="1:23" s="29" customFormat="1" ht="19.5" customHeight="1">
      <c r="A242" s="638" t="s">
        <v>757</v>
      </c>
      <c r="B242" s="79"/>
      <c r="C242" s="82"/>
      <c r="D242" s="391">
        <f>D243+D246</f>
        <v>478201.81</v>
      </c>
      <c r="E242" s="391"/>
      <c r="F242" s="391">
        <f>F243+F246</f>
        <v>600</v>
      </c>
      <c r="G242" s="391"/>
      <c r="H242" s="102"/>
      <c r="I242" s="695"/>
      <c r="J242" s="674"/>
      <c r="K242" s="690"/>
      <c r="L242" s="669"/>
      <c r="M242" s="669"/>
      <c r="N242" s="390"/>
      <c r="O242" s="390"/>
      <c r="P242" s="390"/>
      <c r="Q242" s="390"/>
      <c r="R242" s="390"/>
      <c r="S242" s="117"/>
      <c r="T242" s="117"/>
      <c r="U242" s="117"/>
      <c r="V242" s="117"/>
      <c r="W242" s="117"/>
    </row>
    <row r="243" spans="1:23" s="28" customFormat="1" ht="19.5" customHeight="1">
      <c r="A243" s="85"/>
      <c r="B243" s="86" t="s">
        <v>488</v>
      </c>
      <c r="C243" s="456"/>
      <c r="D243" s="615">
        <f>SUM(D244:D245)</f>
        <v>143000</v>
      </c>
      <c r="E243" s="615"/>
      <c r="F243" s="615"/>
      <c r="G243" s="615"/>
      <c r="H243" s="104"/>
      <c r="I243" s="695"/>
      <c r="J243" s="674"/>
      <c r="K243" s="695"/>
      <c r="L243" s="674"/>
      <c r="M243" s="674"/>
      <c r="N243" s="700"/>
      <c r="O243" s="700"/>
      <c r="P243" s="700"/>
      <c r="Q243" s="700"/>
      <c r="R243" s="700"/>
      <c r="S243" s="15"/>
      <c r="T243" s="15"/>
      <c r="U243" s="15"/>
      <c r="V243" s="15"/>
      <c r="W243" s="15"/>
    </row>
    <row r="244" spans="1:23" s="28" customFormat="1" ht="19.5" customHeight="1">
      <c r="A244" s="85"/>
      <c r="B244" s="351"/>
      <c r="C244" s="456" t="s">
        <v>596</v>
      </c>
      <c r="D244" s="615">
        <v>83000</v>
      </c>
      <c r="E244" s="615"/>
      <c r="F244" s="615"/>
      <c r="G244" s="615"/>
      <c r="H244" s="104"/>
      <c r="I244" s="695"/>
      <c r="J244" s="674"/>
      <c r="K244" s="695"/>
      <c r="L244" s="674"/>
      <c r="M244" s="674"/>
      <c r="N244" s="700"/>
      <c r="O244" s="700"/>
      <c r="P244" s="700"/>
      <c r="Q244" s="700"/>
      <c r="R244" s="700"/>
      <c r="S244" s="15"/>
      <c r="T244" s="15"/>
      <c r="U244" s="15"/>
      <c r="V244" s="15"/>
      <c r="W244" s="15"/>
    </row>
    <row r="245" spans="1:23" s="28" customFormat="1" ht="19.5" customHeight="1">
      <c r="A245" s="85"/>
      <c r="B245" s="94"/>
      <c r="C245" s="456" t="s">
        <v>610</v>
      </c>
      <c r="D245" s="615">
        <v>60000</v>
      </c>
      <c r="E245" s="615"/>
      <c r="F245" s="615"/>
      <c r="G245" s="615"/>
      <c r="H245" s="104"/>
      <c r="I245" s="695"/>
      <c r="J245" s="674"/>
      <c r="K245" s="695"/>
      <c r="L245" s="674"/>
      <c r="M245" s="674"/>
      <c r="N245" s="700"/>
      <c r="O245" s="700"/>
      <c r="P245" s="700"/>
      <c r="Q245" s="700"/>
      <c r="R245" s="700"/>
      <c r="S245" s="15"/>
      <c r="T245" s="15"/>
      <c r="U245" s="15"/>
      <c r="V245" s="15"/>
      <c r="W245" s="15"/>
    </row>
    <row r="246" spans="1:23" s="28" customFormat="1" ht="19.5" customHeight="1">
      <c r="A246" s="85"/>
      <c r="B246" s="94" t="s">
        <v>758</v>
      </c>
      <c r="C246" s="456"/>
      <c r="D246" s="615">
        <f>SUM(D247:D265)</f>
        <v>335201.81</v>
      </c>
      <c r="E246" s="615"/>
      <c r="F246" s="615">
        <f>SUM(F247:F265)</f>
        <v>600</v>
      </c>
      <c r="G246" s="615"/>
      <c r="H246" s="104"/>
      <c r="I246" s="695"/>
      <c r="J246" s="674"/>
      <c r="K246" s="695"/>
      <c r="L246" s="674"/>
      <c r="M246" s="674"/>
      <c r="N246" s="700"/>
      <c r="O246" s="700"/>
      <c r="P246" s="700"/>
      <c r="Q246" s="700"/>
      <c r="R246" s="700"/>
      <c r="S246" s="15"/>
      <c r="T246" s="15"/>
      <c r="U246" s="15"/>
      <c r="V246" s="15"/>
      <c r="W246" s="15"/>
    </row>
    <row r="247" spans="1:23" s="28" customFormat="1" ht="19.5" customHeight="1">
      <c r="A247" s="85"/>
      <c r="B247" s="86"/>
      <c r="C247" s="83" t="s">
        <v>187</v>
      </c>
      <c r="D247" s="615">
        <f>82470.08+52585.69</f>
        <v>135055.77000000002</v>
      </c>
      <c r="E247" s="615"/>
      <c r="F247" s="615"/>
      <c r="G247" s="615"/>
      <c r="H247" s="104"/>
      <c r="I247" s="695"/>
      <c r="J247" s="674"/>
      <c r="K247" s="695"/>
      <c r="L247" s="674"/>
      <c r="M247" s="674"/>
      <c r="N247" s="700"/>
      <c r="O247" s="700"/>
      <c r="P247" s="700"/>
      <c r="Q247" s="700"/>
      <c r="R247" s="700"/>
      <c r="S247" s="15"/>
      <c r="T247" s="15"/>
      <c r="U247" s="15"/>
      <c r="V247" s="15"/>
      <c r="W247" s="15"/>
    </row>
    <row r="248" spans="1:23" s="28" customFormat="1" ht="19.5" customHeight="1">
      <c r="A248" s="85"/>
      <c r="B248" s="86"/>
      <c r="C248" s="83" t="s">
        <v>188</v>
      </c>
      <c r="D248" s="615">
        <f>14553.23+9279.83</f>
        <v>23833.059999999998</v>
      </c>
      <c r="E248" s="615"/>
      <c r="F248" s="615"/>
      <c r="G248" s="615"/>
      <c r="H248" s="104"/>
      <c r="I248" s="695"/>
      <c r="J248" s="674"/>
      <c r="K248" s="695"/>
      <c r="L248" s="674"/>
      <c r="M248" s="674"/>
      <c r="N248" s="700"/>
      <c r="O248" s="700"/>
      <c r="P248" s="700"/>
      <c r="Q248" s="700"/>
      <c r="R248" s="700"/>
      <c r="S248" s="15"/>
      <c r="T248" s="15"/>
      <c r="U248" s="15"/>
      <c r="V248" s="15"/>
      <c r="W248" s="15"/>
    </row>
    <row r="249" spans="1:23" s="28" customFormat="1" ht="19.5" customHeight="1">
      <c r="A249" s="85"/>
      <c r="B249" s="86"/>
      <c r="C249" s="83" t="s">
        <v>759</v>
      </c>
      <c r="D249" s="615">
        <f>1275+25216.42+2416.22</f>
        <v>28907.64</v>
      </c>
      <c r="E249" s="615"/>
      <c r="F249" s="615"/>
      <c r="G249" s="615"/>
      <c r="H249" s="104"/>
      <c r="I249" s="695"/>
      <c r="J249" s="695"/>
      <c r="K249" s="695"/>
      <c r="L249" s="674"/>
      <c r="M249" s="674"/>
      <c r="N249" s="700"/>
      <c r="O249" s="700"/>
      <c r="P249" s="700"/>
      <c r="Q249" s="700"/>
      <c r="R249" s="700"/>
      <c r="S249" s="15"/>
      <c r="T249" s="15"/>
      <c r="U249" s="15"/>
      <c r="V249" s="15"/>
      <c r="W249" s="15"/>
    </row>
    <row r="250" spans="1:23" s="28" customFormat="1" ht="19.5" customHeight="1">
      <c r="A250" s="85"/>
      <c r="B250" s="86"/>
      <c r="C250" s="83" t="s">
        <v>760</v>
      </c>
      <c r="D250" s="615">
        <f>4449.96+225+1655.32+426.4</f>
        <v>6756.679999999999</v>
      </c>
      <c r="E250" s="615"/>
      <c r="F250" s="615"/>
      <c r="G250" s="615"/>
      <c r="H250" s="104"/>
      <c r="I250" s="695"/>
      <c r="J250" s="674"/>
      <c r="K250" s="695"/>
      <c r="L250" s="674"/>
      <c r="M250" s="674"/>
      <c r="N250" s="700"/>
      <c r="O250" s="700"/>
      <c r="P250" s="700"/>
      <c r="Q250" s="700"/>
      <c r="R250" s="700"/>
      <c r="S250" s="15"/>
      <c r="T250" s="15"/>
      <c r="U250" s="15"/>
      <c r="V250" s="15"/>
      <c r="W250" s="15"/>
    </row>
    <row r="251" spans="1:23" s="28" customFormat="1" ht="19.5" customHeight="1">
      <c r="A251" s="85"/>
      <c r="B251" s="86"/>
      <c r="C251" s="83" t="s">
        <v>770</v>
      </c>
      <c r="D251" s="615">
        <f>602.74+12240.15</f>
        <v>12842.89</v>
      </c>
      <c r="E251" s="615"/>
      <c r="F251" s="615"/>
      <c r="G251" s="615"/>
      <c r="H251" s="104"/>
      <c r="I251" s="695"/>
      <c r="J251" s="674"/>
      <c r="K251" s="695"/>
      <c r="L251" s="674"/>
      <c r="M251" s="674"/>
      <c r="N251" s="700"/>
      <c r="O251" s="700"/>
      <c r="P251" s="700"/>
      <c r="Q251" s="700"/>
      <c r="R251" s="700"/>
      <c r="S251" s="15"/>
      <c r="T251" s="15"/>
      <c r="U251" s="15"/>
      <c r="V251" s="15"/>
      <c r="W251" s="15"/>
    </row>
    <row r="252" spans="1:23" s="28" customFormat="1" ht="19.5" customHeight="1">
      <c r="A252" s="85"/>
      <c r="B252" s="86"/>
      <c r="C252" s="83" t="s">
        <v>773</v>
      </c>
      <c r="D252" s="615">
        <f>106.37+2160.03</f>
        <v>2266.4</v>
      </c>
      <c r="E252" s="615"/>
      <c r="F252" s="615"/>
      <c r="G252" s="615"/>
      <c r="H252" s="104"/>
      <c r="I252" s="695"/>
      <c r="J252" s="674"/>
      <c r="K252" s="695"/>
      <c r="L252" s="674"/>
      <c r="M252" s="674"/>
      <c r="N252" s="700"/>
      <c r="O252" s="700"/>
      <c r="P252" s="700"/>
      <c r="Q252" s="700"/>
      <c r="R252" s="700"/>
      <c r="S252" s="15"/>
      <c r="T252" s="15"/>
      <c r="U252" s="15"/>
      <c r="V252" s="15"/>
      <c r="W252" s="15"/>
    </row>
    <row r="253" spans="1:23" s="28" customFormat="1" ht="19.5" customHeight="1">
      <c r="A253" s="85"/>
      <c r="B253" s="86"/>
      <c r="C253" s="83" t="s">
        <v>774</v>
      </c>
      <c r="D253" s="615">
        <f>613.9+59.2</f>
        <v>673.1</v>
      </c>
      <c r="E253" s="615"/>
      <c r="F253" s="615"/>
      <c r="G253" s="615"/>
      <c r="H253" s="104"/>
      <c r="I253" s="695"/>
      <c r="J253" s="674"/>
      <c r="K253" s="695"/>
      <c r="L253" s="674"/>
      <c r="M253" s="674"/>
      <c r="N253" s="700"/>
      <c r="O253" s="700"/>
      <c r="P253" s="700"/>
      <c r="Q253" s="700"/>
      <c r="R253" s="700"/>
      <c r="S253" s="15"/>
      <c r="T253" s="15"/>
      <c r="U253" s="15"/>
      <c r="V253" s="15"/>
      <c r="W253" s="15"/>
    </row>
    <row r="254" spans="1:23" s="28" customFormat="1" ht="19.5" customHeight="1">
      <c r="A254" s="85"/>
      <c r="B254" s="86"/>
      <c r="C254" s="83" t="s">
        <v>775</v>
      </c>
      <c r="D254" s="615">
        <f>108.33+10.44</f>
        <v>118.77</v>
      </c>
      <c r="E254" s="615"/>
      <c r="F254" s="615"/>
      <c r="G254" s="615"/>
      <c r="H254" s="104"/>
      <c r="I254" s="695"/>
      <c r="J254" s="674"/>
      <c r="K254" s="695"/>
      <c r="L254" s="674"/>
      <c r="M254" s="674"/>
      <c r="N254" s="700"/>
      <c r="O254" s="700"/>
      <c r="P254" s="700"/>
      <c r="Q254" s="700"/>
      <c r="R254" s="700"/>
      <c r="S254" s="15"/>
      <c r="T254" s="15"/>
      <c r="U254" s="15"/>
      <c r="V254" s="15"/>
      <c r="W254" s="15"/>
    </row>
    <row r="255" spans="1:23" s="28" customFormat="1" ht="19.5" customHeight="1">
      <c r="A255" s="85"/>
      <c r="B255" s="86"/>
      <c r="C255" s="83" t="s">
        <v>776</v>
      </c>
      <c r="D255" s="615">
        <f>3493.5+3710.25</f>
        <v>7203.75</v>
      </c>
      <c r="E255" s="615"/>
      <c r="F255" s="615"/>
      <c r="G255" s="615"/>
      <c r="H255" s="104"/>
      <c r="I255" s="695"/>
      <c r="J255" s="674"/>
      <c r="K255" s="695"/>
      <c r="L255" s="674"/>
      <c r="M255" s="674"/>
      <c r="N255" s="700"/>
      <c r="O255" s="700"/>
      <c r="P255" s="700"/>
      <c r="Q255" s="700"/>
      <c r="R255" s="700"/>
      <c r="S255" s="15"/>
      <c r="T255" s="15"/>
      <c r="U255" s="15"/>
      <c r="V255" s="15"/>
      <c r="W255" s="15"/>
    </row>
    <row r="256" spans="1:23" s="28" customFormat="1" ht="19.5" customHeight="1">
      <c r="A256" s="85"/>
      <c r="B256" s="86"/>
      <c r="C256" s="83" t="s">
        <v>777</v>
      </c>
      <c r="D256" s="615">
        <f>616.5+1254.75</f>
        <v>1871.25</v>
      </c>
      <c r="E256" s="615"/>
      <c r="F256" s="615"/>
      <c r="G256" s="615"/>
      <c r="H256" s="104"/>
      <c r="I256" s="695"/>
      <c r="J256" s="674"/>
      <c r="K256" s="695"/>
      <c r="L256" s="674"/>
      <c r="M256" s="674"/>
      <c r="N256" s="700"/>
      <c r="O256" s="700"/>
      <c r="P256" s="700"/>
      <c r="Q256" s="700"/>
      <c r="R256" s="700"/>
      <c r="S256" s="15"/>
      <c r="T256" s="15"/>
      <c r="U256" s="15"/>
      <c r="V256" s="15"/>
      <c r="W256" s="15"/>
    </row>
    <row r="257" spans="1:23" s="28" customFormat="1" ht="19.5" customHeight="1">
      <c r="A257" s="85"/>
      <c r="B257" s="86"/>
      <c r="C257" s="83" t="s">
        <v>763</v>
      </c>
      <c r="D257" s="615">
        <v>842.71</v>
      </c>
      <c r="E257" s="615"/>
      <c r="F257" s="615">
        <v>600</v>
      </c>
      <c r="G257" s="615"/>
      <c r="H257" s="104"/>
      <c r="I257" s="695"/>
      <c r="J257" s="674"/>
      <c r="K257" s="695"/>
      <c r="L257" s="674"/>
      <c r="M257" s="674"/>
      <c r="N257" s="700"/>
      <c r="O257" s="700"/>
      <c r="P257" s="700"/>
      <c r="Q257" s="700"/>
      <c r="R257" s="700"/>
      <c r="S257" s="15"/>
      <c r="T257" s="15"/>
      <c r="U257" s="15"/>
      <c r="V257" s="15"/>
      <c r="W257" s="15"/>
    </row>
    <row r="258" spans="1:23" s="28" customFormat="1" ht="19.5" customHeight="1">
      <c r="A258" s="85"/>
      <c r="B258" s="86"/>
      <c r="C258" s="83" t="s">
        <v>778</v>
      </c>
      <c r="D258" s="615">
        <v>157.29</v>
      </c>
      <c r="E258" s="615"/>
      <c r="F258" s="615"/>
      <c r="G258" s="615"/>
      <c r="H258" s="104"/>
      <c r="I258" s="695"/>
      <c r="J258" s="674"/>
      <c r="K258" s="695"/>
      <c r="L258" s="674"/>
      <c r="M258" s="674"/>
      <c r="N258" s="700"/>
      <c r="O258" s="700"/>
      <c r="P258" s="700"/>
      <c r="Q258" s="700"/>
      <c r="R258" s="700"/>
      <c r="S258" s="15"/>
      <c r="T258" s="15"/>
      <c r="U258" s="15"/>
      <c r="V258" s="15"/>
      <c r="W258" s="15"/>
    </row>
    <row r="259" spans="1:23" s="28" customFormat="1" ht="19.5" customHeight="1">
      <c r="A259" s="85"/>
      <c r="B259" s="86"/>
      <c r="C259" s="83" t="s">
        <v>189</v>
      </c>
      <c r="D259" s="615">
        <f>680.85+42.84</f>
        <v>723.69</v>
      </c>
      <c r="E259" s="615"/>
      <c r="F259" s="615"/>
      <c r="G259" s="615"/>
      <c r="H259" s="104"/>
      <c r="I259" s="695"/>
      <c r="J259" s="674"/>
      <c r="K259" s="695"/>
      <c r="L259" s="674"/>
      <c r="M259" s="674"/>
      <c r="N259" s="700"/>
      <c r="O259" s="700"/>
      <c r="P259" s="700"/>
      <c r="Q259" s="700"/>
      <c r="R259" s="700"/>
      <c r="S259" s="15"/>
      <c r="T259" s="15"/>
      <c r="U259" s="15"/>
      <c r="V259" s="15"/>
      <c r="W259" s="15"/>
    </row>
    <row r="260" spans="1:23" s="28" customFormat="1" ht="19.5" customHeight="1">
      <c r="A260" s="85"/>
      <c r="B260" s="86"/>
      <c r="C260" s="83" t="s">
        <v>190</v>
      </c>
      <c r="D260" s="615">
        <f>120.15+7.56</f>
        <v>127.71000000000001</v>
      </c>
      <c r="E260" s="615"/>
      <c r="F260" s="615"/>
      <c r="G260" s="615"/>
      <c r="H260" s="104"/>
      <c r="I260" s="695"/>
      <c r="J260" s="674"/>
      <c r="K260" s="695"/>
      <c r="L260" s="674"/>
      <c r="M260" s="674"/>
      <c r="N260" s="700"/>
      <c r="O260" s="700"/>
      <c r="P260" s="700"/>
      <c r="Q260" s="700"/>
      <c r="R260" s="700"/>
      <c r="S260" s="15"/>
      <c r="T260" s="15"/>
      <c r="U260" s="15"/>
      <c r="V260" s="15"/>
      <c r="W260" s="15"/>
    </row>
    <row r="261" spans="1:23" s="28" customFormat="1" ht="19.5" customHeight="1">
      <c r="A261" s="85"/>
      <c r="B261" s="86"/>
      <c r="C261" s="83" t="s">
        <v>761</v>
      </c>
      <c r="D261" s="615">
        <f>57032.77+11900+28332.64+2274.83</f>
        <v>99540.23999999999</v>
      </c>
      <c r="E261" s="615"/>
      <c r="F261" s="615"/>
      <c r="G261" s="615"/>
      <c r="H261" s="104"/>
      <c r="I261" s="695"/>
      <c r="J261" s="674"/>
      <c r="K261" s="695"/>
      <c r="L261" s="674"/>
      <c r="M261" s="674"/>
      <c r="N261" s="700"/>
      <c r="O261" s="700"/>
      <c r="P261" s="700"/>
      <c r="Q261" s="700"/>
      <c r="R261" s="700"/>
      <c r="S261" s="15"/>
      <c r="T261" s="15"/>
      <c r="U261" s="15"/>
      <c r="V261" s="15"/>
      <c r="W261" s="15"/>
    </row>
    <row r="262" spans="1:23" s="28" customFormat="1" ht="19.5" customHeight="1">
      <c r="A262" s="85"/>
      <c r="B262" s="86"/>
      <c r="C262" s="83" t="s">
        <v>762</v>
      </c>
      <c r="D262" s="615">
        <f>10064.61+2100+401.45</f>
        <v>12566.060000000001</v>
      </c>
      <c r="E262" s="615"/>
      <c r="F262" s="615"/>
      <c r="G262" s="615"/>
      <c r="H262" s="104"/>
      <c r="I262" s="695"/>
      <c r="J262" s="674"/>
      <c r="K262" s="695"/>
      <c r="L262" s="674"/>
      <c r="M262" s="674"/>
      <c r="N262" s="700"/>
      <c r="O262" s="700"/>
      <c r="P262" s="700"/>
      <c r="Q262" s="700"/>
      <c r="R262" s="700"/>
      <c r="S262" s="15"/>
      <c r="T262" s="15"/>
      <c r="U262" s="15"/>
      <c r="V262" s="15"/>
      <c r="W262" s="15"/>
    </row>
    <row r="263" spans="1:23" s="28" customFormat="1" ht="19.5" customHeight="1">
      <c r="A263" s="85"/>
      <c r="B263" s="86"/>
      <c r="C263" s="83" t="s">
        <v>191</v>
      </c>
      <c r="D263" s="615">
        <f>149.43+33.15</f>
        <v>182.58</v>
      </c>
      <c r="E263" s="615"/>
      <c r="F263" s="615"/>
      <c r="G263" s="615"/>
      <c r="H263" s="104"/>
      <c r="I263" s="695"/>
      <c r="J263" s="674"/>
      <c r="K263" s="695"/>
      <c r="L263" s="674"/>
      <c r="M263" s="674"/>
      <c r="N263" s="700"/>
      <c r="O263" s="700"/>
      <c r="P263" s="700"/>
      <c r="Q263" s="700"/>
      <c r="R263" s="700"/>
      <c r="S263" s="15"/>
      <c r="T263" s="15"/>
      <c r="U263" s="15"/>
      <c r="V263" s="15"/>
      <c r="W263" s="15"/>
    </row>
    <row r="264" spans="1:23" s="28" customFormat="1" ht="19.5" customHeight="1">
      <c r="A264" s="85"/>
      <c r="B264" s="86"/>
      <c r="C264" s="83" t="s">
        <v>192</v>
      </c>
      <c r="D264" s="615">
        <f>26.37+5.85</f>
        <v>32.22</v>
      </c>
      <c r="E264" s="615"/>
      <c r="F264" s="615"/>
      <c r="G264" s="615"/>
      <c r="H264" s="104"/>
      <c r="I264" s="695"/>
      <c r="J264" s="674"/>
      <c r="K264" s="695"/>
      <c r="L264" s="674"/>
      <c r="M264" s="674"/>
      <c r="N264" s="700"/>
      <c r="O264" s="700"/>
      <c r="P264" s="700"/>
      <c r="Q264" s="700"/>
      <c r="R264" s="700"/>
      <c r="S264" s="15"/>
      <c r="T264" s="15"/>
      <c r="U264" s="15"/>
      <c r="V264" s="15"/>
      <c r="W264" s="15"/>
    </row>
    <row r="265" spans="1:23" s="28" customFormat="1" ht="19.5" customHeight="1">
      <c r="A265" s="85"/>
      <c r="B265" s="86"/>
      <c r="C265" s="83" t="s">
        <v>765</v>
      </c>
      <c r="D265" s="615">
        <v>1500</v>
      </c>
      <c r="E265" s="615"/>
      <c r="F265" s="615"/>
      <c r="G265" s="615"/>
      <c r="H265" s="104"/>
      <c r="I265" s="695"/>
      <c r="J265" s="674"/>
      <c r="K265" s="695"/>
      <c r="L265" s="674"/>
      <c r="M265" s="674"/>
      <c r="N265" s="700"/>
      <c r="O265" s="700"/>
      <c r="P265" s="700"/>
      <c r="Q265" s="700"/>
      <c r="R265" s="700"/>
      <c r="S265" s="15"/>
      <c r="T265" s="15"/>
      <c r="U265" s="15"/>
      <c r="V265" s="15"/>
      <c r="W265" s="15"/>
    </row>
    <row r="266" spans="1:23" s="29" customFormat="1" ht="19.5" customHeight="1">
      <c r="A266" s="638" t="s">
        <v>10</v>
      </c>
      <c r="B266" s="79"/>
      <c r="C266" s="82"/>
      <c r="D266" s="391">
        <f>D267+D274</f>
        <v>595</v>
      </c>
      <c r="E266" s="391"/>
      <c r="F266" s="391">
        <f>F267+F274</f>
        <v>2488</v>
      </c>
      <c r="G266" s="391"/>
      <c r="H266" s="102"/>
      <c r="I266" s="690"/>
      <c r="J266" s="669"/>
      <c r="K266" s="690"/>
      <c r="L266" s="669"/>
      <c r="M266" s="669"/>
      <c r="N266" s="390"/>
      <c r="O266" s="390"/>
      <c r="P266" s="390"/>
      <c r="Q266" s="390"/>
      <c r="R266" s="390"/>
      <c r="S266" s="117"/>
      <c r="T266" s="117"/>
      <c r="U266" s="117"/>
      <c r="V266" s="117"/>
      <c r="W266" s="117"/>
    </row>
    <row r="267" spans="1:23" s="28" customFormat="1" ht="19.5" customHeight="1">
      <c r="A267" s="85"/>
      <c r="B267" s="153" t="s">
        <v>748</v>
      </c>
      <c r="C267" s="456"/>
      <c r="D267" s="615">
        <f>SUM(D268:D273)</f>
        <v>470</v>
      </c>
      <c r="E267" s="615"/>
      <c r="F267" s="615">
        <f>SUM(F268:F273)</f>
        <v>2488</v>
      </c>
      <c r="G267" s="615"/>
      <c r="H267" s="104"/>
      <c r="I267" s="695"/>
      <c r="J267" s="674"/>
      <c r="K267" s="695"/>
      <c r="L267" s="674"/>
      <c r="M267" s="674"/>
      <c r="N267" s="700"/>
      <c r="O267" s="700"/>
      <c r="P267" s="700"/>
      <c r="Q267" s="700"/>
      <c r="R267" s="700"/>
      <c r="S267" s="15"/>
      <c r="T267" s="15"/>
      <c r="U267" s="15"/>
      <c r="V267" s="15"/>
      <c r="W267" s="15"/>
    </row>
    <row r="268" spans="1:23" s="28" customFormat="1" ht="19.5" customHeight="1">
      <c r="A268" s="85"/>
      <c r="B268" s="86"/>
      <c r="C268" s="456" t="s">
        <v>165</v>
      </c>
      <c r="D268" s="615"/>
      <c r="E268" s="615"/>
      <c r="F268" s="615">
        <f>340+3700+200-3892</f>
        <v>348</v>
      </c>
      <c r="G268" s="615"/>
      <c r="H268" s="104"/>
      <c r="I268" s="695"/>
      <c r="J268" s="674"/>
      <c r="K268" s="695"/>
      <c r="L268" s="674"/>
      <c r="M268" s="674"/>
      <c r="N268" s="700"/>
      <c r="O268" s="700"/>
      <c r="P268" s="700"/>
      <c r="Q268" s="700"/>
      <c r="R268" s="700"/>
      <c r="S268" s="15"/>
      <c r="T268" s="15"/>
      <c r="U268" s="15"/>
      <c r="V268" s="15"/>
      <c r="W268" s="15"/>
    </row>
    <row r="269" spans="1:23" s="28" customFormat="1" ht="19.5" customHeight="1">
      <c r="A269" s="85"/>
      <c r="B269" s="86"/>
      <c r="C269" s="456" t="s">
        <v>749</v>
      </c>
      <c r="D269" s="615"/>
      <c r="E269" s="615"/>
      <c r="F269" s="615">
        <f>154+200+700-1028</f>
        <v>26</v>
      </c>
      <c r="G269" s="615"/>
      <c r="H269" s="104"/>
      <c r="I269" s="695"/>
      <c r="J269" s="674"/>
      <c r="K269" s="695"/>
      <c r="L269" s="674"/>
      <c r="M269" s="674"/>
      <c r="N269" s="700"/>
      <c r="O269" s="700"/>
      <c r="P269" s="700"/>
      <c r="Q269" s="700"/>
      <c r="R269" s="700"/>
      <c r="S269" s="15"/>
      <c r="T269" s="15"/>
      <c r="U269" s="15"/>
      <c r="V269" s="15"/>
      <c r="W269" s="15"/>
    </row>
    <row r="270" spans="1:23" s="28" customFormat="1" ht="19.5" customHeight="1">
      <c r="A270" s="85"/>
      <c r="B270" s="86"/>
      <c r="C270" s="456" t="s">
        <v>751</v>
      </c>
      <c r="D270" s="615"/>
      <c r="E270" s="615"/>
      <c r="F270" s="615">
        <v>560</v>
      </c>
      <c r="G270" s="615"/>
      <c r="H270" s="104"/>
      <c r="I270" s="695"/>
      <c r="J270" s="674"/>
      <c r="K270" s="695"/>
      <c r="L270" s="674"/>
      <c r="M270" s="674"/>
      <c r="N270" s="700"/>
      <c r="O270" s="700"/>
      <c r="P270" s="700"/>
      <c r="Q270" s="700"/>
      <c r="R270" s="700"/>
      <c r="S270" s="15"/>
      <c r="T270" s="15"/>
      <c r="U270" s="15"/>
      <c r="V270" s="15"/>
      <c r="W270" s="15"/>
    </row>
    <row r="271" spans="1:23" s="28" customFormat="1" ht="19.5" customHeight="1">
      <c r="A271" s="85"/>
      <c r="B271" s="86"/>
      <c r="C271" s="456" t="s">
        <v>152</v>
      </c>
      <c r="D271" s="615">
        <v>150</v>
      </c>
      <c r="E271" s="615"/>
      <c r="F271" s="615"/>
      <c r="G271" s="615"/>
      <c r="H271" s="104"/>
      <c r="I271" s="695"/>
      <c r="J271" s="674"/>
      <c r="K271" s="695"/>
      <c r="L271" s="674"/>
      <c r="M271" s="674"/>
      <c r="N271" s="700"/>
      <c r="O271" s="700"/>
      <c r="P271" s="700"/>
      <c r="Q271" s="700"/>
      <c r="R271" s="700"/>
      <c r="S271" s="15"/>
      <c r="T271" s="15"/>
      <c r="U271" s="15"/>
      <c r="V271" s="15"/>
      <c r="W271" s="15"/>
    </row>
    <row r="272" spans="1:23" s="28" customFormat="1" ht="19.5" customHeight="1">
      <c r="A272" s="85"/>
      <c r="B272" s="86"/>
      <c r="C272" s="456" t="s">
        <v>755</v>
      </c>
      <c r="D272" s="615">
        <v>320</v>
      </c>
      <c r="E272" s="615"/>
      <c r="F272" s="615"/>
      <c r="G272" s="615"/>
      <c r="H272" s="104"/>
      <c r="I272" s="695"/>
      <c r="J272" s="674"/>
      <c r="K272" s="695"/>
      <c r="L272" s="674"/>
      <c r="M272" s="674"/>
      <c r="N272" s="700"/>
      <c r="O272" s="700"/>
      <c r="P272" s="700"/>
      <c r="Q272" s="700"/>
      <c r="R272" s="700"/>
      <c r="S272" s="15"/>
      <c r="T272" s="15"/>
      <c r="U272" s="15"/>
      <c r="V272" s="15"/>
      <c r="W272" s="15"/>
    </row>
    <row r="273" spans="1:23" s="28" customFormat="1" ht="19.5" customHeight="1">
      <c r="A273" s="85"/>
      <c r="B273" s="86"/>
      <c r="C273" s="456" t="s">
        <v>750</v>
      </c>
      <c r="D273" s="615"/>
      <c r="E273" s="615"/>
      <c r="F273" s="615">
        <f>1540+360-346</f>
        <v>1554</v>
      </c>
      <c r="G273" s="615"/>
      <c r="H273" s="104"/>
      <c r="I273" s="695"/>
      <c r="J273" s="674"/>
      <c r="K273" s="695"/>
      <c r="L273" s="674"/>
      <c r="M273" s="674"/>
      <c r="N273" s="700"/>
      <c r="O273" s="700"/>
      <c r="P273" s="700"/>
      <c r="Q273" s="700"/>
      <c r="R273" s="700"/>
      <c r="S273" s="15"/>
      <c r="T273" s="15"/>
      <c r="U273" s="15"/>
      <c r="V273" s="15"/>
      <c r="W273" s="15"/>
    </row>
    <row r="274" spans="1:23" s="28" customFormat="1" ht="19.5" customHeight="1">
      <c r="A274" s="85"/>
      <c r="B274" s="153" t="s">
        <v>581</v>
      </c>
      <c r="C274" s="456" t="s">
        <v>582</v>
      </c>
      <c r="D274" s="615">
        <v>125</v>
      </c>
      <c r="E274" s="615"/>
      <c r="F274" s="615"/>
      <c r="G274" s="615"/>
      <c r="H274" s="104"/>
      <c r="I274" s="695"/>
      <c r="J274" s="674"/>
      <c r="K274" s="695"/>
      <c r="L274" s="674"/>
      <c r="M274" s="674"/>
      <c r="N274" s="700"/>
      <c r="O274" s="700"/>
      <c r="P274" s="700"/>
      <c r="Q274" s="700"/>
      <c r="R274" s="700"/>
      <c r="S274" s="15"/>
      <c r="T274" s="15"/>
      <c r="U274" s="15"/>
      <c r="V274" s="15"/>
      <c r="W274" s="15"/>
    </row>
    <row r="275" spans="1:23" s="3" customFormat="1" ht="21.75" customHeight="1">
      <c r="A275" s="619" t="s">
        <v>718</v>
      </c>
      <c r="B275" s="118"/>
      <c r="C275" s="119"/>
      <c r="D275" s="31">
        <f>D171+D172+D173+D174+D233+D237+D242+D266</f>
        <v>639490.81</v>
      </c>
      <c r="E275" s="31">
        <f>E171+E172+E173+E174+E233+E237+E242+E266</f>
        <v>0</v>
      </c>
      <c r="F275" s="31">
        <f>F171+F172+F173+F174+F233+F237+F242+F266</f>
        <v>963165.17</v>
      </c>
      <c r="G275" s="31">
        <f>G171+G172+G173+G174+G233+G237+G242+G266</f>
        <v>0</v>
      </c>
      <c r="H275" s="20"/>
      <c r="I275" s="701"/>
      <c r="J275" s="702"/>
      <c r="K275" s="626"/>
      <c r="L275" s="702"/>
      <c r="M275" s="702"/>
      <c r="N275" s="27"/>
      <c r="O275" s="27"/>
      <c r="P275" s="27"/>
      <c r="Q275" s="27"/>
      <c r="R275" s="27"/>
      <c r="S275" s="25"/>
      <c r="T275" s="25"/>
      <c r="U275" s="25"/>
      <c r="V275" s="25"/>
      <c r="W275" s="25"/>
    </row>
    <row r="276" spans="1:23" s="3" customFormat="1" ht="21.75" customHeight="1">
      <c r="A276" s="120"/>
      <c r="B276" s="121"/>
      <c r="C276" s="122"/>
      <c r="D276" s="27"/>
      <c r="E276" s="27"/>
      <c r="F276" s="27"/>
      <c r="G276" s="27"/>
      <c r="H276" s="20"/>
      <c r="I276" s="701"/>
      <c r="J276" s="702"/>
      <c r="K276" s="626"/>
      <c r="L276" s="702"/>
      <c r="M276" s="702"/>
      <c r="N276" s="27"/>
      <c r="O276" s="27"/>
      <c r="P276" s="27"/>
      <c r="Q276" s="27"/>
      <c r="R276" s="27"/>
      <c r="S276" s="25"/>
      <c r="T276" s="25"/>
      <c r="U276" s="25"/>
      <c r="V276" s="25"/>
      <c r="W276" s="25"/>
    </row>
    <row r="277" spans="1:23" s="3" customFormat="1" ht="17.25" customHeight="1">
      <c r="A277" s="120"/>
      <c r="B277" s="121"/>
      <c r="C277" s="122"/>
      <c r="D277" s="27"/>
      <c r="E277" s="27"/>
      <c r="F277" s="27"/>
      <c r="G277" s="27"/>
      <c r="H277" s="20"/>
      <c r="I277" s="701"/>
      <c r="J277" s="702"/>
      <c r="K277" s="626"/>
      <c r="L277" s="702"/>
      <c r="M277" s="702"/>
      <c r="N277" s="27"/>
      <c r="O277" s="27"/>
      <c r="P277" s="27"/>
      <c r="Q277" s="27"/>
      <c r="R277" s="27"/>
      <c r="S277" s="25"/>
      <c r="T277" s="25"/>
      <c r="U277" s="25"/>
      <c r="V277" s="25"/>
      <c r="W277" s="25"/>
    </row>
    <row r="278" spans="1:23" s="3" customFormat="1" ht="17.25" customHeight="1">
      <c r="A278" s="120"/>
      <c r="B278" s="121"/>
      <c r="C278" s="122"/>
      <c r="D278" s="27"/>
      <c r="E278" s="27"/>
      <c r="F278" s="27"/>
      <c r="G278" s="27"/>
      <c r="H278" s="20"/>
      <c r="I278" s="701"/>
      <c r="J278" s="702"/>
      <c r="K278" s="626"/>
      <c r="L278" s="702"/>
      <c r="M278" s="702"/>
      <c r="N278" s="27"/>
      <c r="O278" s="27"/>
      <c r="P278" s="27"/>
      <c r="Q278" s="27"/>
      <c r="R278" s="27"/>
      <c r="S278" s="25"/>
      <c r="T278" s="25"/>
      <c r="U278" s="25"/>
      <c r="V278" s="25"/>
      <c r="W278" s="25"/>
    </row>
    <row r="279" spans="1:23" ht="18.75">
      <c r="A279" s="111" t="s">
        <v>719</v>
      </c>
      <c r="B279" s="97"/>
      <c r="C279" s="113"/>
      <c r="D279" s="18"/>
      <c r="E279" s="18"/>
      <c r="F279" s="18"/>
      <c r="G279" s="18"/>
      <c r="H279" s="21"/>
      <c r="I279" s="691"/>
      <c r="J279" s="669"/>
      <c r="K279" s="670"/>
      <c r="L279" s="668"/>
      <c r="M279" s="645"/>
      <c r="N279" s="12"/>
      <c r="O279" s="12"/>
      <c r="P279" s="12"/>
      <c r="Q279" s="12"/>
      <c r="R279" s="12"/>
      <c r="S279" s="16"/>
      <c r="T279" s="16"/>
      <c r="U279" s="16"/>
      <c r="V279" s="16"/>
      <c r="W279" s="16"/>
    </row>
    <row r="280" spans="1:23" ht="16.5" customHeight="1">
      <c r="A280" s="111"/>
      <c r="B280" s="97"/>
      <c r="C280" s="113"/>
      <c r="D280" s="18"/>
      <c r="E280" s="18"/>
      <c r="F280" s="18"/>
      <c r="G280" s="18"/>
      <c r="H280" s="21"/>
      <c r="I280" s="691"/>
      <c r="J280" s="669"/>
      <c r="K280" s="670"/>
      <c r="L280" s="668"/>
      <c r="M280" s="645"/>
      <c r="N280" s="12"/>
      <c r="O280" s="12"/>
      <c r="P280" s="12"/>
      <c r="Q280" s="12"/>
      <c r="R280" s="12"/>
      <c r="S280" s="16"/>
      <c r="T280" s="16"/>
      <c r="U280" s="16"/>
      <c r="V280" s="16"/>
      <c r="W280" s="16"/>
    </row>
    <row r="281" spans="1:23" ht="15.75" customHeight="1">
      <c r="A281" s="111"/>
      <c r="B281" s="97"/>
      <c r="C281" s="113"/>
      <c r="D281" s="18"/>
      <c r="E281" s="18"/>
      <c r="F281" s="18"/>
      <c r="G281" s="18"/>
      <c r="H281" s="21"/>
      <c r="I281" s="691"/>
      <c r="J281" s="669"/>
      <c r="K281" s="670"/>
      <c r="L281" s="668"/>
      <c r="M281" s="645"/>
      <c r="N281" s="12"/>
      <c r="O281" s="12"/>
      <c r="P281" s="12"/>
      <c r="Q281" s="12"/>
      <c r="R281" s="12"/>
      <c r="S281" s="16"/>
      <c r="T281" s="16"/>
      <c r="U281" s="16"/>
      <c r="V281" s="16"/>
      <c r="W281" s="16"/>
    </row>
    <row r="282" spans="1:23" ht="18.75">
      <c r="A282" s="114" t="s">
        <v>451</v>
      </c>
      <c r="B282" s="112"/>
      <c r="C282" s="115"/>
      <c r="D282" s="19"/>
      <c r="E282" s="19"/>
      <c r="F282" s="19"/>
      <c r="G282" s="19"/>
      <c r="H282" s="17"/>
      <c r="I282" s="691"/>
      <c r="J282" s="674"/>
      <c r="K282" s="687"/>
      <c r="L282" s="645"/>
      <c r="M282" s="645"/>
      <c r="N282" s="12"/>
      <c r="O282" s="12"/>
      <c r="P282" s="12"/>
      <c r="Q282" s="12"/>
      <c r="R282" s="12"/>
      <c r="S282" s="16"/>
      <c r="T282" s="16"/>
      <c r="U282" s="16"/>
      <c r="V282" s="16"/>
      <c r="W282" s="16"/>
    </row>
    <row r="283" spans="1:23" ht="15" customHeight="1">
      <c r="A283" s="114"/>
      <c r="B283" s="114"/>
      <c r="C283" s="115"/>
      <c r="D283" s="19"/>
      <c r="E283" s="19"/>
      <c r="F283" s="19"/>
      <c r="G283" s="19"/>
      <c r="H283" s="17"/>
      <c r="I283" s="691"/>
      <c r="J283" s="674"/>
      <c r="K283" s="687"/>
      <c r="L283" s="645"/>
      <c r="M283" s="645"/>
      <c r="N283" s="12"/>
      <c r="O283" s="12"/>
      <c r="P283" s="12"/>
      <c r="Q283" s="12"/>
      <c r="R283" s="12"/>
      <c r="S283" s="16"/>
      <c r="T283" s="16"/>
      <c r="U283" s="16"/>
      <c r="V283" s="16"/>
      <c r="W283" s="16"/>
    </row>
    <row r="284" spans="1:23" ht="18.75">
      <c r="A284" s="114"/>
      <c r="B284" s="114"/>
      <c r="C284" s="115"/>
      <c r="D284" s="19"/>
      <c r="E284" s="19"/>
      <c r="F284" s="19"/>
      <c r="G284" s="19"/>
      <c r="H284" s="17"/>
      <c r="I284" s="691"/>
      <c r="J284" s="674"/>
      <c r="K284" s="687"/>
      <c r="L284" s="645"/>
      <c r="M284" s="645"/>
      <c r="N284" s="12"/>
      <c r="O284" s="12"/>
      <c r="P284" s="12"/>
      <c r="Q284" s="12"/>
      <c r="R284" s="12"/>
      <c r="S284" s="16"/>
      <c r="T284" s="16"/>
      <c r="U284" s="16"/>
      <c r="V284" s="16"/>
      <c r="W284" s="16"/>
    </row>
    <row r="285" spans="1:23" ht="18.75">
      <c r="A285" s="123"/>
      <c r="B285" s="74"/>
      <c r="C285" s="124"/>
      <c r="D285" s="10" t="s">
        <v>709</v>
      </c>
      <c r="E285" s="11"/>
      <c r="F285" s="10" t="s">
        <v>808</v>
      </c>
      <c r="G285" s="11"/>
      <c r="H285" s="17"/>
      <c r="I285" s="691"/>
      <c r="J285" s="674"/>
      <c r="K285" s="687"/>
      <c r="L285" s="645"/>
      <c r="M285" s="645"/>
      <c r="N285" s="12"/>
      <c r="O285" s="12"/>
      <c r="P285" s="12"/>
      <c r="Q285" s="12"/>
      <c r="R285" s="12"/>
      <c r="S285" s="16"/>
      <c r="T285" s="16"/>
      <c r="U285" s="16"/>
      <c r="V285" s="16"/>
      <c r="W285" s="16"/>
    </row>
    <row r="286" spans="1:23" ht="13.5" customHeight="1">
      <c r="A286" s="125"/>
      <c r="B286" s="76"/>
      <c r="C286" s="126"/>
      <c r="D286" s="933" t="s">
        <v>712</v>
      </c>
      <c r="E286" s="11" t="s">
        <v>711</v>
      </c>
      <c r="F286" s="934" t="s">
        <v>712</v>
      </c>
      <c r="G286" s="11" t="s">
        <v>711</v>
      </c>
      <c r="H286" s="17"/>
      <c r="I286" s="670"/>
      <c r="J286" s="674"/>
      <c r="K286" s="687"/>
      <c r="L286" s="645"/>
      <c r="M286" s="645"/>
      <c r="N286" s="12"/>
      <c r="O286" s="12"/>
      <c r="P286" s="12"/>
      <c r="Q286" s="12"/>
      <c r="R286" s="12"/>
      <c r="S286" s="16"/>
      <c r="T286" s="16"/>
      <c r="U286" s="16"/>
      <c r="V286" s="16"/>
      <c r="W286" s="16"/>
    </row>
    <row r="287" spans="1:23" ht="27.75" customHeight="1">
      <c r="A287" s="127" t="s">
        <v>714</v>
      </c>
      <c r="B287" s="128" t="s">
        <v>720</v>
      </c>
      <c r="C287" s="129" t="s">
        <v>715</v>
      </c>
      <c r="D287" s="13" t="s">
        <v>716</v>
      </c>
      <c r="E287" s="14" t="s">
        <v>717</v>
      </c>
      <c r="F287" s="13" t="s">
        <v>716</v>
      </c>
      <c r="G287" s="14" t="s">
        <v>717</v>
      </c>
      <c r="H287" s="17"/>
      <c r="I287" s="691"/>
      <c r="J287" s="674"/>
      <c r="K287" s="687"/>
      <c r="L287" s="645"/>
      <c r="M287" s="645"/>
      <c r="N287" s="12"/>
      <c r="O287" s="12"/>
      <c r="P287" s="12"/>
      <c r="Q287" s="12"/>
      <c r="R287" s="12"/>
      <c r="S287" s="16"/>
      <c r="T287" s="16"/>
      <c r="U287" s="16"/>
      <c r="V287" s="16"/>
      <c r="W287" s="16"/>
    </row>
    <row r="288" spans="1:18" s="353" customFormat="1" ht="18.75" customHeight="1">
      <c r="A288" s="79" t="s">
        <v>476</v>
      </c>
      <c r="B288" s="79" t="s">
        <v>477</v>
      </c>
      <c r="C288" s="79" t="s">
        <v>478</v>
      </c>
      <c r="D288" s="391">
        <v>24506</v>
      </c>
      <c r="E288" s="615"/>
      <c r="F288" s="615"/>
      <c r="G288" s="615"/>
      <c r="I288" s="632"/>
      <c r="J288" s="632"/>
      <c r="K288" s="632"/>
      <c r="L288" s="632"/>
      <c r="M288" s="632"/>
      <c r="N288" s="703"/>
      <c r="O288" s="703"/>
      <c r="P288" s="703"/>
      <c r="Q288" s="703"/>
      <c r="R288" s="703"/>
    </row>
    <row r="289" spans="1:18" s="32" customFormat="1" ht="18.75" customHeight="1">
      <c r="A289" s="79" t="s">
        <v>448</v>
      </c>
      <c r="B289" s="79"/>
      <c r="C289" s="79"/>
      <c r="D289" s="80">
        <f>D290+D293+D297+D300+D308+D311+D319+D324+D325+D329</f>
        <v>297128</v>
      </c>
      <c r="E289" s="80"/>
      <c r="F289" s="80">
        <f>F290+F293+F297+F300+F308+F311+F319+F324+F325+F329</f>
        <v>303067</v>
      </c>
      <c r="G289" s="80"/>
      <c r="I289" s="627"/>
      <c r="J289" s="627"/>
      <c r="K289" s="627"/>
      <c r="L289" s="627"/>
      <c r="M289" s="627"/>
      <c r="N289" s="685"/>
      <c r="O289" s="685"/>
      <c r="P289" s="685"/>
      <c r="Q289" s="685"/>
      <c r="R289" s="685"/>
    </row>
    <row r="290" spans="1:18" s="353" customFormat="1" ht="18" customHeight="1">
      <c r="A290" s="86"/>
      <c r="B290" s="351" t="s">
        <v>590</v>
      </c>
      <c r="C290" s="153"/>
      <c r="D290" s="84">
        <f>SUM(D291:D292)</f>
        <v>220</v>
      </c>
      <c r="E290" s="84"/>
      <c r="F290" s="84">
        <f>SUM(F291:F292)</f>
        <v>22086</v>
      </c>
      <c r="G290" s="84"/>
      <c r="I290" s="632"/>
      <c r="J290" s="632"/>
      <c r="K290" s="632"/>
      <c r="L290" s="632"/>
      <c r="M290" s="632"/>
      <c r="N290" s="703"/>
      <c r="O290" s="703"/>
      <c r="P290" s="703"/>
      <c r="Q290" s="703"/>
      <c r="R290" s="703"/>
    </row>
    <row r="291" spans="1:18" s="353" customFormat="1" ht="18.75" customHeight="1">
      <c r="A291" s="85"/>
      <c r="B291" s="351"/>
      <c r="C291" s="83" t="s">
        <v>165</v>
      </c>
      <c r="D291" s="84"/>
      <c r="E291" s="84"/>
      <c r="F291" s="84">
        <v>22086</v>
      </c>
      <c r="G291" s="84"/>
      <c r="I291" s="632"/>
      <c r="J291" s="632"/>
      <c r="K291" s="632"/>
      <c r="L291" s="632"/>
      <c r="M291" s="632"/>
      <c r="N291" s="703"/>
      <c r="O291" s="703"/>
      <c r="P291" s="703"/>
      <c r="Q291" s="703"/>
      <c r="R291" s="703"/>
    </row>
    <row r="292" spans="1:18" s="353" customFormat="1" ht="18.75" customHeight="1">
      <c r="A292" s="85"/>
      <c r="B292" s="86"/>
      <c r="C292" s="83" t="s">
        <v>588</v>
      </c>
      <c r="D292" s="84">
        <v>220</v>
      </c>
      <c r="E292" s="84"/>
      <c r="F292" s="84"/>
      <c r="G292" s="84"/>
      <c r="I292" s="632"/>
      <c r="J292" s="632"/>
      <c r="K292" s="632"/>
      <c r="L292" s="632"/>
      <c r="M292" s="632"/>
      <c r="N292" s="703"/>
      <c r="O292" s="703"/>
      <c r="P292" s="703"/>
      <c r="Q292" s="703"/>
      <c r="R292" s="703"/>
    </row>
    <row r="293" spans="1:18" s="353" customFormat="1" ht="18.75" customHeight="1">
      <c r="A293" s="85"/>
      <c r="B293" s="153" t="s">
        <v>591</v>
      </c>
      <c r="C293" s="83"/>
      <c r="D293" s="84">
        <f>SUM(D294:D296)</f>
        <v>140</v>
      </c>
      <c r="E293" s="84"/>
      <c r="F293" s="84">
        <f>SUM(F294:F296)</f>
        <v>29000</v>
      </c>
      <c r="G293" s="84"/>
      <c r="I293" s="632"/>
      <c r="J293" s="632"/>
      <c r="K293" s="632"/>
      <c r="L293" s="632"/>
      <c r="M293" s="632"/>
      <c r="N293" s="703"/>
      <c r="O293" s="703"/>
      <c r="P293" s="703"/>
      <c r="Q293" s="703"/>
      <c r="R293" s="703"/>
    </row>
    <row r="294" spans="1:18" s="353" customFormat="1" ht="18.75" customHeight="1">
      <c r="A294" s="85"/>
      <c r="B294" s="86"/>
      <c r="C294" s="83" t="s">
        <v>165</v>
      </c>
      <c r="D294" s="84"/>
      <c r="E294" s="84"/>
      <c r="F294" s="84">
        <v>25000</v>
      </c>
      <c r="G294" s="84"/>
      <c r="I294" s="632"/>
      <c r="J294" s="632"/>
      <c r="K294" s="632"/>
      <c r="L294" s="632"/>
      <c r="M294" s="632"/>
      <c r="N294" s="703"/>
      <c r="O294" s="703"/>
      <c r="P294" s="703"/>
      <c r="Q294" s="703"/>
      <c r="R294" s="703"/>
    </row>
    <row r="295" spans="1:18" s="353" customFormat="1" ht="18.75" customHeight="1">
      <c r="A295" s="85"/>
      <c r="B295" s="86"/>
      <c r="C295" s="83" t="s">
        <v>749</v>
      </c>
      <c r="D295" s="84"/>
      <c r="E295" s="84"/>
      <c r="F295" s="84">
        <v>4000</v>
      </c>
      <c r="G295" s="84"/>
      <c r="I295" s="632"/>
      <c r="J295" s="632"/>
      <c r="K295" s="632"/>
      <c r="L295" s="632"/>
      <c r="M295" s="632"/>
      <c r="N295" s="703"/>
      <c r="O295" s="703"/>
      <c r="P295" s="703"/>
      <c r="Q295" s="703"/>
      <c r="R295" s="703"/>
    </row>
    <row r="296" spans="1:18" s="353" customFormat="1" ht="18.75" customHeight="1">
      <c r="A296" s="85"/>
      <c r="B296" s="94"/>
      <c r="C296" s="83" t="s">
        <v>588</v>
      </c>
      <c r="D296" s="84">
        <v>140</v>
      </c>
      <c r="E296" s="84"/>
      <c r="F296" s="84"/>
      <c r="G296" s="84"/>
      <c r="I296" s="632"/>
      <c r="J296" s="632"/>
      <c r="K296" s="632"/>
      <c r="L296" s="632"/>
      <c r="M296" s="632"/>
      <c r="N296" s="703"/>
      <c r="O296" s="703"/>
      <c r="P296" s="703"/>
      <c r="Q296" s="703"/>
      <c r="R296" s="703"/>
    </row>
    <row r="297" spans="1:18" s="353" customFormat="1" ht="18.75" customHeight="1">
      <c r="A297" s="85"/>
      <c r="B297" s="86" t="s">
        <v>319</v>
      </c>
      <c r="C297" s="83"/>
      <c r="D297" s="84"/>
      <c r="E297" s="84"/>
      <c r="F297" s="84">
        <f>SUM(F298:F299)</f>
        <v>10000</v>
      </c>
      <c r="G297" s="84"/>
      <c r="I297" s="632"/>
      <c r="J297" s="632"/>
      <c r="K297" s="632"/>
      <c r="L297" s="632"/>
      <c r="M297" s="632"/>
      <c r="N297" s="703"/>
      <c r="O297" s="703"/>
      <c r="P297" s="703"/>
      <c r="Q297" s="703"/>
      <c r="R297" s="703"/>
    </row>
    <row r="298" spans="1:18" s="353" customFormat="1" ht="18.75" customHeight="1">
      <c r="A298" s="85"/>
      <c r="B298" s="351"/>
      <c r="C298" s="83" t="s">
        <v>165</v>
      </c>
      <c r="D298" s="84"/>
      <c r="E298" s="84"/>
      <c r="F298" s="84">
        <v>6000</v>
      </c>
      <c r="G298" s="84"/>
      <c r="I298" s="632"/>
      <c r="J298" s="632"/>
      <c r="K298" s="632"/>
      <c r="L298" s="632"/>
      <c r="M298" s="632"/>
      <c r="N298" s="703"/>
      <c r="O298" s="703"/>
      <c r="P298" s="703"/>
      <c r="Q298" s="703"/>
      <c r="R298" s="703"/>
    </row>
    <row r="299" spans="1:18" s="353" customFormat="1" ht="18.75" customHeight="1">
      <c r="A299" s="85"/>
      <c r="B299" s="94"/>
      <c r="C299" s="83" t="s">
        <v>749</v>
      </c>
      <c r="D299" s="84"/>
      <c r="E299" s="84"/>
      <c r="F299" s="84">
        <v>4000</v>
      </c>
      <c r="G299" s="84"/>
      <c r="I299" s="632"/>
      <c r="J299" s="632"/>
      <c r="K299" s="632"/>
      <c r="L299" s="632"/>
      <c r="M299" s="632"/>
      <c r="N299" s="703"/>
      <c r="O299" s="703"/>
      <c r="P299" s="703"/>
      <c r="Q299" s="703"/>
      <c r="R299" s="703"/>
    </row>
    <row r="300" spans="1:18" s="353" customFormat="1" ht="18.75" customHeight="1">
      <c r="A300" s="86"/>
      <c r="B300" s="94" t="s">
        <v>767</v>
      </c>
      <c r="C300" s="153"/>
      <c r="D300" s="84">
        <f>SUM(D301:D307)</f>
        <v>47950</v>
      </c>
      <c r="E300" s="84"/>
      <c r="F300" s="84">
        <f>SUM(F301:F307)</f>
        <v>49097</v>
      </c>
      <c r="G300" s="84"/>
      <c r="I300" s="632"/>
      <c r="J300" s="632"/>
      <c r="K300" s="632"/>
      <c r="L300" s="632"/>
      <c r="M300" s="632"/>
      <c r="N300" s="703"/>
      <c r="O300" s="703"/>
      <c r="P300" s="703"/>
      <c r="Q300" s="703"/>
      <c r="R300" s="703"/>
    </row>
    <row r="301" spans="1:18" s="353" customFormat="1" ht="18.75" customHeight="1">
      <c r="A301" s="86"/>
      <c r="B301" s="86"/>
      <c r="C301" s="153" t="s">
        <v>316</v>
      </c>
      <c r="D301" s="84">
        <f>90300-42350</f>
        <v>47950</v>
      </c>
      <c r="E301" s="84"/>
      <c r="F301" s="84"/>
      <c r="G301" s="84"/>
      <c r="I301" s="632"/>
      <c r="J301" s="632"/>
      <c r="K301" s="632"/>
      <c r="L301" s="632"/>
      <c r="M301" s="632"/>
      <c r="N301" s="703"/>
      <c r="O301" s="703"/>
      <c r="P301" s="703"/>
      <c r="Q301" s="703"/>
      <c r="R301" s="703"/>
    </row>
    <row r="302" spans="1:18" s="353" customFormat="1" ht="18.75" customHeight="1">
      <c r="A302" s="86"/>
      <c r="B302" s="86"/>
      <c r="C302" s="153" t="s">
        <v>317</v>
      </c>
      <c r="D302" s="84"/>
      <c r="E302" s="84"/>
      <c r="F302" s="84">
        <v>463</v>
      </c>
      <c r="G302" s="84"/>
      <c r="I302" s="632"/>
      <c r="J302" s="632"/>
      <c r="K302" s="632"/>
      <c r="L302" s="632"/>
      <c r="M302" s="632"/>
      <c r="N302" s="703"/>
      <c r="O302" s="703"/>
      <c r="P302" s="703"/>
      <c r="Q302" s="703"/>
      <c r="R302" s="703"/>
    </row>
    <row r="303" spans="1:18" s="353" customFormat="1" ht="18.75" customHeight="1">
      <c r="A303" s="86"/>
      <c r="B303" s="86"/>
      <c r="C303" s="153" t="s">
        <v>165</v>
      </c>
      <c r="D303" s="84"/>
      <c r="E303" s="84"/>
      <c r="F303" s="84">
        <f>6000+2809+20000+7000</f>
        <v>35809</v>
      </c>
      <c r="G303" s="84"/>
      <c r="I303" s="632"/>
      <c r="J303" s="632"/>
      <c r="K303" s="632"/>
      <c r="L303" s="632"/>
      <c r="M303" s="632"/>
      <c r="N303" s="703"/>
      <c r="O303" s="703"/>
      <c r="P303" s="703"/>
      <c r="Q303" s="703"/>
      <c r="R303" s="703"/>
    </row>
    <row r="304" spans="1:18" s="353" customFormat="1" ht="18.75" customHeight="1">
      <c r="A304" s="86"/>
      <c r="B304" s="86"/>
      <c r="C304" s="153" t="s">
        <v>749</v>
      </c>
      <c r="D304" s="84"/>
      <c r="E304" s="84"/>
      <c r="F304" s="84">
        <f>3000+978+6500</f>
        <v>10478</v>
      </c>
      <c r="G304" s="84"/>
      <c r="I304" s="632"/>
      <c r="J304" s="632"/>
      <c r="K304" s="632"/>
      <c r="L304" s="632"/>
      <c r="M304" s="632"/>
      <c r="N304" s="703"/>
      <c r="O304" s="703"/>
      <c r="P304" s="703"/>
      <c r="Q304" s="703"/>
      <c r="R304" s="703"/>
    </row>
    <row r="305" spans="1:18" s="353" customFormat="1" ht="18.75" customHeight="1">
      <c r="A305" s="86"/>
      <c r="B305" s="86"/>
      <c r="C305" s="153" t="s">
        <v>753</v>
      </c>
      <c r="D305" s="84"/>
      <c r="E305" s="84"/>
      <c r="F305" s="84">
        <f>1000+237</f>
        <v>1237</v>
      </c>
      <c r="G305" s="84"/>
      <c r="I305" s="632"/>
      <c r="J305" s="632"/>
      <c r="K305" s="632"/>
      <c r="L305" s="632"/>
      <c r="M305" s="632"/>
      <c r="N305" s="703"/>
      <c r="O305" s="703"/>
      <c r="P305" s="703"/>
      <c r="Q305" s="703"/>
      <c r="R305" s="703"/>
    </row>
    <row r="306" spans="1:18" s="353" customFormat="1" ht="18.75" customHeight="1">
      <c r="A306" s="86"/>
      <c r="B306" s="86"/>
      <c r="C306" s="153" t="s">
        <v>9</v>
      </c>
      <c r="D306" s="84"/>
      <c r="E306" s="84"/>
      <c r="F306" s="84">
        <v>210</v>
      </c>
      <c r="G306" s="84"/>
      <c r="I306" s="632"/>
      <c r="J306" s="632"/>
      <c r="K306" s="632"/>
      <c r="L306" s="632"/>
      <c r="M306" s="632"/>
      <c r="N306" s="703"/>
      <c r="O306" s="703"/>
      <c r="P306" s="703"/>
      <c r="Q306" s="703"/>
      <c r="R306" s="703"/>
    </row>
    <row r="307" spans="1:18" s="353" customFormat="1" ht="18.75" customHeight="1">
      <c r="A307" s="86"/>
      <c r="B307" s="86"/>
      <c r="C307" s="153" t="s">
        <v>751</v>
      </c>
      <c r="D307" s="84"/>
      <c r="E307" s="84"/>
      <c r="F307" s="84">
        <v>900</v>
      </c>
      <c r="G307" s="84"/>
      <c r="I307" s="632"/>
      <c r="J307" s="632"/>
      <c r="K307" s="632"/>
      <c r="L307" s="632"/>
      <c r="M307" s="632"/>
      <c r="N307" s="703"/>
      <c r="O307" s="703"/>
      <c r="P307" s="703"/>
      <c r="Q307" s="703"/>
      <c r="R307" s="703"/>
    </row>
    <row r="308" spans="1:18" s="353" customFormat="1" ht="18.75" customHeight="1">
      <c r="A308" s="86"/>
      <c r="B308" s="153" t="s">
        <v>768</v>
      </c>
      <c r="C308" s="153"/>
      <c r="D308" s="84">
        <f>SUM(D309:D310)</f>
        <v>22300</v>
      </c>
      <c r="E308" s="84"/>
      <c r="F308" s="84">
        <f>SUM(F309:F310)</f>
        <v>100</v>
      </c>
      <c r="G308" s="84"/>
      <c r="I308" s="632"/>
      <c r="J308" s="632"/>
      <c r="K308" s="632"/>
      <c r="L308" s="632"/>
      <c r="M308" s="632"/>
      <c r="N308" s="703"/>
      <c r="O308" s="703"/>
      <c r="P308" s="703"/>
      <c r="Q308" s="703"/>
      <c r="R308" s="703"/>
    </row>
    <row r="309" spans="1:18" s="353" customFormat="1" ht="18.75" customHeight="1">
      <c r="A309" s="86"/>
      <c r="B309" s="86"/>
      <c r="C309" s="153" t="s">
        <v>316</v>
      </c>
      <c r="D309" s="84">
        <v>22300</v>
      </c>
      <c r="E309" s="84"/>
      <c r="F309" s="84"/>
      <c r="G309" s="84"/>
      <c r="I309" s="632"/>
      <c r="J309" s="632"/>
      <c r="K309" s="632"/>
      <c r="L309" s="632"/>
      <c r="M309" s="632"/>
      <c r="N309" s="703"/>
      <c r="O309" s="703"/>
      <c r="P309" s="703"/>
      <c r="Q309" s="703"/>
      <c r="R309" s="703"/>
    </row>
    <row r="310" spans="1:18" s="353" customFormat="1" ht="18.75" customHeight="1">
      <c r="A310" s="86"/>
      <c r="B310" s="86"/>
      <c r="C310" s="153" t="s">
        <v>9</v>
      </c>
      <c r="D310" s="84"/>
      <c r="E310" s="84"/>
      <c r="F310" s="84">
        <v>100</v>
      </c>
      <c r="G310" s="84"/>
      <c r="I310" s="632"/>
      <c r="J310" s="632"/>
      <c r="K310" s="632"/>
      <c r="L310" s="632"/>
      <c r="M310" s="632"/>
      <c r="N310" s="703"/>
      <c r="O310" s="703"/>
      <c r="P310" s="703"/>
      <c r="Q310" s="703"/>
      <c r="R310" s="703"/>
    </row>
    <row r="311" spans="1:18" s="353" customFormat="1" ht="18.75" customHeight="1">
      <c r="A311" s="86"/>
      <c r="B311" s="153" t="s">
        <v>7</v>
      </c>
      <c r="C311" s="153"/>
      <c r="D311" s="84">
        <f>SUM(D312:D318)</f>
        <v>162170</v>
      </c>
      <c r="E311" s="84"/>
      <c r="F311" s="84">
        <f>SUM(F312:F318)</f>
        <v>188237</v>
      </c>
      <c r="G311" s="84"/>
      <c r="I311" s="632"/>
      <c r="J311" s="632"/>
      <c r="K311" s="632"/>
      <c r="L311" s="632"/>
      <c r="M311" s="632"/>
      <c r="N311" s="703"/>
      <c r="O311" s="703"/>
      <c r="P311" s="703"/>
      <c r="Q311" s="703"/>
      <c r="R311" s="703"/>
    </row>
    <row r="312" spans="1:18" s="353" customFormat="1" ht="18.75" customHeight="1">
      <c r="A312" s="86"/>
      <c r="B312" s="86"/>
      <c r="C312" s="153" t="s">
        <v>316</v>
      </c>
      <c r="D312" s="84">
        <f>181900-19730</f>
        <v>162170</v>
      </c>
      <c r="E312" s="84"/>
      <c r="F312" s="84"/>
      <c r="G312" s="84"/>
      <c r="I312" s="632"/>
      <c r="J312" s="632"/>
      <c r="K312" s="632"/>
      <c r="L312" s="632"/>
      <c r="M312" s="632"/>
      <c r="N312" s="703"/>
      <c r="O312" s="703"/>
      <c r="P312" s="703"/>
      <c r="Q312" s="703"/>
      <c r="R312" s="703"/>
    </row>
    <row r="313" spans="1:18" s="353" customFormat="1" ht="18.75" customHeight="1">
      <c r="A313" s="86"/>
      <c r="B313" s="86"/>
      <c r="C313" s="153" t="s">
        <v>165</v>
      </c>
      <c r="D313" s="84"/>
      <c r="E313" s="84"/>
      <c r="F313" s="84">
        <f>2224+14510+22000+30000+37000</f>
        <v>105734</v>
      </c>
      <c r="G313" s="84"/>
      <c r="I313" s="632"/>
      <c r="J313" s="632"/>
      <c r="K313" s="632"/>
      <c r="L313" s="632"/>
      <c r="M313" s="632"/>
      <c r="N313" s="703"/>
      <c r="O313" s="703"/>
      <c r="P313" s="703"/>
      <c r="Q313" s="703"/>
      <c r="R313" s="703"/>
    </row>
    <row r="314" spans="1:18" s="353" customFormat="1" ht="18.75" customHeight="1">
      <c r="A314" s="86"/>
      <c r="B314" s="86"/>
      <c r="C314" s="153" t="s">
        <v>749</v>
      </c>
      <c r="D314" s="84"/>
      <c r="E314" s="84"/>
      <c r="F314" s="84">
        <f>9467+8000+31500</f>
        <v>48967</v>
      </c>
      <c r="G314" s="84"/>
      <c r="I314" s="632"/>
      <c r="J314" s="632"/>
      <c r="K314" s="632"/>
      <c r="L314" s="632"/>
      <c r="M314" s="632"/>
      <c r="N314" s="703"/>
      <c r="O314" s="703"/>
      <c r="P314" s="703"/>
      <c r="Q314" s="703"/>
      <c r="R314" s="703"/>
    </row>
    <row r="315" spans="1:18" s="353" customFormat="1" ht="18.75" customHeight="1">
      <c r="A315" s="86"/>
      <c r="B315" s="86"/>
      <c r="C315" s="153" t="s">
        <v>9</v>
      </c>
      <c r="D315" s="84"/>
      <c r="E315" s="84"/>
      <c r="F315" s="84">
        <v>1740</v>
      </c>
      <c r="G315" s="84"/>
      <c r="I315" s="632"/>
      <c r="J315" s="632"/>
      <c r="K315" s="632"/>
      <c r="L315" s="632"/>
      <c r="M315" s="632"/>
      <c r="N315" s="703"/>
      <c r="O315" s="703"/>
      <c r="P315" s="703"/>
      <c r="Q315" s="703"/>
      <c r="R315" s="703"/>
    </row>
    <row r="316" spans="1:18" s="353" customFormat="1" ht="18.75" customHeight="1">
      <c r="A316" s="86"/>
      <c r="B316" s="86"/>
      <c r="C316" s="153" t="s">
        <v>751</v>
      </c>
      <c r="D316" s="84"/>
      <c r="E316" s="84"/>
      <c r="F316" s="84">
        <v>6000</v>
      </c>
      <c r="G316" s="84"/>
      <c r="I316" s="632"/>
      <c r="J316" s="632"/>
      <c r="K316" s="632"/>
      <c r="L316" s="632"/>
      <c r="M316" s="632"/>
      <c r="N316" s="703"/>
      <c r="O316" s="703"/>
      <c r="P316" s="703"/>
      <c r="Q316" s="703"/>
      <c r="R316" s="703"/>
    </row>
    <row r="317" spans="1:18" s="353" customFormat="1" ht="18.75" customHeight="1">
      <c r="A317" s="86"/>
      <c r="B317" s="86"/>
      <c r="C317" s="153" t="s">
        <v>610</v>
      </c>
      <c r="D317" s="84"/>
      <c r="E317" s="84"/>
      <c r="F317" s="84">
        <v>1290</v>
      </c>
      <c r="G317" s="84"/>
      <c r="I317" s="632"/>
      <c r="J317" s="632"/>
      <c r="K317" s="632"/>
      <c r="L317" s="632"/>
      <c r="M317" s="632"/>
      <c r="N317" s="703"/>
      <c r="O317" s="703"/>
      <c r="P317" s="703"/>
      <c r="Q317" s="703"/>
      <c r="R317" s="703"/>
    </row>
    <row r="318" spans="1:18" s="353" customFormat="1" ht="18.75" customHeight="1">
      <c r="A318" s="86"/>
      <c r="B318" s="86"/>
      <c r="C318" s="153" t="s">
        <v>284</v>
      </c>
      <c r="D318" s="84"/>
      <c r="E318" s="84"/>
      <c r="F318" s="84">
        <v>24506</v>
      </c>
      <c r="G318" s="84"/>
      <c r="I318" s="632"/>
      <c r="J318" s="632"/>
      <c r="K318" s="632"/>
      <c r="L318" s="632"/>
      <c r="M318" s="632"/>
      <c r="N318" s="703"/>
      <c r="O318" s="703"/>
      <c r="P318" s="703"/>
      <c r="Q318" s="703"/>
      <c r="R318" s="703"/>
    </row>
    <row r="319" spans="1:18" s="353" customFormat="1" ht="18.75" customHeight="1">
      <c r="A319" s="86"/>
      <c r="B319" s="153" t="s">
        <v>592</v>
      </c>
      <c r="C319" s="153"/>
      <c r="D319" s="84">
        <f>SUM(D320:D323)</f>
        <v>2140</v>
      </c>
      <c r="E319" s="84"/>
      <c r="F319" s="84">
        <f>SUM(F320:F323)</f>
        <v>4000</v>
      </c>
      <c r="G319" s="84"/>
      <c r="I319" s="632"/>
      <c r="J319" s="632"/>
      <c r="K319" s="632"/>
      <c r="L319" s="632"/>
      <c r="M319" s="632"/>
      <c r="N319" s="703"/>
      <c r="O319" s="703"/>
      <c r="P319" s="703"/>
      <c r="Q319" s="703"/>
      <c r="R319" s="703"/>
    </row>
    <row r="320" spans="1:18" s="353" customFormat="1" ht="18.75" customHeight="1">
      <c r="A320" s="86"/>
      <c r="B320" s="86"/>
      <c r="C320" s="153" t="s">
        <v>165</v>
      </c>
      <c r="D320" s="84"/>
      <c r="E320" s="84"/>
      <c r="F320" s="84">
        <v>4000</v>
      </c>
      <c r="G320" s="84"/>
      <c r="I320" s="632"/>
      <c r="J320" s="632"/>
      <c r="K320" s="632"/>
      <c r="L320" s="632"/>
      <c r="M320" s="632"/>
      <c r="N320" s="703"/>
      <c r="O320" s="703"/>
      <c r="P320" s="703"/>
      <c r="Q320" s="703"/>
      <c r="R320" s="703"/>
    </row>
    <row r="321" spans="1:18" s="353" customFormat="1" ht="18.75" customHeight="1">
      <c r="A321" s="86"/>
      <c r="B321" s="86"/>
      <c r="C321" s="153" t="s">
        <v>749</v>
      </c>
      <c r="D321" s="84">
        <v>1800</v>
      </c>
      <c r="E321" s="84"/>
      <c r="F321" s="84"/>
      <c r="G321" s="84"/>
      <c r="I321" s="632"/>
      <c r="J321" s="632"/>
      <c r="K321" s="632"/>
      <c r="L321" s="632"/>
      <c r="M321" s="632"/>
      <c r="N321" s="703"/>
      <c r="O321" s="703"/>
      <c r="P321" s="703"/>
      <c r="Q321" s="703"/>
      <c r="R321" s="703"/>
    </row>
    <row r="322" spans="1:18" s="353" customFormat="1" ht="18.75" customHeight="1">
      <c r="A322" s="86"/>
      <c r="B322" s="86"/>
      <c r="C322" s="153" t="s">
        <v>753</v>
      </c>
      <c r="D322" s="84">
        <v>200</v>
      </c>
      <c r="E322" s="84"/>
      <c r="F322" s="84"/>
      <c r="G322" s="84"/>
      <c r="I322" s="632"/>
      <c r="J322" s="632"/>
      <c r="K322" s="632"/>
      <c r="L322" s="632"/>
      <c r="M322" s="632"/>
      <c r="N322" s="703"/>
      <c r="O322" s="703"/>
      <c r="P322" s="703"/>
      <c r="Q322" s="703"/>
      <c r="R322" s="703"/>
    </row>
    <row r="323" spans="1:18" s="353" customFormat="1" ht="18.75" customHeight="1">
      <c r="A323" s="86"/>
      <c r="B323" s="86"/>
      <c r="C323" s="153" t="s">
        <v>588</v>
      </c>
      <c r="D323" s="84">
        <v>140</v>
      </c>
      <c r="E323" s="84"/>
      <c r="F323" s="84"/>
      <c r="G323" s="84"/>
      <c r="I323" s="632"/>
      <c r="J323" s="632"/>
      <c r="K323" s="632"/>
      <c r="L323" s="632"/>
      <c r="M323" s="632"/>
      <c r="N323" s="703"/>
      <c r="O323" s="703"/>
      <c r="P323" s="703"/>
      <c r="Q323" s="703"/>
      <c r="R323" s="703"/>
    </row>
    <row r="324" spans="1:18" s="353" customFormat="1" ht="18.75" customHeight="1">
      <c r="A324" s="86"/>
      <c r="B324" s="153" t="s">
        <v>285</v>
      </c>
      <c r="C324" s="153" t="s">
        <v>165</v>
      </c>
      <c r="D324" s="84">
        <v>5000</v>
      </c>
      <c r="E324" s="84"/>
      <c r="F324" s="84"/>
      <c r="G324" s="84"/>
      <c r="I324" s="632"/>
      <c r="J324" s="632"/>
      <c r="K324" s="632"/>
      <c r="L324" s="632"/>
      <c r="M324" s="632"/>
      <c r="N324" s="703"/>
      <c r="O324" s="703"/>
      <c r="P324" s="703"/>
      <c r="Q324" s="703"/>
      <c r="R324" s="703"/>
    </row>
    <row r="325" spans="1:18" s="353" customFormat="1" ht="18.75" customHeight="1">
      <c r="A325" s="86"/>
      <c r="B325" s="153" t="s">
        <v>593</v>
      </c>
      <c r="C325" s="351"/>
      <c r="D325" s="84">
        <f>SUM(D326:D328)</f>
        <v>4036</v>
      </c>
      <c r="E325" s="84"/>
      <c r="F325" s="84">
        <f>SUM(F326:F328)</f>
        <v>0</v>
      </c>
      <c r="G325" s="84"/>
      <c r="I325" s="632"/>
      <c r="J325" s="632"/>
      <c r="K325" s="632"/>
      <c r="L325" s="632"/>
      <c r="M325" s="632"/>
      <c r="N325" s="703"/>
      <c r="O325" s="703"/>
      <c r="P325" s="703"/>
      <c r="Q325" s="703"/>
      <c r="R325" s="703"/>
    </row>
    <row r="326" spans="1:18" s="353" customFormat="1" ht="18.75" customHeight="1">
      <c r="A326" s="86"/>
      <c r="B326" s="86"/>
      <c r="C326" s="351" t="s">
        <v>749</v>
      </c>
      <c r="D326" s="84">
        <v>3700</v>
      </c>
      <c r="E326" s="84"/>
      <c r="F326" s="84"/>
      <c r="G326" s="84"/>
      <c r="I326" s="632"/>
      <c r="J326" s="632"/>
      <c r="K326" s="632"/>
      <c r="L326" s="632"/>
      <c r="M326" s="632"/>
      <c r="N326" s="703"/>
      <c r="O326" s="703"/>
      <c r="P326" s="703"/>
      <c r="Q326" s="703"/>
      <c r="R326" s="703"/>
    </row>
    <row r="327" spans="1:18" s="353" customFormat="1" ht="18.75" customHeight="1">
      <c r="A327" s="86"/>
      <c r="B327" s="86"/>
      <c r="C327" s="351" t="s">
        <v>753</v>
      </c>
      <c r="D327" s="84">
        <v>300</v>
      </c>
      <c r="E327" s="84"/>
      <c r="F327" s="84"/>
      <c r="G327" s="84"/>
      <c r="I327" s="632"/>
      <c r="J327" s="632"/>
      <c r="K327" s="632"/>
      <c r="L327" s="632"/>
      <c r="M327" s="632"/>
      <c r="N327" s="703"/>
      <c r="O327" s="703"/>
      <c r="P327" s="703"/>
      <c r="Q327" s="703"/>
      <c r="R327" s="703"/>
    </row>
    <row r="328" spans="1:18" s="353" customFormat="1" ht="18.75" customHeight="1">
      <c r="A328" s="86"/>
      <c r="B328" s="86"/>
      <c r="C328" s="351" t="s">
        <v>588</v>
      </c>
      <c r="D328" s="84">
        <v>36</v>
      </c>
      <c r="E328" s="84"/>
      <c r="F328" s="84"/>
      <c r="G328" s="84"/>
      <c r="I328" s="632"/>
      <c r="J328" s="632"/>
      <c r="K328" s="632"/>
      <c r="L328" s="632"/>
      <c r="M328" s="632"/>
      <c r="N328" s="703"/>
      <c r="O328" s="703"/>
      <c r="P328" s="703"/>
      <c r="Q328" s="703"/>
      <c r="R328" s="703"/>
    </row>
    <row r="329" spans="1:18" s="353" customFormat="1" ht="18.75" customHeight="1">
      <c r="A329" s="86"/>
      <c r="B329" s="153" t="s">
        <v>594</v>
      </c>
      <c r="C329" s="351"/>
      <c r="D329" s="84">
        <f>SUM(D330:D337)</f>
        <v>53172</v>
      </c>
      <c r="E329" s="84"/>
      <c r="F329" s="84">
        <f>SUM(F330:F337)</f>
        <v>547</v>
      </c>
      <c r="G329" s="84"/>
      <c r="I329" s="632"/>
      <c r="J329" s="632"/>
      <c r="K329" s="632"/>
      <c r="L329" s="632"/>
      <c r="M329" s="632"/>
      <c r="N329" s="703"/>
      <c r="O329" s="703"/>
      <c r="P329" s="703"/>
      <c r="Q329" s="703"/>
      <c r="R329" s="703"/>
    </row>
    <row r="330" spans="1:18" s="353" customFormat="1" ht="18.75" customHeight="1">
      <c r="A330" s="86"/>
      <c r="B330" s="86"/>
      <c r="C330" s="351" t="s">
        <v>749</v>
      </c>
      <c r="D330" s="84">
        <v>1500</v>
      </c>
      <c r="E330" s="84"/>
      <c r="F330" s="84"/>
      <c r="G330" s="84"/>
      <c r="I330" s="632"/>
      <c r="J330" s="632"/>
      <c r="K330" s="632"/>
      <c r="L330" s="632"/>
      <c r="M330" s="632"/>
      <c r="N330" s="703"/>
      <c r="O330" s="703"/>
      <c r="P330" s="703"/>
      <c r="Q330" s="703"/>
      <c r="R330" s="703"/>
    </row>
    <row r="331" spans="1:18" s="353" customFormat="1" ht="18.75" customHeight="1">
      <c r="A331" s="86"/>
      <c r="B331" s="86"/>
      <c r="C331" s="351" t="s">
        <v>310</v>
      </c>
      <c r="D331" s="84">
        <v>50000</v>
      </c>
      <c r="E331" s="84"/>
      <c r="F331" s="84"/>
      <c r="G331" s="84"/>
      <c r="I331" s="632"/>
      <c r="J331" s="632"/>
      <c r="K331" s="632"/>
      <c r="L331" s="632"/>
      <c r="M331" s="632"/>
      <c r="N331" s="703"/>
      <c r="O331" s="703"/>
      <c r="P331" s="703"/>
      <c r="Q331" s="703"/>
      <c r="R331" s="703"/>
    </row>
    <row r="332" spans="1:18" s="353" customFormat="1" ht="18.75" customHeight="1">
      <c r="A332" s="86"/>
      <c r="B332" s="86"/>
      <c r="C332" s="351" t="s">
        <v>9</v>
      </c>
      <c r="D332" s="84">
        <v>502</v>
      </c>
      <c r="E332" s="84"/>
      <c r="F332" s="84"/>
      <c r="G332" s="84"/>
      <c r="I332" s="632"/>
      <c r="J332" s="632"/>
      <c r="K332" s="632"/>
      <c r="L332" s="632"/>
      <c r="M332" s="632"/>
      <c r="N332" s="703"/>
      <c r="O332" s="703"/>
      <c r="P332" s="703"/>
      <c r="Q332" s="703"/>
      <c r="R332" s="703"/>
    </row>
    <row r="333" spans="1:18" s="353" customFormat="1" ht="18.75" customHeight="1">
      <c r="A333" s="86"/>
      <c r="B333" s="86"/>
      <c r="C333" s="351" t="s">
        <v>610</v>
      </c>
      <c r="D333" s="84"/>
      <c r="E333" s="84"/>
      <c r="F333" s="84">
        <f>547-500</f>
        <v>47</v>
      </c>
      <c r="G333" s="84"/>
      <c r="I333" s="632"/>
      <c r="J333" s="632"/>
      <c r="K333" s="632"/>
      <c r="L333" s="632"/>
      <c r="M333" s="632"/>
      <c r="N333" s="703"/>
      <c r="O333" s="703"/>
      <c r="P333" s="703"/>
      <c r="Q333" s="703"/>
      <c r="R333" s="703"/>
    </row>
    <row r="334" spans="1:18" s="353" customFormat="1" ht="18.75" customHeight="1">
      <c r="A334" s="86"/>
      <c r="B334" s="86"/>
      <c r="C334" s="351" t="s">
        <v>583</v>
      </c>
      <c r="D334" s="84"/>
      <c r="E334" s="84"/>
      <c r="F334" s="84">
        <v>500</v>
      </c>
      <c r="G334" s="84"/>
      <c r="I334" s="632"/>
      <c r="J334" s="632"/>
      <c r="K334" s="632"/>
      <c r="L334" s="632"/>
      <c r="M334" s="632"/>
      <c r="N334" s="703"/>
      <c r="O334" s="703"/>
      <c r="P334" s="703"/>
      <c r="Q334" s="703"/>
      <c r="R334" s="703"/>
    </row>
    <row r="335" spans="1:18" s="353" customFormat="1" ht="18.75" customHeight="1">
      <c r="A335" s="86"/>
      <c r="B335" s="86"/>
      <c r="C335" s="351" t="s">
        <v>311</v>
      </c>
      <c r="D335" s="84">
        <v>150</v>
      </c>
      <c r="E335" s="84"/>
      <c r="F335" s="84"/>
      <c r="G335" s="84"/>
      <c r="I335" s="632"/>
      <c r="J335" s="632"/>
      <c r="K335" s="632"/>
      <c r="L335" s="632"/>
      <c r="M335" s="632"/>
      <c r="N335" s="703"/>
      <c r="O335" s="703"/>
      <c r="P335" s="703"/>
      <c r="Q335" s="703"/>
      <c r="R335" s="703"/>
    </row>
    <row r="336" spans="1:18" s="353" customFormat="1" ht="18.75" customHeight="1">
      <c r="A336" s="86"/>
      <c r="B336" s="86"/>
      <c r="C336" s="351" t="s">
        <v>750</v>
      </c>
      <c r="D336" s="84">
        <v>975</v>
      </c>
      <c r="E336" s="84"/>
      <c r="F336" s="84"/>
      <c r="G336" s="84"/>
      <c r="I336" s="632"/>
      <c r="J336" s="632"/>
      <c r="K336" s="632"/>
      <c r="L336" s="632"/>
      <c r="M336" s="632"/>
      <c r="N336" s="703"/>
      <c r="O336" s="703"/>
      <c r="P336" s="703"/>
      <c r="Q336" s="703"/>
      <c r="R336" s="703"/>
    </row>
    <row r="337" spans="1:18" s="353" customFormat="1" ht="18.75" customHeight="1">
      <c r="A337" s="86"/>
      <c r="B337" s="86"/>
      <c r="C337" s="351" t="s">
        <v>595</v>
      </c>
      <c r="D337" s="84">
        <v>45</v>
      </c>
      <c r="E337" s="84"/>
      <c r="F337" s="84"/>
      <c r="G337" s="84"/>
      <c r="I337" s="632"/>
      <c r="J337" s="632"/>
      <c r="K337" s="632"/>
      <c r="L337" s="632"/>
      <c r="M337" s="632"/>
      <c r="N337" s="703"/>
      <c r="O337" s="703"/>
      <c r="P337" s="703"/>
      <c r="Q337" s="703"/>
      <c r="R337" s="703"/>
    </row>
    <row r="338" spans="1:18" s="32" customFormat="1" ht="18.75" customHeight="1">
      <c r="A338" s="79" t="s">
        <v>320</v>
      </c>
      <c r="B338" s="79" t="s">
        <v>321</v>
      </c>
      <c r="C338" s="79" t="s">
        <v>322</v>
      </c>
      <c r="D338" s="80"/>
      <c r="E338" s="80"/>
      <c r="F338" s="80">
        <v>890</v>
      </c>
      <c r="G338" s="80"/>
      <c r="I338" s="627"/>
      <c r="J338" s="627"/>
      <c r="K338" s="627"/>
      <c r="L338" s="627"/>
      <c r="M338" s="627"/>
      <c r="N338" s="685"/>
      <c r="O338" s="685"/>
      <c r="P338" s="685"/>
      <c r="Q338" s="685"/>
      <c r="R338" s="685"/>
    </row>
    <row r="339" spans="1:18" s="32" customFormat="1" ht="18.75" customHeight="1">
      <c r="A339" s="79" t="s">
        <v>784</v>
      </c>
      <c r="B339" s="79"/>
      <c r="C339" s="79"/>
      <c r="D339" s="80">
        <f>D340+D347</f>
        <v>180000</v>
      </c>
      <c r="E339" s="80"/>
      <c r="F339" s="80">
        <f>F340+F347</f>
        <v>90000</v>
      </c>
      <c r="G339" s="80"/>
      <c r="I339" s="627"/>
      <c r="J339" s="627"/>
      <c r="K339" s="627"/>
      <c r="L339" s="627"/>
      <c r="M339" s="627"/>
      <c r="N339" s="685"/>
      <c r="O339" s="685"/>
      <c r="P339" s="685"/>
      <c r="Q339" s="685"/>
      <c r="R339" s="685"/>
    </row>
    <row r="340" spans="1:18" s="353" customFormat="1" ht="18.75" customHeight="1">
      <c r="A340" s="86"/>
      <c r="B340" s="153" t="s">
        <v>788</v>
      </c>
      <c r="C340" s="94"/>
      <c r="D340" s="84">
        <f>SUM(D341:D346)</f>
        <v>140000</v>
      </c>
      <c r="E340" s="84"/>
      <c r="F340" s="84">
        <f>SUM(F341:F346)</f>
        <v>90000</v>
      </c>
      <c r="G340" s="84"/>
      <c r="I340" s="632"/>
      <c r="J340" s="632"/>
      <c r="K340" s="632"/>
      <c r="L340" s="632"/>
      <c r="M340" s="632"/>
      <c r="N340" s="703"/>
      <c r="O340" s="703"/>
      <c r="P340" s="703"/>
      <c r="Q340" s="703"/>
      <c r="R340" s="703"/>
    </row>
    <row r="341" spans="1:18" s="353" customFormat="1" ht="18.75" customHeight="1">
      <c r="A341" s="86"/>
      <c r="B341" s="86"/>
      <c r="C341" s="94" t="s">
        <v>165</v>
      </c>
      <c r="D341" s="84"/>
      <c r="E341" s="84"/>
      <c r="F341" s="84">
        <v>20000</v>
      </c>
      <c r="G341" s="84"/>
      <c r="I341" s="632"/>
      <c r="J341" s="632"/>
      <c r="K341" s="632"/>
      <c r="L341" s="632"/>
      <c r="M341" s="632"/>
      <c r="N341" s="703"/>
      <c r="O341" s="703"/>
      <c r="P341" s="703"/>
      <c r="Q341" s="703"/>
      <c r="R341" s="703"/>
    </row>
    <row r="342" spans="1:18" s="353" customFormat="1" ht="18.75" customHeight="1">
      <c r="A342" s="86"/>
      <c r="B342" s="86"/>
      <c r="C342" s="94" t="s">
        <v>749</v>
      </c>
      <c r="D342" s="84"/>
      <c r="E342" s="84"/>
      <c r="F342" s="84">
        <v>28000</v>
      </c>
      <c r="G342" s="84"/>
      <c r="I342" s="632"/>
      <c r="J342" s="632"/>
      <c r="K342" s="632"/>
      <c r="L342" s="632"/>
      <c r="M342" s="632"/>
      <c r="N342" s="703"/>
      <c r="O342" s="703"/>
      <c r="P342" s="703"/>
      <c r="Q342" s="703"/>
      <c r="R342" s="703"/>
    </row>
    <row r="343" spans="1:18" s="353" customFormat="1" ht="18.75" customHeight="1">
      <c r="A343" s="86"/>
      <c r="B343" s="86"/>
      <c r="C343" s="94" t="s">
        <v>599</v>
      </c>
      <c r="D343" s="84"/>
      <c r="E343" s="84"/>
      <c r="F343" s="84">
        <v>15000</v>
      </c>
      <c r="G343" s="84"/>
      <c r="I343" s="632"/>
      <c r="J343" s="632"/>
      <c r="K343" s="632"/>
      <c r="L343" s="632"/>
      <c r="M343" s="632"/>
      <c r="N343" s="703"/>
      <c r="O343" s="703"/>
      <c r="P343" s="703"/>
      <c r="Q343" s="703"/>
      <c r="R343" s="703"/>
    </row>
    <row r="344" spans="1:18" s="353" customFormat="1" ht="18.75" customHeight="1">
      <c r="A344" s="86"/>
      <c r="B344" s="86"/>
      <c r="C344" s="94" t="s">
        <v>751</v>
      </c>
      <c r="D344" s="84"/>
      <c r="E344" s="84"/>
      <c r="F344" s="84">
        <v>15000</v>
      </c>
      <c r="G344" s="84"/>
      <c r="I344" s="632"/>
      <c r="J344" s="632"/>
      <c r="K344" s="632"/>
      <c r="L344" s="632"/>
      <c r="M344" s="632"/>
      <c r="N344" s="703"/>
      <c r="O344" s="703"/>
      <c r="P344" s="703"/>
      <c r="Q344" s="703"/>
      <c r="R344" s="703"/>
    </row>
    <row r="345" spans="1:18" s="353" customFormat="1" ht="18.75" customHeight="1">
      <c r="A345" s="86"/>
      <c r="B345" s="86"/>
      <c r="C345" s="94" t="s">
        <v>610</v>
      </c>
      <c r="D345" s="84">
        <v>8000</v>
      </c>
      <c r="E345" s="84"/>
      <c r="F345" s="84">
        <v>12000</v>
      </c>
      <c r="G345" s="84"/>
      <c r="I345" s="632"/>
      <c r="J345" s="632"/>
      <c r="K345" s="632"/>
      <c r="L345" s="632"/>
      <c r="M345" s="632"/>
      <c r="N345" s="703"/>
      <c r="O345" s="703"/>
      <c r="P345" s="703"/>
      <c r="Q345" s="703"/>
      <c r="R345" s="703"/>
    </row>
    <row r="346" spans="1:18" s="353" customFormat="1" ht="18.75" customHeight="1">
      <c r="A346" s="86"/>
      <c r="B346" s="86"/>
      <c r="C346" s="153" t="s">
        <v>789</v>
      </c>
      <c r="D346" s="84">
        <v>132000</v>
      </c>
      <c r="E346" s="84"/>
      <c r="F346" s="84"/>
      <c r="G346" s="84"/>
      <c r="I346" s="632"/>
      <c r="J346" s="632"/>
      <c r="K346" s="632"/>
      <c r="L346" s="632"/>
      <c r="M346" s="632"/>
      <c r="N346" s="703"/>
      <c r="O346" s="703"/>
      <c r="P346" s="703"/>
      <c r="Q346" s="703"/>
      <c r="R346" s="703"/>
    </row>
    <row r="347" spans="1:18" s="353" customFormat="1" ht="18.75" customHeight="1">
      <c r="A347" s="86"/>
      <c r="B347" s="153" t="s">
        <v>597</v>
      </c>
      <c r="C347" s="153" t="s">
        <v>598</v>
      </c>
      <c r="D347" s="84">
        <v>40000</v>
      </c>
      <c r="E347" s="84"/>
      <c r="F347" s="84"/>
      <c r="G347" s="84"/>
      <c r="I347" s="632"/>
      <c r="J347" s="632"/>
      <c r="K347" s="632"/>
      <c r="L347" s="632"/>
      <c r="M347" s="632"/>
      <c r="N347" s="703"/>
      <c r="O347" s="703"/>
      <c r="P347" s="703"/>
      <c r="Q347" s="703"/>
      <c r="R347" s="703"/>
    </row>
    <row r="348" spans="1:18" s="32" customFormat="1" ht="18.75" customHeight="1">
      <c r="A348" s="79" t="s">
        <v>757</v>
      </c>
      <c r="B348" s="79" t="s">
        <v>758</v>
      </c>
      <c r="C348" s="79"/>
      <c r="D348" s="80">
        <f>SUM(D349:D364)</f>
        <v>55229.92</v>
      </c>
      <c r="E348" s="80"/>
      <c r="F348" s="80"/>
      <c r="G348" s="80"/>
      <c r="I348" s="627"/>
      <c r="J348" s="627"/>
      <c r="K348" s="627"/>
      <c r="L348" s="627"/>
      <c r="M348" s="627"/>
      <c r="N348" s="685"/>
      <c r="O348" s="685"/>
      <c r="P348" s="685"/>
      <c r="Q348" s="685"/>
      <c r="R348" s="685"/>
    </row>
    <row r="349" spans="1:18" s="353" customFormat="1" ht="18.75" customHeight="1">
      <c r="A349" s="86"/>
      <c r="B349" s="86"/>
      <c r="C349" s="153" t="s">
        <v>759</v>
      </c>
      <c r="D349" s="84">
        <v>3022.33</v>
      </c>
      <c r="E349" s="84"/>
      <c r="F349" s="84"/>
      <c r="G349" s="84"/>
      <c r="I349" s="632"/>
      <c r="J349" s="632"/>
      <c r="K349" s="632"/>
      <c r="L349" s="632"/>
      <c r="M349" s="632"/>
      <c r="N349" s="703"/>
      <c r="O349" s="703"/>
      <c r="P349" s="703"/>
      <c r="Q349" s="703"/>
      <c r="R349" s="703"/>
    </row>
    <row r="350" spans="1:18" s="353" customFormat="1" ht="18.75" customHeight="1">
      <c r="A350" s="86"/>
      <c r="B350" s="86"/>
      <c r="C350" s="153" t="s">
        <v>760</v>
      </c>
      <c r="D350" s="84">
        <v>533.34</v>
      </c>
      <c r="E350" s="84"/>
      <c r="F350" s="84"/>
      <c r="G350" s="84"/>
      <c r="I350" s="632"/>
      <c r="J350" s="632"/>
      <c r="K350" s="632"/>
      <c r="L350" s="632"/>
      <c r="M350" s="632"/>
      <c r="N350" s="703"/>
      <c r="O350" s="703"/>
      <c r="P350" s="703"/>
      <c r="Q350" s="703"/>
      <c r="R350" s="703"/>
    </row>
    <row r="351" spans="1:18" s="353" customFormat="1" ht="18.75" customHeight="1">
      <c r="A351" s="86"/>
      <c r="B351" s="86"/>
      <c r="C351" s="153" t="s">
        <v>770</v>
      </c>
      <c r="D351" s="84">
        <v>86.42</v>
      </c>
      <c r="E351" s="84"/>
      <c r="F351" s="84"/>
      <c r="G351" s="84"/>
      <c r="I351" s="632"/>
      <c r="J351" s="632"/>
      <c r="K351" s="632"/>
      <c r="L351" s="632"/>
      <c r="M351" s="632"/>
      <c r="N351" s="703"/>
      <c r="O351" s="703"/>
      <c r="P351" s="703"/>
      <c r="Q351" s="703"/>
      <c r="R351" s="703"/>
    </row>
    <row r="352" spans="1:18" s="353" customFormat="1" ht="18.75" customHeight="1">
      <c r="A352" s="86"/>
      <c r="B352" s="86"/>
      <c r="C352" s="153" t="s">
        <v>773</v>
      </c>
      <c r="D352" s="84">
        <v>15.25</v>
      </c>
      <c r="E352" s="84"/>
      <c r="F352" s="84"/>
      <c r="G352" s="84"/>
      <c r="I352" s="632"/>
      <c r="J352" s="632"/>
      <c r="K352" s="632"/>
      <c r="L352" s="632"/>
      <c r="M352" s="632"/>
      <c r="N352" s="703"/>
      <c r="O352" s="703"/>
      <c r="P352" s="703"/>
      <c r="Q352" s="703"/>
      <c r="R352" s="703"/>
    </row>
    <row r="353" spans="1:18" s="353" customFormat="1" ht="18.75" customHeight="1">
      <c r="A353" s="86"/>
      <c r="B353" s="86"/>
      <c r="C353" s="153" t="s">
        <v>774</v>
      </c>
      <c r="D353" s="84">
        <v>49.84</v>
      </c>
      <c r="E353" s="84"/>
      <c r="F353" s="84"/>
      <c r="G353" s="84"/>
      <c r="I353" s="632"/>
      <c r="J353" s="632"/>
      <c r="K353" s="632"/>
      <c r="L353" s="632"/>
      <c r="M353" s="632"/>
      <c r="N353" s="703"/>
      <c r="O353" s="703"/>
      <c r="P353" s="703"/>
      <c r="Q353" s="703"/>
      <c r="R353" s="703"/>
    </row>
    <row r="354" spans="1:18" s="353" customFormat="1" ht="18.75" customHeight="1">
      <c r="A354" s="86"/>
      <c r="B354" s="86"/>
      <c r="C354" s="153" t="s">
        <v>775</v>
      </c>
      <c r="D354" s="84">
        <v>8.79</v>
      </c>
      <c r="E354" s="84"/>
      <c r="F354" s="84"/>
      <c r="G354" s="84"/>
      <c r="I354" s="632"/>
      <c r="J354" s="632"/>
      <c r="K354" s="632"/>
      <c r="L354" s="632"/>
      <c r="M354" s="632"/>
      <c r="N354" s="703"/>
      <c r="O354" s="703"/>
      <c r="P354" s="703"/>
      <c r="Q354" s="703"/>
      <c r="R354" s="703"/>
    </row>
    <row r="355" spans="1:18" s="353" customFormat="1" ht="18.75" customHeight="1">
      <c r="A355" s="86"/>
      <c r="B355" s="86"/>
      <c r="C355" s="153" t="s">
        <v>776</v>
      </c>
      <c r="D355" s="84">
        <v>3123.32</v>
      </c>
      <c r="E355" s="84"/>
      <c r="F355" s="84"/>
      <c r="G355" s="84"/>
      <c r="I355" s="632"/>
      <c r="J355" s="632"/>
      <c r="K355" s="632"/>
      <c r="L355" s="632"/>
      <c r="M355" s="632"/>
      <c r="N355" s="703"/>
      <c r="O355" s="703"/>
      <c r="P355" s="703"/>
      <c r="Q355" s="703"/>
      <c r="R355" s="703"/>
    </row>
    <row r="356" spans="1:18" s="353" customFormat="1" ht="18.75" customHeight="1">
      <c r="A356" s="86"/>
      <c r="B356" s="86"/>
      <c r="C356" s="153" t="s">
        <v>777</v>
      </c>
      <c r="D356" s="84">
        <v>551.18</v>
      </c>
      <c r="E356" s="84"/>
      <c r="F356" s="84"/>
      <c r="G356" s="84"/>
      <c r="I356" s="632"/>
      <c r="J356" s="632"/>
      <c r="K356" s="632"/>
      <c r="L356" s="632"/>
      <c r="M356" s="632"/>
      <c r="N356" s="703"/>
      <c r="O356" s="703"/>
      <c r="P356" s="703"/>
      <c r="Q356" s="703"/>
      <c r="R356" s="703"/>
    </row>
    <row r="357" spans="1:18" s="353" customFormat="1" ht="18.75" customHeight="1">
      <c r="A357" s="86"/>
      <c r="B357" s="86"/>
      <c r="C357" s="153" t="s">
        <v>763</v>
      </c>
      <c r="D357" s="84">
        <v>3323.41</v>
      </c>
      <c r="E357" s="84"/>
      <c r="F357" s="84"/>
      <c r="G357" s="84"/>
      <c r="I357" s="632"/>
      <c r="J357" s="632"/>
      <c r="K357" s="632"/>
      <c r="L357" s="632"/>
      <c r="M357" s="632"/>
      <c r="N357" s="703"/>
      <c r="O357" s="703"/>
      <c r="P357" s="703"/>
      <c r="Q357" s="703"/>
      <c r="R357" s="703"/>
    </row>
    <row r="358" spans="1:18" s="353" customFormat="1" ht="18.75" customHeight="1">
      <c r="A358" s="86"/>
      <c r="B358" s="86"/>
      <c r="C358" s="153" t="s">
        <v>778</v>
      </c>
      <c r="D358" s="84">
        <v>586.49</v>
      </c>
      <c r="E358" s="84"/>
      <c r="F358" s="84"/>
      <c r="G358" s="84"/>
      <c r="I358" s="632"/>
      <c r="J358" s="632"/>
      <c r="K358" s="632"/>
      <c r="L358" s="632"/>
      <c r="M358" s="632"/>
      <c r="N358" s="703"/>
      <c r="O358" s="703"/>
      <c r="P358" s="703"/>
      <c r="Q358" s="703"/>
      <c r="R358" s="703"/>
    </row>
    <row r="359" spans="1:18" s="353" customFormat="1" ht="18.75" customHeight="1">
      <c r="A359" s="86"/>
      <c r="B359" s="86"/>
      <c r="C359" s="153" t="s">
        <v>779</v>
      </c>
      <c r="D359" s="84">
        <v>1386.56</v>
      </c>
      <c r="E359" s="84"/>
      <c r="F359" s="84"/>
      <c r="G359" s="84"/>
      <c r="I359" s="632"/>
      <c r="J359" s="632"/>
      <c r="K359" s="632"/>
      <c r="L359" s="632"/>
      <c r="M359" s="632"/>
      <c r="N359" s="703"/>
      <c r="O359" s="703"/>
      <c r="P359" s="703"/>
      <c r="Q359" s="703"/>
      <c r="R359" s="703"/>
    </row>
    <row r="360" spans="1:18" s="353" customFormat="1" ht="18.75" customHeight="1">
      <c r="A360" s="86"/>
      <c r="B360" s="86"/>
      <c r="C360" s="153" t="s">
        <v>780</v>
      </c>
      <c r="D360" s="84">
        <v>244.68</v>
      </c>
      <c r="E360" s="84"/>
      <c r="F360" s="84"/>
      <c r="G360" s="84"/>
      <c r="I360" s="632"/>
      <c r="J360" s="632"/>
      <c r="K360" s="632"/>
      <c r="L360" s="632"/>
      <c r="M360" s="632"/>
      <c r="N360" s="703"/>
      <c r="O360" s="703"/>
      <c r="P360" s="703"/>
      <c r="Q360" s="703"/>
      <c r="R360" s="703"/>
    </row>
    <row r="361" spans="1:18" s="353" customFormat="1" ht="18.75" customHeight="1">
      <c r="A361" s="86"/>
      <c r="B361" s="86"/>
      <c r="C361" s="153" t="s">
        <v>761</v>
      </c>
      <c r="D361" s="84">
        <v>31892.26</v>
      </c>
      <c r="E361" s="84"/>
      <c r="F361" s="84"/>
      <c r="G361" s="84"/>
      <c r="I361" s="632"/>
      <c r="J361" s="632"/>
      <c r="K361" s="632"/>
      <c r="L361" s="632"/>
      <c r="M361" s="632"/>
      <c r="N361" s="703"/>
      <c r="O361" s="703"/>
      <c r="P361" s="703"/>
      <c r="Q361" s="703"/>
      <c r="R361" s="703"/>
    </row>
    <row r="362" spans="1:18" s="353" customFormat="1" ht="18.75" customHeight="1">
      <c r="A362" s="86"/>
      <c r="B362" s="86"/>
      <c r="C362" s="153" t="s">
        <v>762</v>
      </c>
      <c r="D362" s="84">
        <v>5628.05</v>
      </c>
      <c r="E362" s="84"/>
      <c r="F362" s="84"/>
      <c r="G362" s="84"/>
      <c r="I362" s="632"/>
      <c r="J362" s="632"/>
      <c r="K362" s="632"/>
      <c r="L362" s="632"/>
      <c r="M362" s="632"/>
      <c r="N362" s="703"/>
      <c r="O362" s="703"/>
      <c r="P362" s="703"/>
      <c r="Q362" s="703"/>
      <c r="R362" s="703"/>
    </row>
    <row r="363" spans="1:18" s="353" customFormat="1" ht="18.75" customHeight="1">
      <c r="A363" s="86"/>
      <c r="B363" s="86"/>
      <c r="C363" s="153" t="s">
        <v>781</v>
      </c>
      <c r="D363" s="84">
        <v>4061.3</v>
      </c>
      <c r="E363" s="84"/>
      <c r="F363" s="84"/>
      <c r="G363" s="84"/>
      <c r="I363" s="632"/>
      <c r="J363" s="632"/>
      <c r="K363" s="632"/>
      <c r="L363" s="632"/>
      <c r="M363" s="632"/>
      <c r="N363" s="703"/>
      <c r="O363" s="703"/>
      <c r="P363" s="703"/>
      <c r="Q363" s="703"/>
      <c r="R363" s="703"/>
    </row>
    <row r="364" spans="1:18" s="353" customFormat="1" ht="18.75" customHeight="1">
      <c r="A364" s="86"/>
      <c r="B364" s="86"/>
      <c r="C364" s="153" t="s">
        <v>782</v>
      </c>
      <c r="D364" s="84">
        <v>716.7</v>
      </c>
      <c r="E364" s="84"/>
      <c r="F364" s="84"/>
      <c r="G364" s="84"/>
      <c r="I364" s="632"/>
      <c r="J364" s="632"/>
      <c r="K364" s="632"/>
      <c r="L364" s="632"/>
      <c r="M364" s="632"/>
      <c r="N364" s="703"/>
      <c r="O364" s="703"/>
      <c r="P364" s="703"/>
      <c r="Q364" s="703"/>
      <c r="R364" s="703"/>
    </row>
    <row r="365" spans="1:18" s="353" customFormat="1" ht="18.75" customHeight="1">
      <c r="A365" s="81" t="s">
        <v>10</v>
      </c>
      <c r="B365" s="79"/>
      <c r="C365" s="79"/>
      <c r="D365" s="391">
        <f>D366+D372+D380+D384+D387</f>
        <v>62021</v>
      </c>
      <c r="E365" s="391"/>
      <c r="F365" s="391">
        <f>F366+F372+F380+F384+F387</f>
        <v>42923</v>
      </c>
      <c r="G365" s="84"/>
      <c r="I365" s="632"/>
      <c r="J365" s="632"/>
      <c r="K365" s="632"/>
      <c r="L365" s="632"/>
      <c r="M365" s="632"/>
      <c r="N365" s="703"/>
      <c r="O365" s="703"/>
      <c r="P365" s="703"/>
      <c r="Q365" s="703"/>
      <c r="R365" s="703"/>
    </row>
    <row r="366" spans="1:18" s="353" customFormat="1" ht="18.75" customHeight="1">
      <c r="A366" s="351"/>
      <c r="B366" s="368" t="s">
        <v>748</v>
      </c>
      <c r="C366" s="153"/>
      <c r="D366" s="615">
        <f>SUM(D367:D371)</f>
        <v>15298</v>
      </c>
      <c r="E366" s="84"/>
      <c r="F366" s="615">
        <f>SUM(F367:F369)</f>
        <v>0</v>
      </c>
      <c r="G366" s="84"/>
      <c r="I366" s="632"/>
      <c r="J366" s="632"/>
      <c r="K366" s="632"/>
      <c r="L366" s="632"/>
      <c r="M366" s="632"/>
      <c r="N366" s="703"/>
      <c r="O366" s="703"/>
      <c r="P366" s="703"/>
      <c r="Q366" s="703"/>
      <c r="R366" s="703"/>
    </row>
    <row r="367" spans="1:18" s="353" customFormat="1" ht="18.75" customHeight="1">
      <c r="A367" s="85"/>
      <c r="B367" s="86"/>
      <c r="C367" s="83" t="s">
        <v>165</v>
      </c>
      <c r="D367" s="615">
        <f>1386+2809+2600</f>
        <v>6795</v>
      </c>
      <c r="E367" s="84"/>
      <c r="F367" s="84"/>
      <c r="G367" s="84"/>
      <c r="I367" s="632"/>
      <c r="J367" s="632"/>
      <c r="K367" s="632"/>
      <c r="L367" s="632"/>
      <c r="M367" s="632"/>
      <c r="N367" s="703"/>
      <c r="O367" s="703"/>
      <c r="P367" s="703"/>
      <c r="Q367" s="703"/>
      <c r="R367" s="703"/>
    </row>
    <row r="368" spans="1:18" s="353" customFormat="1" ht="18.75" customHeight="1">
      <c r="A368" s="85"/>
      <c r="B368" s="86"/>
      <c r="C368" s="83" t="s">
        <v>749</v>
      </c>
      <c r="D368" s="615">
        <f>78+978+1200</f>
        <v>2256</v>
      </c>
      <c r="E368" s="84"/>
      <c r="F368" s="84"/>
      <c r="G368" s="84"/>
      <c r="I368" s="632"/>
      <c r="J368" s="632"/>
      <c r="K368" s="632"/>
      <c r="L368" s="632"/>
      <c r="M368" s="632"/>
      <c r="N368" s="703"/>
      <c r="O368" s="703"/>
      <c r="P368" s="703"/>
      <c r="Q368" s="703"/>
      <c r="R368" s="703"/>
    </row>
    <row r="369" spans="1:18" s="353" customFormat="1" ht="18.75" customHeight="1">
      <c r="A369" s="85"/>
      <c r="B369" s="86"/>
      <c r="C369" s="83" t="s">
        <v>753</v>
      </c>
      <c r="D369" s="615">
        <f>11+237+250</f>
        <v>498</v>
      </c>
      <c r="E369" s="84"/>
      <c r="F369" s="84"/>
      <c r="G369" s="84"/>
      <c r="I369" s="632"/>
      <c r="J369" s="632"/>
      <c r="K369" s="632"/>
      <c r="L369" s="632"/>
      <c r="M369" s="632"/>
      <c r="N369" s="703"/>
      <c r="O369" s="703"/>
      <c r="P369" s="703"/>
      <c r="Q369" s="703"/>
      <c r="R369" s="703"/>
    </row>
    <row r="370" spans="1:18" s="353" customFormat="1" ht="18.75" customHeight="1">
      <c r="A370" s="85"/>
      <c r="B370" s="86"/>
      <c r="C370" s="368" t="s">
        <v>599</v>
      </c>
      <c r="D370" s="84">
        <v>5000</v>
      </c>
      <c r="E370" s="93"/>
      <c r="F370" s="84"/>
      <c r="G370" s="93"/>
      <c r="I370" s="632"/>
      <c r="J370" s="632"/>
      <c r="K370" s="632"/>
      <c r="L370" s="632"/>
      <c r="M370" s="632"/>
      <c r="N370" s="703"/>
      <c r="O370" s="703"/>
      <c r="P370" s="703"/>
      <c r="Q370" s="703"/>
      <c r="R370" s="703"/>
    </row>
    <row r="371" spans="1:18" s="353" customFormat="1" ht="18.75" customHeight="1">
      <c r="A371" s="85"/>
      <c r="B371" s="86"/>
      <c r="C371" s="368" t="s">
        <v>750</v>
      </c>
      <c r="D371" s="84">
        <v>749</v>
      </c>
      <c r="E371" s="93"/>
      <c r="F371" s="84"/>
      <c r="G371" s="93"/>
      <c r="I371" s="632"/>
      <c r="J371" s="632"/>
      <c r="K371" s="632"/>
      <c r="L371" s="632"/>
      <c r="M371" s="632"/>
      <c r="N371" s="703"/>
      <c r="O371" s="703"/>
      <c r="P371" s="703"/>
      <c r="Q371" s="703"/>
      <c r="R371" s="703"/>
    </row>
    <row r="372" spans="1:18" s="353" customFormat="1" ht="18.75" customHeight="1">
      <c r="A372" s="85"/>
      <c r="B372" s="153" t="s">
        <v>653</v>
      </c>
      <c r="C372" s="368"/>
      <c r="D372" s="84">
        <f>SUM(D373:D379)</f>
        <v>39500</v>
      </c>
      <c r="E372" s="93"/>
      <c r="F372" s="84">
        <f>SUM(F373:F379)</f>
        <v>2000</v>
      </c>
      <c r="G372" s="93"/>
      <c r="I372" s="632"/>
      <c r="J372" s="632"/>
      <c r="K372" s="632"/>
      <c r="L372" s="632"/>
      <c r="M372" s="632"/>
      <c r="N372" s="703"/>
      <c r="O372" s="703"/>
      <c r="P372" s="703"/>
      <c r="Q372" s="703"/>
      <c r="R372" s="703"/>
    </row>
    <row r="373" spans="1:18" s="353" customFormat="1" ht="18.75" customHeight="1">
      <c r="A373" s="85"/>
      <c r="B373" s="86"/>
      <c r="C373" s="368" t="s">
        <v>316</v>
      </c>
      <c r="D373" s="84"/>
      <c r="E373" s="93"/>
      <c r="F373" s="84">
        <v>2000</v>
      </c>
      <c r="G373" s="93"/>
      <c r="I373" s="632"/>
      <c r="J373" s="632"/>
      <c r="K373" s="632"/>
      <c r="L373" s="632"/>
      <c r="M373" s="632"/>
      <c r="N373" s="703"/>
      <c r="O373" s="703"/>
      <c r="P373" s="703"/>
      <c r="Q373" s="703"/>
      <c r="R373" s="703"/>
    </row>
    <row r="374" spans="1:18" s="353" customFormat="1" ht="18.75" customHeight="1">
      <c r="A374" s="85"/>
      <c r="B374" s="86"/>
      <c r="C374" s="368" t="s">
        <v>165</v>
      </c>
      <c r="D374" s="84">
        <v>20000</v>
      </c>
      <c r="E374" s="93"/>
      <c r="F374" s="84"/>
      <c r="G374" s="93"/>
      <c r="I374" s="632"/>
      <c r="J374" s="632"/>
      <c r="K374" s="632"/>
      <c r="L374" s="632"/>
      <c r="M374" s="632"/>
      <c r="N374" s="703"/>
      <c r="O374" s="703"/>
      <c r="P374" s="703"/>
      <c r="Q374" s="703"/>
      <c r="R374" s="703"/>
    </row>
    <row r="375" spans="1:18" s="353" customFormat="1" ht="18.75" customHeight="1">
      <c r="A375" s="85"/>
      <c r="B375" s="86"/>
      <c r="C375" s="368" t="s">
        <v>749</v>
      </c>
      <c r="D375" s="84">
        <v>8500</v>
      </c>
      <c r="E375" s="93"/>
      <c r="F375" s="84"/>
      <c r="G375" s="93"/>
      <c r="I375" s="632"/>
      <c r="J375" s="632"/>
      <c r="K375" s="632"/>
      <c r="L375" s="632"/>
      <c r="M375" s="632"/>
      <c r="N375" s="703"/>
      <c r="O375" s="703"/>
      <c r="P375" s="703"/>
      <c r="Q375" s="703"/>
      <c r="R375" s="703"/>
    </row>
    <row r="376" spans="1:18" s="353" customFormat="1" ht="18.75" customHeight="1">
      <c r="A376" s="85"/>
      <c r="B376" s="86"/>
      <c r="C376" s="368" t="s">
        <v>753</v>
      </c>
      <c r="D376" s="84">
        <v>4300</v>
      </c>
      <c r="E376" s="93"/>
      <c r="F376" s="84"/>
      <c r="G376" s="93"/>
      <c r="I376" s="632"/>
      <c r="J376" s="632"/>
      <c r="K376" s="632"/>
      <c r="L376" s="632"/>
      <c r="M376" s="632"/>
      <c r="N376" s="703"/>
      <c r="O376" s="703"/>
      <c r="P376" s="703"/>
      <c r="Q376" s="703"/>
      <c r="R376" s="703"/>
    </row>
    <row r="377" spans="1:18" s="353" customFormat="1" ht="18.75" customHeight="1">
      <c r="A377" s="85"/>
      <c r="B377" s="86"/>
      <c r="C377" s="368" t="s">
        <v>599</v>
      </c>
      <c r="D377" s="84">
        <v>5000</v>
      </c>
      <c r="E377" s="93"/>
      <c r="F377" s="84"/>
      <c r="G377" s="93"/>
      <c r="I377" s="632"/>
      <c r="J377" s="632"/>
      <c r="K377" s="632"/>
      <c r="L377" s="632"/>
      <c r="M377" s="632"/>
      <c r="N377" s="703"/>
      <c r="O377" s="703"/>
      <c r="P377" s="703"/>
      <c r="Q377" s="703"/>
      <c r="R377" s="703"/>
    </row>
    <row r="378" spans="1:18" s="353" customFormat="1" ht="18.75" customHeight="1">
      <c r="A378" s="85"/>
      <c r="B378" s="86"/>
      <c r="C378" s="368" t="s">
        <v>755</v>
      </c>
      <c r="D378" s="84">
        <v>1450</v>
      </c>
      <c r="E378" s="93"/>
      <c r="F378" s="84"/>
      <c r="G378" s="93"/>
      <c r="I378" s="632"/>
      <c r="J378" s="632"/>
      <c r="K378" s="632"/>
      <c r="L378" s="632"/>
      <c r="M378" s="632"/>
      <c r="N378" s="703"/>
      <c r="O378" s="703"/>
      <c r="P378" s="703"/>
      <c r="Q378" s="703"/>
      <c r="R378" s="703"/>
    </row>
    <row r="379" spans="1:18" s="353" customFormat="1" ht="18.75" customHeight="1">
      <c r="A379" s="85"/>
      <c r="B379" s="86"/>
      <c r="C379" s="368" t="s">
        <v>588</v>
      </c>
      <c r="D379" s="84">
        <v>250</v>
      </c>
      <c r="E379" s="93"/>
      <c r="F379" s="84"/>
      <c r="G379" s="93"/>
      <c r="I379" s="632"/>
      <c r="J379" s="632"/>
      <c r="K379" s="632"/>
      <c r="L379" s="632"/>
      <c r="M379" s="632"/>
      <c r="N379" s="703"/>
      <c r="O379" s="703"/>
      <c r="P379" s="703"/>
      <c r="Q379" s="703"/>
      <c r="R379" s="703"/>
    </row>
    <row r="380" spans="1:18" s="353" customFormat="1" ht="17.25" customHeight="1">
      <c r="A380" s="85"/>
      <c r="B380" s="153" t="s">
        <v>587</v>
      </c>
      <c r="C380" s="368"/>
      <c r="D380" s="84">
        <f>SUM(D381:D383)</f>
        <v>6900</v>
      </c>
      <c r="E380" s="93"/>
      <c r="F380" s="84"/>
      <c r="G380" s="93"/>
      <c r="I380" s="632"/>
      <c r="J380" s="632"/>
      <c r="K380" s="632"/>
      <c r="L380" s="632"/>
      <c r="M380" s="632"/>
      <c r="N380" s="703"/>
      <c r="O380" s="703"/>
      <c r="P380" s="703"/>
      <c r="Q380" s="703"/>
      <c r="R380" s="703"/>
    </row>
    <row r="381" spans="1:18" s="353" customFormat="1" ht="18.75" customHeight="1">
      <c r="A381" s="85"/>
      <c r="B381" s="86"/>
      <c r="C381" s="368" t="s">
        <v>165</v>
      </c>
      <c r="D381" s="84">
        <v>3600</v>
      </c>
      <c r="E381" s="93"/>
      <c r="F381" s="84"/>
      <c r="G381" s="93"/>
      <c r="I381" s="632"/>
      <c r="J381" s="632"/>
      <c r="K381" s="632"/>
      <c r="L381" s="632"/>
      <c r="M381" s="632"/>
      <c r="N381" s="703"/>
      <c r="O381" s="703"/>
      <c r="P381" s="703"/>
      <c r="Q381" s="703"/>
      <c r="R381" s="703"/>
    </row>
    <row r="382" spans="1:18" s="353" customFormat="1" ht="18.75" customHeight="1">
      <c r="A382" s="85"/>
      <c r="B382" s="86"/>
      <c r="C382" s="368" t="s">
        <v>749</v>
      </c>
      <c r="D382" s="84">
        <v>1500</v>
      </c>
      <c r="E382" s="93"/>
      <c r="F382" s="84"/>
      <c r="G382" s="93"/>
      <c r="I382" s="632"/>
      <c r="J382" s="632"/>
      <c r="K382" s="632"/>
      <c r="L382" s="632"/>
      <c r="M382" s="632"/>
      <c r="N382" s="703"/>
      <c r="O382" s="703"/>
      <c r="P382" s="703"/>
      <c r="Q382" s="703"/>
      <c r="R382" s="703"/>
    </row>
    <row r="383" spans="1:18" s="353" customFormat="1" ht="18.75" customHeight="1">
      <c r="A383" s="85"/>
      <c r="B383" s="86"/>
      <c r="C383" s="368" t="s">
        <v>753</v>
      </c>
      <c r="D383" s="84">
        <v>1800</v>
      </c>
      <c r="E383" s="93"/>
      <c r="F383" s="84"/>
      <c r="G383" s="93"/>
      <c r="I383" s="632"/>
      <c r="J383" s="632"/>
      <c r="K383" s="632"/>
      <c r="L383" s="632"/>
      <c r="M383" s="632"/>
      <c r="N383" s="703"/>
      <c r="O383" s="703"/>
      <c r="P383" s="703"/>
      <c r="Q383" s="703"/>
      <c r="R383" s="703"/>
    </row>
    <row r="384" spans="1:18" s="353" customFormat="1" ht="18.75" customHeight="1">
      <c r="A384" s="85"/>
      <c r="B384" s="153" t="s">
        <v>318</v>
      </c>
      <c r="C384" s="368"/>
      <c r="D384" s="84"/>
      <c r="E384" s="93"/>
      <c r="F384" s="84">
        <f>SUM(F385:F386)</f>
        <v>40600</v>
      </c>
      <c r="G384" s="93"/>
      <c r="I384" s="632"/>
      <c r="J384" s="632"/>
      <c r="K384" s="632"/>
      <c r="L384" s="632"/>
      <c r="M384" s="632"/>
      <c r="N384" s="703"/>
      <c r="O384" s="703"/>
      <c r="P384" s="703"/>
      <c r="Q384" s="703"/>
      <c r="R384" s="703"/>
    </row>
    <row r="385" spans="1:18" s="353" customFormat="1" ht="18.75" customHeight="1">
      <c r="A385" s="85"/>
      <c r="B385" s="86"/>
      <c r="C385" s="368" t="s">
        <v>165</v>
      </c>
      <c r="D385" s="84"/>
      <c r="E385" s="93"/>
      <c r="F385" s="84">
        <v>22600</v>
      </c>
      <c r="G385" s="93"/>
      <c r="I385" s="632"/>
      <c r="J385" s="632"/>
      <c r="K385" s="632"/>
      <c r="L385" s="632"/>
      <c r="M385" s="632"/>
      <c r="N385" s="703"/>
      <c r="O385" s="703"/>
      <c r="P385" s="703"/>
      <c r="Q385" s="703"/>
      <c r="R385" s="703"/>
    </row>
    <row r="386" spans="1:18" s="353" customFormat="1" ht="18.75" customHeight="1">
      <c r="A386" s="85"/>
      <c r="B386" s="86"/>
      <c r="C386" s="368" t="s">
        <v>751</v>
      </c>
      <c r="D386" s="84"/>
      <c r="E386" s="93"/>
      <c r="F386" s="84">
        <v>18000</v>
      </c>
      <c r="G386" s="93"/>
      <c r="I386" s="632"/>
      <c r="J386" s="632"/>
      <c r="K386" s="632"/>
      <c r="L386" s="632"/>
      <c r="M386" s="632"/>
      <c r="N386" s="703"/>
      <c r="O386" s="703"/>
      <c r="P386" s="703"/>
      <c r="Q386" s="703"/>
      <c r="R386" s="703"/>
    </row>
    <row r="387" spans="1:18" s="353" customFormat="1" ht="18.75" customHeight="1">
      <c r="A387" s="85"/>
      <c r="B387" s="153" t="s">
        <v>589</v>
      </c>
      <c r="C387" s="368"/>
      <c r="D387" s="84">
        <f>SUM(D388:D389)</f>
        <v>323</v>
      </c>
      <c r="E387" s="93"/>
      <c r="F387" s="84">
        <f>SUM(F388:F389)</f>
        <v>323</v>
      </c>
      <c r="G387" s="93"/>
      <c r="I387" s="632"/>
      <c r="J387" s="632"/>
      <c r="K387" s="632"/>
      <c r="L387" s="632"/>
      <c r="M387" s="632"/>
      <c r="N387" s="703"/>
      <c r="O387" s="703"/>
      <c r="P387" s="703"/>
      <c r="Q387" s="703"/>
      <c r="R387" s="703"/>
    </row>
    <row r="388" spans="1:18" s="353" customFormat="1" ht="18.75" customHeight="1">
      <c r="A388" s="85"/>
      <c r="B388" s="86"/>
      <c r="C388" s="368" t="s">
        <v>9</v>
      </c>
      <c r="D388" s="84">
        <v>323</v>
      </c>
      <c r="E388" s="93"/>
      <c r="F388" s="84"/>
      <c r="G388" s="93"/>
      <c r="I388" s="632"/>
      <c r="J388" s="632"/>
      <c r="K388" s="632"/>
      <c r="L388" s="632"/>
      <c r="M388" s="632"/>
      <c r="N388" s="703"/>
      <c r="O388" s="703"/>
      <c r="P388" s="703"/>
      <c r="Q388" s="703"/>
      <c r="R388" s="703"/>
    </row>
    <row r="389" spans="1:18" s="353" customFormat="1" ht="18.75" customHeight="1">
      <c r="A389" s="85"/>
      <c r="B389" s="86"/>
      <c r="C389" s="368" t="s">
        <v>610</v>
      </c>
      <c r="D389" s="84"/>
      <c r="E389" s="93"/>
      <c r="F389" s="84">
        <v>323</v>
      </c>
      <c r="G389" s="93"/>
      <c r="I389" s="632"/>
      <c r="J389" s="632"/>
      <c r="K389" s="632"/>
      <c r="L389" s="632"/>
      <c r="M389" s="632"/>
      <c r="N389" s="703"/>
      <c r="O389" s="703"/>
      <c r="P389" s="703"/>
      <c r="Q389" s="703"/>
      <c r="R389" s="703"/>
    </row>
    <row r="390" spans="1:23" s="3" customFormat="1" ht="19.5" customHeight="1">
      <c r="A390" s="619" t="s">
        <v>718</v>
      </c>
      <c r="B390" s="118"/>
      <c r="C390" s="83"/>
      <c r="D390" s="31">
        <f>D288+D289+D338+D339+D348+D365</f>
        <v>618884.92</v>
      </c>
      <c r="E390" s="31">
        <f>E288+E289+E338+E339+E348+E365</f>
        <v>0</v>
      </c>
      <c r="F390" s="31">
        <f>F288+F289+F338+F339+F348+F365</f>
        <v>436880</v>
      </c>
      <c r="G390" s="31">
        <f>G288+G289+G338+G339+G348+G365</f>
        <v>0</v>
      </c>
      <c r="H390" s="20"/>
      <c r="I390" s="701"/>
      <c r="J390" s="626"/>
      <c r="K390" s="626"/>
      <c r="L390" s="702"/>
      <c r="M390" s="702"/>
      <c r="N390" s="27"/>
      <c r="O390" s="27"/>
      <c r="P390" s="27"/>
      <c r="Q390" s="27"/>
      <c r="R390" s="27"/>
      <c r="S390" s="25"/>
      <c r="T390" s="25"/>
      <c r="U390" s="25"/>
      <c r="V390" s="25"/>
      <c r="W390" s="25"/>
    </row>
    <row r="391" spans="1:23" s="3" customFormat="1" ht="21.75" customHeight="1">
      <c r="A391" s="120"/>
      <c r="B391" s="121"/>
      <c r="C391" s="121"/>
      <c r="D391" s="27"/>
      <c r="E391" s="27"/>
      <c r="F391" s="27"/>
      <c r="G391" s="27"/>
      <c r="H391" s="20"/>
      <c r="I391" s="701"/>
      <c r="J391" s="626"/>
      <c r="K391" s="626"/>
      <c r="L391" s="702"/>
      <c r="M391" s="702"/>
      <c r="N391" s="27"/>
      <c r="O391" s="27"/>
      <c r="P391" s="27"/>
      <c r="Q391" s="27"/>
      <c r="R391" s="27"/>
      <c r="S391" s="25"/>
      <c r="T391" s="25"/>
      <c r="U391" s="25"/>
      <c r="V391" s="25"/>
      <c r="W391" s="25"/>
    </row>
    <row r="392" spans="1:23" s="3" customFormat="1" ht="21.75" customHeight="1">
      <c r="A392" s="120"/>
      <c r="B392" s="121"/>
      <c r="C392" s="121"/>
      <c r="D392" s="27"/>
      <c r="E392" s="27"/>
      <c r="F392" s="27"/>
      <c r="G392" s="27"/>
      <c r="H392" s="20"/>
      <c r="I392" s="701"/>
      <c r="J392" s="626"/>
      <c r="K392" s="626"/>
      <c r="L392" s="702"/>
      <c r="M392" s="702"/>
      <c r="N392" s="27"/>
      <c r="O392" s="27"/>
      <c r="P392" s="27"/>
      <c r="Q392" s="27"/>
      <c r="R392" s="27"/>
      <c r="S392" s="25"/>
      <c r="T392" s="25"/>
      <c r="U392" s="25"/>
      <c r="V392" s="25"/>
      <c r="W392" s="25"/>
    </row>
    <row r="393" spans="1:18" s="32" customFormat="1" ht="20.25" customHeight="1">
      <c r="A393" s="130" t="s">
        <v>430</v>
      </c>
      <c r="B393" s="97"/>
      <c r="C393" s="98"/>
      <c r="D393" s="16"/>
      <c r="E393" s="16"/>
      <c r="F393" s="27"/>
      <c r="G393" s="27"/>
      <c r="H393" s="20"/>
      <c r="I393" s="627"/>
      <c r="J393" s="627"/>
      <c r="K393" s="627"/>
      <c r="L393" s="627"/>
      <c r="M393" s="627"/>
      <c r="N393" s="685"/>
      <c r="O393" s="685"/>
      <c r="P393" s="685"/>
      <c r="Q393" s="685"/>
      <c r="R393" s="685"/>
    </row>
    <row r="394" spans="1:18" s="32" customFormat="1" ht="20.25" customHeight="1">
      <c r="A394" s="131" t="s">
        <v>452</v>
      </c>
      <c r="B394" s="97"/>
      <c r="C394" s="132"/>
      <c r="D394" s="22"/>
      <c r="E394" s="16"/>
      <c r="F394" s="27"/>
      <c r="G394" s="27"/>
      <c r="H394" s="20"/>
      <c r="I394" s="627"/>
      <c r="J394" s="627"/>
      <c r="K394" s="627"/>
      <c r="L394" s="627"/>
      <c r="M394" s="627"/>
      <c r="N394" s="685"/>
      <c r="O394" s="685"/>
      <c r="P394" s="685"/>
      <c r="Q394" s="685"/>
      <c r="R394" s="685"/>
    </row>
    <row r="395" spans="1:18" s="32" customFormat="1" ht="12.75" customHeight="1">
      <c r="A395" s="131"/>
      <c r="B395" s="97"/>
      <c r="C395" s="132"/>
      <c r="D395" s="22"/>
      <c r="E395" s="16"/>
      <c r="F395" s="27"/>
      <c r="G395" s="27"/>
      <c r="H395" s="20"/>
      <c r="I395" s="627"/>
      <c r="J395" s="627"/>
      <c r="K395" s="627"/>
      <c r="L395" s="627"/>
      <c r="M395" s="627"/>
      <c r="N395" s="685"/>
      <c r="O395" s="685"/>
      <c r="P395" s="685"/>
      <c r="Q395" s="685"/>
      <c r="R395" s="685"/>
    </row>
    <row r="396" spans="1:18" s="32" customFormat="1" ht="12.75" customHeight="1">
      <c r="A396" s="135"/>
      <c r="B396" s="121"/>
      <c r="C396" s="121"/>
      <c r="D396" s="34"/>
      <c r="E396" s="34"/>
      <c r="F396" s="34"/>
      <c r="G396" s="27"/>
      <c r="H396" s="36"/>
      <c r="I396" s="627"/>
      <c r="J396" s="627"/>
      <c r="K396" s="627"/>
      <c r="L396" s="627"/>
      <c r="M396" s="627"/>
      <c r="N396" s="685"/>
      <c r="O396" s="685"/>
      <c r="P396" s="685"/>
      <c r="Q396" s="685"/>
      <c r="R396" s="685"/>
    </row>
    <row r="397" spans="1:18" s="32" customFormat="1" ht="20.25" customHeight="1">
      <c r="A397" s="133" t="s">
        <v>809</v>
      </c>
      <c r="B397" s="134"/>
      <c r="C397" s="121"/>
      <c r="D397" s="34"/>
      <c r="E397" s="34"/>
      <c r="F397" s="34"/>
      <c r="G397" s="34"/>
      <c r="H397" s="35"/>
      <c r="I397" s="627"/>
      <c r="J397" s="627"/>
      <c r="K397" s="627"/>
      <c r="L397" s="627"/>
      <c r="M397" s="627"/>
      <c r="N397" s="685"/>
      <c r="O397" s="685"/>
      <c r="P397" s="685"/>
      <c r="Q397" s="685"/>
      <c r="R397" s="685"/>
    </row>
    <row r="398" spans="1:18" s="32" customFormat="1" ht="15.75" customHeight="1">
      <c r="A398" s="133"/>
      <c r="B398" s="134"/>
      <c r="C398" s="121"/>
      <c r="D398" s="34"/>
      <c r="E398" s="34"/>
      <c r="F398" s="34"/>
      <c r="G398" s="34"/>
      <c r="H398" s="35"/>
      <c r="I398" s="627"/>
      <c r="J398" s="627"/>
      <c r="K398" s="627"/>
      <c r="L398" s="627"/>
      <c r="M398" s="627"/>
      <c r="N398" s="685"/>
      <c r="O398" s="685"/>
      <c r="P398" s="685"/>
      <c r="Q398" s="685"/>
      <c r="R398" s="685"/>
    </row>
    <row r="399" spans="1:18" s="32" customFormat="1" ht="20.25" customHeight="1">
      <c r="A399" s="133" t="s">
        <v>438</v>
      </c>
      <c r="B399" s="134"/>
      <c r="C399" s="136"/>
      <c r="D399" s="34"/>
      <c r="E399" s="34"/>
      <c r="F399" s="34"/>
      <c r="G399" s="34"/>
      <c r="H399" s="36">
        <f>H401</f>
        <v>5230</v>
      </c>
      <c r="I399" s="627"/>
      <c r="J399" s="627"/>
      <c r="K399" s="627"/>
      <c r="L399" s="627"/>
      <c r="M399" s="627"/>
      <c r="N399" s="685"/>
      <c r="O399" s="685"/>
      <c r="P399" s="685"/>
      <c r="Q399" s="685"/>
      <c r="R399" s="685"/>
    </row>
    <row r="400" spans="1:18" s="32" customFormat="1" ht="15" customHeight="1">
      <c r="A400" s="50" t="s">
        <v>711</v>
      </c>
      <c r="B400" s="137"/>
      <c r="C400" s="138"/>
      <c r="D400" s="22"/>
      <c r="E400" s="16"/>
      <c r="F400" s="27"/>
      <c r="G400" s="34"/>
      <c r="H400" s="25"/>
      <c r="I400" s="627"/>
      <c r="J400" s="627"/>
      <c r="K400" s="627"/>
      <c r="L400" s="627"/>
      <c r="M400" s="627"/>
      <c r="N400" s="685"/>
      <c r="O400" s="685"/>
      <c r="P400" s="685"/>
      <c r="Q400" s="685"/>
      <c r="R400" s="685"/>
    </row>
    <row r="401" spans="1:18" s="32" customFormat="1" ht="15" customHeight="1">
      <c r="A401" s="100" t="s">
        <v>439</v>
      </c>
      <c r="B401" s="639"/>
      <c r="C401" s="89"/>
      <c r="D401" s="640"/>
      <c r="E401" s="15"/>
      <c r="F401" s="27"/>
      <c r="G401" s="34"/>
      <c r="H401" s="25">
        <f>H404</f>
        <v>5230</v>
      </c>
      <c r="I401" s="627"/>
      <c r="J401" s="627"/>
      <c r="K401" s="627"/>
      <c r="L401" s="627"/>
      <c r="M401" s="627"/>
      <c r="N401" s="685"/>
      <c r="O401" s="685"/>
      <c r="P401" s="685"/>
      <c r="Q401" s="685"/>
      <c r="R401" s="685"/>
    </row>
    <row r="402" spans="1:18" s="32" customFormat="1" ht="15" customHeight="1">
      <c r="A402" s="114" t="s">
        <v>711</v>
      </c>
      <c r="B402" s="134"/>
      <c r="C402" s="121"/>
      <c r="D402" s="22"/>
      <c r="E402" s="16"/>
      <c r="F402" s="27"/>
      <c r="G402" s="34"/>
      <c r="H402" s="25"/>
      <c r="I402" s="627"/>
      <c r="J402" s="627"/>
      <c r="K402" s="627"/>
      <c r="L402" s="627"/>
      <c r="M402" s="627"/>
      <c r="N402" s="685"/>
      <c r="O402" s="685"/>
      <c r="P402" s="685"/>
      <c r="Q402" s="685"/>
      <c r="R402" s="685"/>
    </row>
    <row r="403" spans="1:18" s="32" customFormat="1" ht="15" customHeight="1">
      <c r="A403" s="114"/>
      <c r="B403" s="134" t="s">
        <v>440</v>
      </c>
      <c r="C403" s="121"/>
      <c r="D403" s="22"/>
      <c r="E403" s="16"/>
      <c r="F403" s="27"/>
      <c r="G403" s="34"/>
      <c r="H403" s="25"/>
      <c r="I403" s="627"/>
      <c r="J403" s="627"/>
      <c r="K403" s="627"/>
      <c r="L403" s="627"/>
      <c r="M403" s="627"/>
      <c r="N403" s="685"/>
      <c r="O403" s="685"/>
      <c r="P403" s="685"/>
      <c r="Q403" s="685"/>
      <c r="R403" s="685"/>
    </row>
    <row r="404" spans="1:18" s="32" customFormat="1" ht="15" customHeight="1">
      <c r="A404" s="114"/>
      <c r="B404" s="134" t="s">
        <v>441</v>
      </c>
      <c r="C404" s="121"/>
      <c r="D404" s="22"/>
      <c r="E404" s="16"/>
      <c r="F404" s="27"/>
      <c r="G404" s="34"/>
      <c r="H404" s="35">
        <v>5230</v>
      </c>
      <c r="I404" s="627"/>
      <c r="J404" s="627"/>
      <c r="K404" s="627"/>
      <c r="L404" s="627"/>
      <c r="M404" s="627"/>
      <c r="N404" s="685"/>
      <c r="O404" s="685"/>
      <c r="P404" s="685"/>
      <c r="Q404" s="685"/>
      <c r="R404" s="685"/>
    </row>
    <row r="405" spans="1:18" s="32" customFormat="1" ht="15" customHeight="1">
      <c r="A405" s="114"/>
      <c r="B405" s="134"/>
      <c r="C405" s="121"/>
      <c r="D405" s="22"/>
      <c r="E405" s="16"/>
      <c r="F405" s="27"/>
      <c r="G405" s="34"/>
      <c r="H405" s="25"/>
      <c r="I405" s="627"/>
      <c r="J405" s="627"/>
      <c r="K405" s="627"/>
      <c r="L405" s="627"/>
      <c r="M405" s="627"/>
      <c r="N405" s="685"/>
      <c r="O405" s="685"/>
      <c r="P405" s="685"/>
      <c r="Q405" s="685"/>
      <c r="R405" s="685"/>
    </row>
    <row r="406" spans="1:18" s="32" customFormat="1" ht="15.75" customHeight="1">
      <c r="A406" s="133"/>
      <c r="B406" s="134"/>
      <c r="C406" s="121"/>
      <c r="D406" s="34"/>
      <c r="E406" s="34"/>
      <c r="F406" s="34"/>
      <c r="G406" s="34"/>
      <c r="H406" s="35"/>
      <c r="I406" s="627"/>
      <c r="J406" s="627"/>
      <c r="K406" s="627"/>
      <c r="L406" s="627"/>
      <c r="M406" s="627"/>
      <c r="N406" s="685"/>
      <c r="O406" s="685"/>
      <c r="P406" s="685"/>
      <c r="Q406" s="685"/>
      <c r="R406" s="685"/>
    </row>
    <row r="407" spans="1:18" s="32" customFormat="1" ht="20.25" customHeight="1">
      <c r="A407" s="133" t="s">
        <v>722</v>
      </c>
      <c r="B407" s="134"/>
      <c r="C407" s="136"/>
      <c r="D407" s="34"/>
      <c r="E407" s="34"/>
      <c r="F407" s="34"/>
      <c r="G407" s="34"/>
      <c r="H407" s="36">
        <f>H409+H420</f>
        <v>42800</v>
      </c>
      <c r="I407" s="627"/>
      <c r="J407" s="627"/>
      <c r="K407" s="627"/>
      <c r="L407" s="627"/>
      <c r="M407" s="627"/>
      <c r="N407" s="685"/>
      <c r="O407" s="685"/>
      <c r="P407" s="685"/>
      <c r="Q407" s="685"/>
      <c r="R407" s="685"/>
    </row>
    <row r="408" spans="1:18" s="32" customFormat="1" ht="15" customHeight="1">
      <c r="A408" s="50" t="s">
        <v>711</v>
      </c>
      <c r="B408" s="137"/>
      <c r="C408" s="138"/>
      <c r="D408" s="22"/>
      <c r="E408" s="16"/>
      <c r="F408" s="27"/>
      <c r="G408" s="34"/>
      <c r="H408" s="25"/>
      <c r="I408" s="627"/>
      <c r="J408" s="627"/>
      <c r="K408" s="627"/>
      <c r="L408" s="627"/>
      <c r="M408" s="627"/>
      <c r="N408" s="685"/>
      <c r="O408" s="685"/>
      <c r="P408" s="685"/>
      <c r="Q408" s="685"/>
      <c r="R408" s="685"/>
    </row>
    <row r="409" spans="1:18" s="32" customFormat="1" ht="15" customHeight="1">
      <c r="A409" s="100" t="s">
        <v>444</v>
      </c>
      <c r="B409" s="639"/>
      <c r="C409" s="89"/>
      <c r="D409" s="640"/>
      <c r="E409" s="15"/>
      <c r="F409" s="27"/>
      <c r="G409" s="34"/>
      <c r="H409" s="25">
        <f>H411+H414</f>
        <v>30800</v>
      </c>
      <c r="I409" s="627"/>
      <c r="J409" s="627"/>
      <c r="K409" s="627"/>
      <c r="L409" s="627"/>
      <c r="M409" s="627"/>
      <c r="N409" s="685"/>
      <c r="O409" s="685"/>
      <c r="P409" s="685"/>
      <c r="Q409" s="685"/>
      <c r="R409" s="685"/>
    </row>
    <row r="410" spans="1:18" s="32" customFormat="1" ht="15" customHeight="1">
      <c r="A410" s="114" t="s">
        <v>711</v>
      </c>
      <c r="B410" s="134"/>
      <c r="C410" s="121"/>
      <c r="D410" s="22"/>
      <c r="E410" s="16"/>
      <c r="F410" s="27"/>
      <c r="G410" s="34"/>
      <c r="H410" s="25"/>
      <c r="I410" s="627"/>
      <c r="J410" s="627"/>
      <c r="K410" s="627"/>
      <c r="L410" s="627"/>
      <c r="M410" s="627"/>
      <c r="N410" s="685"/>
      <c r="O410" s="685"/>
      <c r="P410" s="685"/>
      <c r="Q410" s="685"/>
      <c r="R410" s="685"/>
    </row>
    <row r="411" spans="1:18" s="32" customFormat="1" ht="19.5" customHeight="1">
      <c r="A411" s="114"/>
      <c r="B411" s="100" t="s">
        <v>442</v>
      </c>
      <c r="C411" s="121"/>
      <c r="D411" s="22"/>
      <c r="E411" s="16"/>
      <c r="F411" s="27"/>
      <c r="G411" s="34"/>
      <c r="H411" s="25">
        <f>H412</f>
        <v>10600</v>
      </c>
      <c r="I411" s="627"/>
      <c r="J411" s="627"/>
      <c r="K411" s="627"/>
      <c r="L411" s="627"/>
      <c r="M411" s="627"/>
      <c r="N411" s="685"/>
      <c r="O411" s="685"/>
      <c r="P411" s="685"/>
      <c r="Q411" s="685"/>
      <c r="R411" s="685"/>
    </row>
    <row r="412" spans="1:18" s="353" customFormat="1" ht="15" customHeight="1">
      <c r="A412" s="114"/>
      <c r="B412" s="50" t="s">
        <v>445</v>
      </c>
      <c r="C412" s="121"/>
      <c r="D412" s="22"/>
      <c r="E412" s="16"/>
      <c r="F412" s="34"/>
      <c r="G412" s="34"/>
      <c r="H412" s="35">
        <v>10600</v>
      </c>
      <c r="I412" s="632"/>
      <c r="J412" s="632"/>
      <c r="K412" s="632"/>
      <c r="L412" s="632"/>
      <c r="M412" s="632"/>
      <c r="N412" s="703"/>
      <c r="O412" s="703"/>
      <c r="P412" s="703"/>
      <c r="Q412" s="703"/>
      <c r="R412" s="703"/>
    </row>
    <row r="413" spans="1:18" s="32" customFormat="1" ht="15" customHeight="1">
      <c r="A413" s="114"/>
      <c r="B413" s="134"/>
      <c r="C413" s="121"/>
      <c r="D413" s="22"/>
      <c r="E413" s="16"/>
      <c r="F413" s="27"/>
      <c r="G413" s="34"/>
      <c r="H413" s="25"/>
      <c r="I413" s="627"/>
      <c r="J413" s="627"/>
      <c r="K413" s="627"/>
      <c r="L413" s="627"/>
      <c r="M413" s="627"/>
      <c r="N413" s="685"/>
      <c r="O413" s="685"/>
      <c r="P413" s="685"/>
      <c r="Q413" s="685"/>
      <c r="R413" s="685"/>
    </row>
    <row r="414" spans="1:18" s="32" customFormat="1" ht="15.75" customHeight="1">
      <c r="A414" s="114"/>
      <c r="B414" s="100" t="s">
        <v>443</v>
      </c>
      <c r="C414" s="121"/>
      <c r="D414" s="22"/>
      <c r="E414" s="16"/>
      <c r="F414" s="27"/>
      <c r="G414" s="34"/>
      <c r="H414" s="25">
        <f>H415+H416</f>
        <v>20200</v>
      </c>
      <c r="I414" s="627"/>
      <c r="J414" s="627"/>
      <c r="K414" s="627"/>
      <c r="L414" s="627"/>
      <c r="M414" s="627"/>
      <c r="N414" s="685"/>
      <c r="O414" s="685"/>
      <c r="P414" s="685"/>
      <c r="Q414" s="685"/>
      <c r="R414" s="685"/>
    </row>
    <row r="415" spans="1:18" s="32" customFormat="1" ht="15" customHeight="1">
      <c r="A415" s="114"/>
      <c r="B415" s="134" t="s">
        <v>419</v>
      </c>
      <c r="C415" s="121"/>
      <c r="D415" s="22"/>
      <c r="E415" s="16"/>
      <c r="F415" s="27"/>
      <c r="G415" s="34"/>
      <c r="H415" s="35">
        <v>5200</v>
      </c>
      <c r="I415" s="627"/>
      <c r="J415" s="627"/>
      <c r="K415" s="627"/>
      <c r="L415" s="627"/>
      <c r="M415" s="627"/>
      <c r="N415" s="685"/>
      <c r="O415" s="685"/>
      <c r="P415" s="685"/>
      <c r="Q415" s="685"/>
      <c r="R415" s="685"/>
    </row>
    <row r="416" spans="1:18" s="32" customFormat="1" ht="15" customHeight="1">
      <c r="A416" s="114"/>
      <c r="B416" s="134" t="s">
        <v>210</v>
      </c>
      <c r="C416" s="121"/>
      <c r="D416" s="22"/>
      <c r="E416" s="16"/>
      <c r="F416" s="27"/>
      <c r="G416" s="34"/>
      <c r="H416" s="35">
        <v>15000</v>
      </c>
      <c r="I416" s="627"/>
      <c r="J416" s="627"/>
      <c r="K416" s="627"/>
      <c r="L416" s="627"/>
      <c r="M416" s="627"/>
      <c r="N416" s="685"/>
      <c r="O416" s="685"/>
      <c r="P416" s="685"/>
      <c r="Q416" s="685"/>
      <c r="R416" s="685"/>
    </row>
    <row r="417" spans="1:18" s="32" customFormat="1" ht="15" customHeight="1">
      <c r="A417" s="114"/>
      <c r="B417" s="134"/>
      <c r="C417" s="121"/>
      <c r="D417" s="22"/>
      <c r="E417" s="16"/>
      <c r="F417" s="27"/>
      <c r="G417" s="34"/>
      <c r="H417" s="25"/>
      <c r="I417" s="627"/>
      <c r="J417" s="627"/>
      <c r="K417" s="627"/>
      <c r="L417" s="627"/>
      <c r="M417" s="627"/>
      <c r="N417" s="685"/>
      <c r="O417" s="685"/>
      <c r="P417" s="685"/>
      <c r="Q417" s="685"/>
      <c r="R417" s="685"/>
    </row>
    <row r="418" spans="1:18" s="32" customFormat="1" ht="15" customHeight="1">
      <c r="A418" s="100" t="s">
        <v>205</v>
      </c>
      <c r="B418" s="639"/>
      <c r="C418" s="89"/>
      <c r="D418" s="640"/>
      <c r="E418" s="15"/>
      <c r="F418" s="27"/>
      <c r="G418" s="34"/>
      <c r="H418" s="25"/>
      <c r="I418" s="627"/>
      <c r="J418" s="627"/>
      <c r="K418" s="627"/>
      <c r="L418" s="627"/>
      <c r="M418" s="627"/>
      <c r="N418" s="685"/>
      <c r="O418" s="685"/>
      <c r="P418" s="685"/>
      <c r="Q418" s="685"/>
      <c r="R418" s="685"/>
    </row>
    <row r="419" spans="1:18" s="32" customFormat="1" ht="15" customHeight="1">
      <c r="A419" s="114" t="s">
        <v>711</v>
      </c>
      <c r="B419" s="134"/>
      <c r="C419" s="121"/>
      <c r="D419" s="22"/>
      <c r="E419" s="16"/>
      <c r="F419" s="27"/>
      <c r="G419" s="34"/>
      <c r="H419" s="25"/>
      <c r="I419" s="627"/>
      <c r="J419" s="627"/>
      <c r="K419" s="627"/>
      <c r="L419" s="627"/>
      <c r="M419" s="627"/>
      <c r="N419" s="685"/>
      <c r="O419" s="685"/>
      <c r="P419" s="685"/>
      <c r="Q419" s="685"/>
      <c r="R419" s="685"/>
    </row>
    <row r="420" spans="1:18" s="32" customFormat="1" ht="20.25" customHeight="1">
      <c r="A420" s="50"/>
      <c r="B420" s="137" t="s">
        <v>206</v>
      </c>
      <c r="C420" s="138"/>
      <c r="D420" s="22"/>
      <c r="E420" s="16"/>
      <c r="F420" s="27"/>
      <c r="G420" s="27"/>
      <c r="H420" s="35">
        <v>12000</v>
      </c>
      <c r="I420" s="627"/>
      <c r="J420" s="627"/>
      <c r="K420" s="627"/>
      <c r="L420" s="627"/>
      <c r="M420" s="627"/>
      <c r="N420" s="685"/>
      <c r="O420" s="685"/>
      <c r="P420" s="685"/>
      <c r="Q420" s="685"/>
      <c r="R420" s="685"/>
    </row>
    <row r="421" spans="1:18" s="32" customFormat="1" ht="15.75" customHeight="1">
      <c r="A421" s="50"/>
      <c r="B421" s="137"/>
      <c r="C421" s="138"/>
      <c r="D421" s="22"/>
      <c r="E421" s="16"/>
      <c r="F421" s="27"/>
      <c r="G421" s="27"/>
      <c r="H421" s="35"/>
      <c r="I421" s="627"/>
      <c r="J421" s="627"/>
      <c r="K421" s="627"/>
      <c r="L421" s="627"/>
      <c r="M421" s="627"/>
      <c r="N421" s="685"/>
      <c r="O421" s="685"/>
      <c r="P421" s="685"/>
      <c r="Q421" s="685"/>
      <c r="R421" s="685"/>
    </row>
    <row r="422" spans="1:18" s="32" customFormat="1" ht="15.75" customHeight="1">
      <c r="A422" s="50"/>
      <c r="B422" s="137"/>
      <c r="C422" s="138"/>
      <c r="D422" s="22"/>
      <c r="E422" s="16"/>
      <c r="F422" s="27"/>
      <c r="G422" s="27"/>
      <c r="H422" s="35"/>
      <c r="I422" s="627"/>
      <c r="J422" s="627"/>
      <c r="K422" s="627"/>
      <c r="L422" s="627"/>
      <c r="M422" s="627"/>
      <c r="N422" s="685"/>
      <c r="O422" s="685"/>
      <c r="P422" s="685"/>
      <c r="Q422" s="685"/>
      <c r="R422" s="685"/>
    </row>
    <row r="423" spans="1:18" s="32" customFormat="1" ht="15.75" customHeight="1">
      <c r="A423" s="133" t="s">
        <v>423</v>
      </c>
      <c r="B423" s="134"/>
      <c r="C423" s="138"/>
      <c r="D423" s="22"/>
      <c r="E423" s="16"/>
      <c r="F423" s="27"/>
      <c r="G423" s="27"/>
      <c r="H423" s="35"/>
      <c r="I423" s="627"/>
      <c r="J423" s="627"/>
      <c r="K423" s="627"/>
      <c r="L423" s="627"/>
      <c r="M423" s="627"/>
      <c r="N423" s="685"/>
      <c r="O423" s="685"/>
      <c r="P423" s="685"/>
      <c r="Q423" s="685"/>
      <c r="R423" s="685"/>
    </row>
    <row r="424" spans="1:18" s="32" customFormat="1" ht="15.75" customHeight="1">
      <c r="A424" s="133"/>
      <c r="B424" s="134"/>
      <c r="C424" s="138"/>
      <c r="D424" s="22"/>
      <c r="E424" s="16"/>
      <c r="F424" s="27"/>
      <c r="G424" s="27"/>
      <c r="H424" s="35"/>
      <c r="I424" s="627"/>
      <c r="J424" s="627"/>
      <c r="K424" s="627"/>
      <c r="L424" s="627"/>
      <c r="M424" s="627"/>
      <c r="N424" s="685"/>
      <c r="O424" s="685"/>
      <c r="P424" s="685"/>
      <c r="Q424" s="685"/>
      <c r="R424" s="685"/>
    </row>
    <row r="425" spans="1:18" s="32" customFormat="1" ht="15.75" customHeight="1">
      <c r="A425" s="133" t="s">
        <v>722</v>
      </c>
      <c r="B425" s="134"/>
      <c r="C425" s="138"/>
      <c r="D425" s="22"/>
      <c r="E425" s="16"/>
      <c r="F425" s="27"/>
      <c r="G425" s="27"/>
      <c r="H425" s="35">
        <f>H427</f>
        <v>24506</v>
      </c>
      <c r="I425" s="627"/>
      <c r="J425" s="627"/>
      <c r="K425" s="627"/>
      <c r="L425" s="627"/>
      <c r="M425" s="627"/>
      <c r="N425" s="685"/>
      <c r="O425" s="685"/>
      <c r="P425" s="685"/>
      <c r="Q425" s="685"/>
      <c r="R425" s="685"/>
    </row>
    <row r="426" spans="1:18" s="32" customFormat="1" ht="15.75" customHeight="1">
      <c r="A426" s="50" t="s">
        <v>711</v>
      </c>
      <c r="B426" s="137"/>
      <c r="C426" s="138"/>
      <c r="D426" s="22"/>
      <c r="E426" s="16"/>
      <c r="F426" s="27"/>
      <c r="G426" s="27"/>
      <c r="H426" s="35"/>
      <c r="I426" s="627"/>
      <c r="J426" s="627"/>
      <c r="K426" s="627"/>
      <c r="L426" s="627"/>
      <c r="M426" s="627"/>
      <c r="N426" s="685"/>
      <c r="O426" s="685"/>
      <c r="P426" s="685"/>
      <c r="Q426" s="685"/>
      <c r="R426" s="685"/>
    </row>
    <row r="427" spans="1:18" s="32" customFormat="1" ht="15.75" customHeight="1">
      <c r="A427" s="100" t="s">
        <v>425</v>
      </c>
      <c r="B427" s="639"/>
      <c r="C427" s="138"/>
      <c r="D427" s="22"/>
      <c r="E427" s="16"/>
      <c r="F427" s="27"/>
      <c r="G427" s="27"/>
      <c r="H427" s="35">
        <f>H430</f>
        <v>24506</v>
      </c>
      <c r="I427" s="627"/>
      <c r="J427" s="627"/>
      <c r="K427" s="627"/>
      <c r="L427" s="627"/>
      <c r="M427" s="627"/>
      <c r="N427" s="685"/>
      <c r="O427" s="685"/>
      <c r="P427" s="685"/>
      <c r="Q427" s="685"/>
      <c r="R427" s="685"/>
    </row>
    <row r="428" spans="1:18" s="32" customFormat="1" ht="15.75" customHeight="1">
      <c r="A428" s="114" t="s">
        <v>711</v>
      </c>
      <c r="B428" s="134"/>
      <c r="C428" s="138"/>
      <c r="D428" s="22"/>
      <c r="E428" s="16"/>
      <c r="F428" s="27"/>
      <c r="G428" s="27"/>
      <c r="H428" s="35"/>
      <c r="I428" s="627"/>
      <c r="J428" s="627"/>
      <c r="K428" s="627"/>
      <c r="L428" s="627"/>
      <c r="M428" s="627"/>
      <c r="N428" s="685"/>
      <c r="O428" s="685"/>
      <c r="P428" s="685"/>
      <c r="Q428" s="685"/>
      <c r="R428" s="685"/>
    </row>
    <row r="429" spans="1:18" s="32" customFormat="1" ht="15.75" customHeight="1">
      <c r="A429" s="50"/>
      <c r="B429" s="137" t="s">
        <v>426</v>
      </c>
      <c r="C429" s="138"/>
      <c r="D429" s="22"/>
      <c r="E429" s="16"/>
      <c r="F429" s="27"/>
      <c r="G429" s="27"/>
      <c r="H429" s="35"/>
      <c r="I429" s="627"/>
      <c r="J429" s="627"/>
      <c r="K429" s="627"/>
      <c r="L429" s="627"/>
      <c r="M429" s="627"/>
      <c r="N429" s="685"/>
      <c r="O429" s="685"/>
      <c r="P429" s="685"/>
      <c r="Q429" s="685"/>
      <c r="R429" s="685"/>
    </row>
    <row r="430" spans="1:18" s="32" customFormat="1" ht="15.75" customHeight="1">
      <c r="A430" s="50"/>
      <c r="B430" s="137" t="s">
        <v>427</v>
      </c>
      <c r="C430" s="138"/>
      <c r="D430" s="22"/>
      <c r="E430" s="16"/>
      <c r="F430" s="27"/>
      <c r="G430" s="27"/>
      <c r="H430" s="35">
        <v>24506</v>
      </c>
      <c r="I430" s="627"/>
      <c r="J430" s="627"/>
      <c r="K430" s="627"/>
      <c r="L430" s="627"/>
      <c r="M430" s="627"/>
      <c r="N430" s="685"/>
      <c r="O430" s="685"/>
      <c r="P430" s="685"/>
      <c r="Q430" s="685"/>
      <c r="R430" s="685"/>
    </row>
    <row r="431" spans="1:18" s="32" customFormat="1" ht="14.25" customHeight="1">
      <c r="A431" s="50"/>
      <c r="B431" s="137"/>
      <c r="C431" s="138"/>
      <c r="D431" s="22"/>
      <c r="E431" s="16"/>
      <c r="F431" s="27"/>
      <c r="G431" s="34"/>
      <c r="H431" s="35"/>
      <c r="I431" s="627"/>
      <c r="J431" s="627"/>
      <c r="K431" s="627"/>
      <c r="L431" s="627"/>
      <c r="M431" s="627"/>
      <c r="N431" s="685"/>
      <c r="O431" s="685"/>
      <c r="P431" s="685"/>
      <c r="Q431" s="685"/>
      <c r="R431" s="685"/>
    </row>
    <row r="432" spans="1:18" s="32" customFormat="1" ht="14.25" customHeight="1">
      <c r="A432" s="50"/>
      <c r="B432" s="137"/>
      <c r="C432" s="138"/>
      <c r="D432" s="22"/>
      <c r="E432" s="16"/>
      <c r="F432" s="27"/>
      <c r="G432" s="34"/>
      <c r="H432" s="35"/>
      <c r="I432" s="627"/>
      <c r="J432" s="627"/>
      <c r="K432" s="627"/>
      <c r="L432" s="627"/>
      <c r="M432" s="627"/>
      <c r="N432" s="685"/>
      <c r="O432" s="685"/>
      <c r="P432" s="685"/>
      <c r="Q432" s="685"/>
      <c r="R432" s="685"/>
    </row>
    <row r="433" spans="1:23" s="3" customFormat="1" ht="17.25" customHeight="1">
      <c r="A433" s="139" t="s">
        <v>812</v>
      </c>
      <c r="B433" s="139"/>
      <c r="C433" s="132"/>
      <c r="D433" s="22"/>
      <c r="E433" s="16"/>
      <c r="F433" s="34"/>
      <c r="G433" s="34"/>
      <c r="H433" s="35"/>
      <c r="I433" s="701"/>
      <c r="J433" s="704"/>
      <c r="K433" s="626"/>
      <c r="L433" s="704"/>
      <c r="M433" s="704"/>
      <c r="N433" s="34"/>
      <c r="O433" s="34"/>
      <c r="P433" s="34"/>
      <c r="Q433" s="34"/>
      <c r="R433" s="34"/>
      <c r="S433" s="35"/>
      <c r="T433" s="35"/>
      <c r="U433" s="35"/>
      <c r="V433" s="35"/>
      <c r="W433" s="35"/>
    </row>
    <row r="434" spans="1:23" s="3" customFormat="1" ht="17.25" customHeight="1">
      <c r="A434" s="139" t="s">
        <v>813</v>
      </c>
      <c r="B434" s="139"/>
      <c r="C434" s="132"/>
      <c r="D434" s="22"/>
      <c r="E434" s="16"/>
      <c r="F434" s="34"/>
      <c r="G434" s="34"/>
      <c r="H434" s="35"/>
      <c r="I434" s="701"/>
      <c r="J434" s="704"/>
      <c r="K434" s="626"/>
      <c r="L434" s="704"/>
      <c r="M434" s="704"/>
      <c r="N434" s="34"/>
      <c r="O434" s="34"/>
      <c r="P434" s="34"/>
      <c r="Q434" s="34"/>
      <c r="R434" s="34"/>
      <c r="S434" s="35"/>
      <c r="T434" s="35"/>
      <c r="U434" s="35"/>
      <c r="V434" s="35"/>
      <c r="W434" s="35"/>
    </row>
    <row r="435" spans="1:23" s="3" customFormat="1" ht="17.25" customHeight="1">
      <c r="A435" s="139"/>
      <c r="B435" s="139"/>
      <c r="C435" s="132"/>
      <c r="D435" s="22"/>
      <c r="E435" s="16"/>
      <c r="F435" s="34"/>
      <c r="G435" s="34"/>
      <c r="H435" s="35"/>
      <c r="I435" s="701"/>
      <c r="J435" s="704"/>
      <c r="K435" s="626"/>
      <c r="L435" s="704"/>
      <c r="M435" s="704"/>
      <c r="N435" s="34"/>
      <c r="O435" s="34"/>
      <c r="P435" s="34"/>
      <c r="Q435" s="34"/>
      <c r="R435" s="34"/>
      <c r="S435" s="35"/>
      <c r="T435" s="35"/>
      <c r="U435" s="35"/>
      <c r="V435" s="35"/>
      <c r="W435" s="35"/>
    </row>
    <row r="436" spans="1:23" s="3" customFormat="1" ht="17.25" customHeight="1">
      <c r="A436" s="139"/>
      <c r="B436" s="139"/>
      <c r="C436" s="132"/>
      <c r="D436" s="22"/>
      <c r="E436" s="16"/>
      <c r="F436" s="34"/>
      <c r="G436" s="34"/>
      <c r="H436" s="35"/>
      <c r="I436" s="701"/>
      <c r="J436" s="704"/>
      <c r="K436" s="626"/>
      <c r="L436" s="704"/>
      <c r="M436" s="704"/>
      <c r="N436" s="34"/>
      <c r="O436" s="34"/>
      <c r="P436" s="34"/>
      <c r="Q436" s="34"/>
      <c r="R436" s="34"/>
      <c r="S436" s="35"/>
      <c r="T436" s="35"/>
      <c r="U436" s="35"/>
      <c r="V436" s="35"/>
      <c r="W436" s="35"/>
    </row>
    <row r="437" spans="1:23" s="3" customFormat="1" ht="17.25" customHeight="1">
      <c r="A437" s="139" t="s">
        <v>431</v>
      </c>
      <c r="B437" s="139"/>
      <c r="C437" s="132"/>
      <c r="D437" s="22"/>
      <c r="E437" s="16"/>
      <c r="F437" s="34"/>
      <c r="G437" s="34"/>
      <c r="H437" s="35"/>
      <c r="I437" s="701"/>
      <c r="J437" s="704"/>
      <c r="K437" s="626"/>
      <c r="L437" s="704"/>
      <c r="M437" s="704"/>
      <c r="N437" s="34"/>
      <c r="O437" s="34"/>
      <c r="P437" s="34"/>
      <c r="Q437" s="34"/>
      <c r="R437" s="34"/>
      <c r="S437" s="35"/>
      <c r="T437" s="35"/>
      <c r="U437" s="35"/>
      <c r="V437" s="35"/>
      <c r="W437" s="35"/>
    </row>
    <row r="438" spans="1:23" s="3" customFormat="1" ht="17.25" customHeight="1">
      <c r="A438" s="634" t="s">
        <v>479</v>
      </c>
      <c r="B438" s="634"/>
      <c r="C438" s="635"/>
      <c r="D438" s="636"/>
      <c r="E438" s="372"/>
      <c r="F438" s="637"/>
      <c r="G438" s="637"/>
      <c r="H438" s="35"/>
      <c r="I438" s="701"/>
      <c r="J438" s="704"/>
      <c r="K438" s="626"/>
      <c r="L438" s="704"/>
      <c r="M438" s="704"/>
      <c r="N438" s="34"/>
      <c r="O438" s="34"/>
      <c r="P438" s="34"/>
      <c r="Q438" s="34"/>
      <c r="R438" s="34"/>
      <c r="S438" s="35"/>
      <c r="T438" s="35"/>
      <c r="U438" s="35"/>
      <c r="V438" s="35"/>
      <c r="W438" s="35"/>
    </row>
    <row r="439" spans="1:23" s="3" customFormat="1" ht="17.25" customHeight="1">
      <c r="A439" s="634" t="s">
        <v>480</v>
      </c>
      <c r="B439" s="634"/>
      <c r="C439" s="635"/>
      <c r="D439" s="636"/>
      <c r="E439" s="372"/>
      <c r="F439" s="637"/>
      <c r="G439" s="34"/>
      <c r="H439" s="35"/>
      <c r="I439" s="701"/>
      <c r="J439" s="704"/>
      <c r="K439" s="626"/>
      <c r="L439" s="704"/>
      <c r="M439" s="704"/>
      <c r="N439" s="34"/>
      <c r="O439" s="34"/>
      <c r="P439" s="34"/>
      <c r="Q439" s="34"/>
      <c r="R439" s="34"/>
      <c r="S439" s="35"/>
      <c r="T439" s="35"/>
      <c r="U439" s="35"/>
      <c r="V439" s="35"/>
      <c r="W439" s="35"/>
    </row>
    <row r="440" spans="1:23" s="3" customFormat="1" ht="17.25" customHeight="1">
      <c r="A440" s="139" t="s">
        <v>416</v>
      </c>
      <c r="B440" s="139"/>
      <c r="C440" s="132"/>
      <c r="D440" s="22"/>
      <c r="E440" s="16"/>
      <c r="F440" s="34"/>
      <c r="G440" s="34"/>
      <c r="H440" s="35"/>
      <c r="I440" s="701"/>
      <c r="J440" s="704"/>
      <c r="K440" s="626"/>
      <c r="L440" s="704"/>
      <c r="M440" s="704"/>
      <c r="N440" s="34"/>
      <c r="O440" s="34"/>
      <c r="P440" s="34"/>
      <c r="Q440" s="34"/>
      <c r="R440" s="34"/>
      <c r="S440" s="35"/>
      <c r="T440" s="35"/>
      <c r="U440" s="35"/>
      <c r="V440" s="35"/>
      <c r="W440" s="35"/>
    </row>
    <row r="441" spans="1:23" s="3" customFormat="1" ht="17.25" customHeight="1">
      <c r="A441" s="139"/>
      <c r="B441" s="139"/>
      <c r="C441" s="132"/>
      <c r="D441" s="22"/>
      <c r="E441" s="16"/>
      <c r="F441" s="34"/>
      <c r="G441" s="34"/>
      <c r="H441" s="35"/>
      <c r="I441" s="701"/>
      <c r="J441" s="704"/>
      <c r="K441" s="626"/>
      <c r="L441" s="704"/>
      <c r="M441" s="704"/>
      <c r="N441" s="34"/>
      <c r="O441" s="34"/>
      <c r="P441" s="34"/>
      <c r="Q441" s="34"/>
      <c r="R441" s="34"/>
      <c r="S441" s="35"/>
      <c r="T441" s="35"/>
      <c r="U441" s="35"/>
      <c r="V441" s="35"/>
      <c r="W441" s="35"/>
    </row>
    <row r="442" spans="1:23" s="3" customFormat="1" ht="17.25" customHeight="1">
      <c r="A442" s="139"/>
      <c r="B442" s="139"/>
      <c r="C442" s="132"/>
      <c r="D442" s="22"/>
      <c r="E442" s="16"/>
      <c r="F442" s="34"/>
      <c r="G442" s="34"/>
      <c r="H442" s="35"/>
      <c r="I442" s="701"/>
      <c r="J442" s="704"/>
      <c r="K442" s="626"/>
      <c r="L442" s="704"/>
      <c r="M442" s="704"/>
      <c r="N442" s="34"/>
      <c r="O442" s="34"/>
      <c r="P442" s="34"/>
      <c r="Q442" s="34"/>
      <c r="R442" s="34"/>
      <c r="S442" s="35"/>
      <c r="T442" s="35"/>
      <c r="U442" s="35"/>
      <c r="V442" s="35"/>
      <c r="W442" s="35"/>
    </row>
    <row r="443" spans="1:23" s="3" customFormat="1" ht="17.25" customHeight="1">
      <c r="A443" s="915" t="s">
        <v>432</v>
      </c>
      <c r="B443" s="371"/>
      <c r="C443" s="371"/>
      <c r="D443" s="372"/>
      <c r="E443" s="372"/>
      <c r="F443" s="34"/>
      <c r="G443" s="34"/>
      <c r="H443" s="35"/>
      <c r="I443" s="701"/>
      <c r="J443" s="704"/>
      <c r="K443" s="626"/>
      <c r="L443" s="704"/>
      <c r="M443" s="704"/>
      <c r="N443" s="34"/>
      <c r="O443" s="34"/>
      <c r="P443" s="34"/>
      <c r="Q443" s="34"/>
      <c r="R443" s="34"/>
      <c r="S443" s="35"/>
      <c r="T443" s="35"/>
      <c r="U443" s="35"/>
      <c r="V443" s="35"/>
      <c r="W443" s="35"/>
    </row>
    <row r="444" spans="1:23" s="3" customFormat="1" ht="17.25" customHeight="1">
      <c r="A444" s="916" t="s">
        <v>414</v>
      </c>
      <c r="B444" s="371"/>
      <c r="C444" s="371"/>
      <c r="D444" s="372"/>
      <c r="E444" s="372"/>
      <c r="F444" s="34"/>
      <c r="G444" s="34"/>
      <c r="H444" s="35"/>
      <c r="I444" s="701"/>
      <c r="J444" s="704"/>
      <c r="K444" s="626"/>
      <c r="L444" s="704"/>
      <c r="M444" s="704"/>
      <c r="N444" s="34"/>
      <c r="O444" s="34"/>
      <c r="P444" s="34"/>
      <c r="Q444" s="34"/>
      <c r="R444" s="34"/>
      <c r="S444" s="35"/>
      <c r="T444" s="35"/>
      <c r="U444" s="35"/>
      <c r="V444" s="35"/>
      <c r="W444" s="35"/>
    </row>
    <row r="445" spans="1:23" s="3" customFormat="1" ht="17.25" customHeight="1">
      <c r="A445" s="915" t="s">
        <v>417</v>
      </c>
      <c r="B445" s="96"/>
      <c r="C445" s="47"/>
      <c r="D445" s="16"/>
      <c r="E445" s="16"/>
      <c r="F445" s="34"/>
      <c r="G445" s="34"/>
      <c r="H445" s="35"/>
      <c r="I445" s="701"/>
      <c r="J445" s="704"/>
      <c r="K445" s="626"/>
      <c r="L445" s="704"/>
      <c r="M445" s="704"/>
      <c r="N445" s="34"/>
      <c r="O445" s="34"/>
      <c r="P445" s="34"/>
      <c r="Q445" s="34"/>
      <c r="R445" s="34"/>
      <c r="S445" s="35"/>
      <c r="T445" s="35"/>
      <c r="U445" s="35"/>
      <c r="V445" s="35"/>
      <c r="W445" s="35"/>
    </row>
    <row r="446" spans="1:23" s="3" customFormat="1" ht="17.25" customHeight="1">
      <c r="A446" s="915"/>
      <c r="B446" s="47"/>
      <c r="C446" s="47"/>
      <c r="D446" s="16"/>
      <c r="E446" s="16"/>
      <c r="F446" s="34"/>
      <c r="G446" s="34"/>
      <c r="H446" s="35"/>
      <c r="I446" s="701"/>
      <c r="J446" s="704"/>
      <c r="K446" s="626"/>
      <c r="L446" s="704"/>
      <c r="M446" s="704"/>
      <c r="N446" s="34"/>
      <c r="O446" s="34"/>
      <c r="P446" s="34"/>
      <c r="Q446" s="34"/>
      <c r="R446" s="34"/>
      <c r="S446" s="35"/>
      <c r="T446" s="35"/>
      <c r="U446" s="35"/>
      <c r="V446" s="35"/>
      <c r="W446" s="35"/>
    </row>
    <row r="447" spans="1:23" s="3" customFormat="1" ht="17.25" customHeight="1">
      <c r="A447" s="917"/>
      <c r="B447" s="47"/>
      <c r="C447" s="47"/>
      <c r="D447" s="372"/>
      <c r="E447" s="372"/>
      <c r="F447" s="372"/>
      <c r="G447" s="372"/>
      <c r="H447" s="373"/>
      <c r="I447" s="701"/>
      <c r="J447" s="704"/>
      <c r="K447" s="626"/>
      <c r="L447" s="704"/>
      <c r="M447" s="704"/>
      <c r="N447" s="34"/>
      <c r="O447" s="34"/>
      <c r="P447" s="34"/>
      <c r="Q447" s="34"/>
      <c r="R447" s="34"/>
      <c r="S447" s="35"/>
      <c r="T447" s="35"/>
      <c r="U447" s="35"/>
      <c r="V447" s="35"/>
      <c r="W447" s="35"/>
    </row>
    <row r="448" spans="1:23" s="3" customFormat="1" ht="17.25" customHeight="1">
      <c r="A448" s="915" t="s">
        <v>433</v>
      </c>
      <c r="B448" s="371"/>
      <c r="C448" s="371"/>
      <c r="D448" s="372"/>
      <c r="E448" s="372"/>
      <c r="F448" s="372"/>
      <c r="G448" s="372"/>
      <c r="H448" s="373"/>
      <c r="I448" s="701"/>
      <c r="J448" s="704"/>
      <c r="K448" s="626"/>
      <c r="L448" s="704"/>
      <c r="M448" s="704"/>
      <c r="N448" s="34"/>
      <c r="O448" s="34"/>
      <c r="P448" s="34"/>
      <c r="Q448" s="34"/>
      <c r="R448" s="34"/>
      <c r="S448" s="35"/>
      <c r="T448" s="35"/>
      <c r="U448" s="35"/>
      <c r="V448" s="35"/>
      <c r="W448" s="35"/>
    </row>
    <row r="449" spans="1:23" s="3" customFormat="1" ht="17.25" customHeight="1">
      <c r="A449" s="916" t="s">
        <v>414</v>
      </c>
      <c r="B449" s="371"/>
      <c r="C449" s="371"/>
      <c r="D449" s="372"/>
      <c r="E449" s="372"/>
      <c r="F449" s="372"/>
      <c r="G449" s="372"/>
      <c r="H449" s="373"/>
      <c r="I449" s="701"/>
      <c r="J449" s="704"/>
      <c r="K449" s="626"/>
      <c r="L449" s="704"/>
      <c r="M449" s="704"/>
      <c r="N449" s="34"/>
      <c r="O449" s="34"/>
      <c r="P449" s="34"/>
      <c r="Q449" s="34"/>
      <c r="R449" s="34"/>
      <c r="S449" s="35"/>
      <c r="T449" s="35"/>
      <c r="U449" s="35"/>
      <c r="V449" s="35"/>
      <c r="W449" s="35"/>
    </row>
    <row r="450" spans="1:23" s="3" customFormat="1" ht="17.25" customHeight="1">
      <c r="A450" s="915" t="s">
        <v>415</v>
      </c>
      <c r="B450" s="96"/>
      <c r="C450" s="47"/>
      <c r="D450" s="372"/>
      <c r="E450" s="372"/>
      <c r="F450" s="372"/>
      <c r="G450" s="372"/>
      <c r="H450" s="373"/>
      <c r="I450" s="701"/>
      <c r="J450" s="704"/>
      <c r="K450" s="626"/>
      <c r="L450" s="704"/>
      <c r="M450" s="704"/>
      <c r="N450" s="34"/>
      <c r="O450" s="34"/>
      <c r="P450" s="34"/>
      <c r="Q450" s="34"/>
      <c r="R450" s="34"/>
      <c r="S450" s="35"/>
      <c r="T450" s="35"/>
      <c r="U450" s="35"/>
      <c r="V450" s="35"/>
      <c r="W450" s="35"/>
    </row>
    <row r="451" spans="1:23" s="3" customFormat="1" ht="17.25" customHeight="1">
      <c r="A451" s="139"/>
      <c r="B451" s="139"/>
      <c r="C451" s="132"/>
      <c r="D451" s="22"/>
      <c r="E451" s="16"/>
      <c r="F451" s="34"/>
      <c r="G451" s="34"/>
      <c r="H451" s="35"/>
      <c r="I451" s="701"/>
      <c r="J451" s="704"/>
      <c r="K451" s="626"/>
      <c r="L451" s="704"/>
      <c r="M451" s="704"/>
      <c r="N451" s="34"/>
      <c r="O451" s="34"/>
      <c r="P451" s="34"/>
      <c r="Q451" s="34"/>
      <c r="R451" s="34"/>
      <c r="S451" s="35"/>
      <c r="T451" s="35"/>
      <c r="U451" s="35"/>
      <c r="V451" s="35"/>
      <c r="W451" s="35"/>
    </row>
    <row r="452" spans="1:23" s="3" customFormat="1" ht="17.25" customHeight="1">
      <c r="A452" s="369"/>
      <c r="B452" s="370"/>
      <c r="C452" s="371"/>
      <c r="D452" s="372"/>
      <c r="E452" s="372"/>
      <c r="F452" s="372"/>
      <c r="G452" s="372"/>
      <c r="H452" s="373"/>
      <c r="I452" s="701"/>
      <c r="J452" s="704"/>
      <c r="K452" s="626"/>
      <c r="L452" s="704"/>
      <c r="M452" s="704"/>
      <c r="N452" s="34"/>
      <c r="O452" s="34"/>
      <c r="P452" s="34"/>
      <c r="Q452" s="34"/>
      <c r="R452" s="34"/>
      <c r="S452" s="35"/>
      <c r="T452" s="35"/>
      <c r="U452" s="35"/>
      <c r="V452" s="35"/>
      <c r="W452" s="35"/>
    </row>
    <row r="453" spans="1:23" ht="18.75">
      <c r="A453" s="396" t="s">
        <v>434</v>
      </c>
      <c r="B453" s="374"/>
      <c r="C453" s="374"/>
      <c r="D453" s="19"/>
      <c r="E453" s="19"/>
      <c r="F453" s="19"/>
      <c r="G453" s="110"/>
      <c r="H453" s="17"/>
      <c r="I453" s="691"/>
      <c r="J453" s="674"/>
      <c r="K453" s="687"/>
      <c r="L453" s="645"/>
      <c r="M453" s="645"/>
      <c r="N453" s="12"/>
      <c r="O453" s="12"/>
      <c r="P453" s="12"/>
      <c r="Q453" s="688"/>
      <c r="R453" s="688"/>
      <c r="S453" s="99"/>
      <c r="T453" s="99"/>
      <c r="U453" s="99"/>
      <c r="V453" s="99"/>
      <c r="W453" s="99"/>
    </row>
    <row r="454" spans="1:23" ht="18.75">
      <c r="A454" s="396"/>
      <c r="B454" s="374"/>
      <c r="C454" s="374"/>
      <c r="D454" s="19"/>
      <c r="E454" s="19"/>
      <c r="F454" s="19"/>
      <c r="G454" s="110"/>
      <c r="H454" s="17"/>
      <c r="I454" s="691"/>
      <c r="J454" s="674"/>
      <c r="K454" s="687"/>
      <c r="L454" s="645"/>
      <c r="M454" s="645"/>
      <c r="N454" s="12"/>
      <c r="O454" s="12"/>
      <c r="P454" s="12"/>
      <c r="Q454" s="688"/>
      <c r="R454" s="688"/>
      <c r="S454" s="99"/>
      <c r="T454" s="99"/>
      <c r="U454" s="99"/>
      <c r="V454" s="99"/>
      <c r="W454" s="99"/>
    </row>
    <row r="455" spans="1:23" ht="18.75">
      <c r="A455" s="396"/>
      <c r="B455" s="374"/>
      <c r="C455" s="374"/>
      <c r="D455" s="19"/>
      <c r="E455" s="19"/>
      <c r="F455" s="19"/>
      <c r="G455" s="110"/>
      <c r="H455" s="17"/>
      <c r="I455" s="691"/>
      <c r="J455" s="674"/>
      <c r="K455" s="687"/>
      <c r="L455" s="645"/>
      <c r="M455" s="645"/>
      <c r="N455" s="12"/>
      <c r="O455" s="12"/>
      <c r="P455" s="12"/>
      <c r="Q455" s="688"/>
      <c r="R455" s="688"/>
      <c r="S455" s="99"/>
      <c r="T455" s="99"/>
      <c r="U455" s="99"/>
      <c r="V455" s="99"/>
      <c r="W455" s="99"/>
    </row>
    <row r="456" spans="1:23" ht="16.5">
      <c r="A456" s="114" t="s">
        <v>209</v>
      </c>
      <c r="B456" s="114"/>
      <c r="C456" s="115"/>
      <c r="D456" s="19"/>
      <c r="E456" s="16"/>
      <c r="F456" s="19"/>
      <c r="G456" s="110"/>
      <c r="H456" s="104">
        <v>143748.22</v>
      </c>
      <c r="I456" s="691"/>
      <c r="J456" s="674"/>
      <c r="K456" s="687"/>
      <c r="L456" s="645"/>
      <c r="M456" s="645"/>
      <c r="N456" s="12"/>
      <c r="O456" s="12"/>
      <c r="P456" s="12"/>
      <c r="Q456" s="688"/>
      <c r="R456" s="688"/>
      <c r="S456" s="99"/>
      <c r="T456" s="99"/>
      <c r="U456" s="99"/>
      <c r="V456" s="99"/>
      <c r="W456" s="99"/>
    </row>
    <row r="457" spans="1:23" ht="16.5">
      <c r="A457" s="114" t="s">
        <v>814</v>
      </c>
      <c r="B457" s="114"/>
      <c r="C457" s="115"/>
      <c r="D457" s="19"/>
      <c r="E457" s="16"/>
      <c r="F457" s="19"/>
      <c r="G457" s="110"/>
      <c r="H457" s="104">
        <f>H456+652808.17</f>
        <v>796556.39</v>
      </c>
      <c r="I457" s="691"/>
      <c r="J457" s="674"/>
      <c r="K457" s="687"/>
      <c r="L457" s="645"/>
      <c r="M457" s="645"/>
      <c r="N457" s="12"/>
      <c r="O457" s="12"/>
      <c r="P457" s="12"/>
      <c r="Q457" s="688"/>
      <c r="R457" s="688"/>
      <c r="S457" s="99"/>
      <c r="T457" s="99"/>
      <c r="U457" s="99"/>
      <c r="V457" s="99"/>
      <c r="W457" s="99"/>
    </row>
    <row r="458" spans="1:23" ht="16.5">
      <c r="A458" s="114" t="s">
        <v>171</v>
      </c>
      <c r="B458" s="114"/>
      <c r="C458" s="115"/>
      <c r="D458" s="19"/>
      <c r="E458" s="16"/>
      <c r="F458" s="19"/>
      <c r="G458" s="110"/>
      <c r="H458" s="104"/>
      <c r="I458" s="691"/>
      <c r="J458" s="674"/>
      <c r="K458" s="687"/>
      <c r="L458" s="645"/>
      <c r="M458" s="645"/>
      <c r="N458" s="12"/>
      <c r="O458" s="12"/>
      <c r="P458" s="12"/>
      <c r="Q458" s="688"/>
      <c r="R458" s="688"/>
      <c r="S458" s="99"/>
      <c r="T458" s="99"/>
      <c r="U458" s="99"/>
      <c r="V458" s="99"/>
      <c r="W458" s="99"/>
    </row>
    <row r="459" spans="1:23" ht="16.5">
      <c r="A459" s="114"/>
      <c r="B459" s="114" t="s">
        <v>815</v>
      </c>
      <c r="C459" s="397"/>
      <c r="D459" s="398"/>
      <c r="E459" s="16"/>
      <c r="F459" s="19"/>
      <c r="G459" s="110"/>
      <c r="H459" s="104">
        <v>68818.64</v>
      </c>
      <c r="I459" s="691"/>
      <c r="J459" s="674"/>
      <c r="K459" s="687"/>
      <c r="L459" s="645"/>
      <c r="M459" s="645"/>
      <c r="N459" s="12"/>
      <c r="O459" s="12"/>
      <c r="P459" s="12"/>
      <c r="Q459" s="688"/>
      <c r="R459" s="688"/>
      <c r="S459" s="99"/>
      <c r="T459" s="99"/>
      <c r="U459" s="99"/>
      <c r="V459" s="99"/>
      <c r="W459" s="99"/>
    </row>
    <row r="460" spans="1:23" ht="16.5">
      <c r="A460" s="114"/>
      <c r="B460" s="114" t="s">
        <v>816</v>
      </c>
      <c r="C460" s="397"/>
      <c r="D460" s="398"/>
      <c r="E460" s="16"/>
      <c r="F460" s="19"/>
      <c r="G460" s="110"/>
      <c r="H460" s="104">
        <f>H459+652808.17</f>
        <v>721626.81</v>
      </c>
      <c r="I460" s="691"/>
      <c r="J460" s="674"/>
      <c r="K460" s="687"/>
      <c r="L460" s="645"/>
      <c r="M460" s="645"/>
      <c r="N460" s="12"/>
      <c r="O460" s="12"/>
      <c r="P460" s="12"/>
      <c r="Q460" s="688"/>
      <c r="R460" s="688"/>
      <c r="S460" s="99"/>
      <c r="T460" s="99"/>
      <c r="U460" s="99"/>
      <c r="V460" s="99"/>
      <c r="W460" s="99"/>
    </row>
    <row r="461" spans="1:23" ht="16.5">
      <c r="A461" s="114"/>
      <c r="B461" s="114"/>
      <c r="C461" s="397"/>
      <c r="D461" s="398"/>
      <c r="E461" s="16"/>
      <c r="F461" s="19"/>
      <c r="G461" s="110"/>
      <c r="H461" s="104"/>
      <c r="I461" s="691"/>
      <c r="J461" s="674"/>
      <c r="K461" s="687"/>
      <c r="L461" s="645"/>
      <c r="M461" s="645"/>
      <c r="N461" s="12"/>
      <c r="O461" s="12"/>
      <c r="P461" s="12"/>
      <c r="Q461" s="688"/>
      <c r="R461" s="688"/>
      <c r="S461" s="99"/>
      <c r="T461" s="99"/>
      <c r="U461" s="99"/>
      <c r="V461" s="99"/>
      <c r="W461" s="99"/>
    </row>
    <row r="462" spans="1:23" ht="16.5">
      <c r="A462" s="114"/>
      <c r="B462" s="114"/>
      <c r="C462" s="397"/>
      <c r="D462" s="398"/>
      <c r="E462" s="16"/>
      <c r="F462" s="19"/>
      <c r="G462" s="110"/>
      <c r="H462" s="104"/>
      <c r="I462" s="691"/>
      <c r="J462" s="674"/>
      <c r="K462" s="687"/>
      <c r="L462" s="645"/>
      <c r="M462" s="645"/>
      <c r="N462" s="12"/>
      <c r="O462" s="12"/>
      <c r="P462" s="12"/>
      <c r="Q462" s="688"/>
      <c r="R462" s="688"/>
      <c r="S462" s="99"/>
      <c r="T462" s="99"/>
      <c r="U462" s="99"/>
      <c r="V462" s="99"/>
      <c r="W462" s="99"/>
    </row>
    <row r="463" spans="1:23" ht="16.5">
      <c r="A463" s="114" t="s">
        <v>211</v>
      </c>
      <c r="B463" s="114"/>
      <c r="C463" s="115"/>
      <c r="D463" s="19"/>
      <c r="E463" s="16"/>
      <c r="F463" s="19"/>
      <c r="G463" s="110"/>
      <c r="H463" s="104">
        <v>814727.41</v>
      </c>
      <c r="I463" s="691"/>
      <c r="J463" s="674"/>
      <c r="K463" s="687"/>
      <c r="L463" s="645"/>
      <c r="M463" s="645"/>
      <c r="N463" s="12"/>
      <c r="O463" s="12"/>
      <c r="P463" s="12"/>
      <c r="Q463" s="688"/>
      <c r="R463" s="688"/>
      <c r="S463" s="99"/>
      <c r="T463" s="99"/>
      <c r="U463" s="99"/>
      <c r="V463" s="99"/>
      <c r="W463" s="99"/>
    </row>
    <row r="464" spans="1:23" ht="16.5">
      <c r="A464" s="114" t="s">
        <v>814</v>
      </c>
      <c r="B464" s="114"/>
      <c r="C464" s="115"/>
      <c r="D464" s="19"/>
      <c r="E464" s="16"/>
      <c r="F464" s="19"/>
      <c r="G464" s="110"/>
      <c r="H464" s="104">
        <f>H468+H471</f>
        <v>775221.4099999999</v>
      </c>
      <c r="I464" s="691"/>
      <c r="J464" s="674"/>
      <c r="K464" s="687"/>
      <c r="L464" s="645"/>
      <c r="M464" s="645"/>
      <c r="N464" s="12"/>
      <c r="O464" s="12"/>
      <c r="P464" s="12"/>
      <c r="Q464" s="688"/>
      <c r="R464" s="688"/>
      <c r="S464" s="99"/>
      <c r="T464" s="99"/>
      <c r="U464" s="99"/>
      <c r="V464" s="99"/>
      <c r="W464" s="99"/>
    </row>
    <row r="465" spans="1:23" ht="16.5">
      <c r="A465" s="114" t="s">
        <v>171</v>
      </c>
      <c r="B465" s="114"/>
      <c r="C465" s="115"/>
      <c r="D465" s="19"/>
      <c r="E465" s="16"/>
      <c r="F465" s="19"/>
      <c r="G465" s="110"/>
      <c r="H465" s="104"/>
      <c r="I465" s="691"/>
      <c r="J465" s="674"/>
      <c r="K465" s="687"/>
      <c r="L465" s="645"/>
      <c r="M465" s="645"/>
      <c r="N465" s="12"/>
      <c r="O465" s="12"/>
      <c r="P465" s="12"/>
      <c r="Q465" s="688"/>
      <c r="R465" s="688"/>
      <c r="S465" s="99"/>
      <c r="T465" s="99"/>
      <c r="U465" s="99"/>
      <c r="V465" s="99"/>
      <c r="W465" s="99"/>
    </row>
    <row r="466" spans="1:23" ht="16.5">
      <c r="A466" s="114"/>
      <c r="B466" s="114"/>
      <c r="C466" s="115"/>
      <c r="D466" s="19"/>
      <c r="E466" s="16"/>
      <c r="F466" s="19"/>
      <c r="G466" s="110"/>
      <c r="H466" s="104"/>
      <c r="I466" s="691"/>
      <c r="J466" s="674"/>
      <c r="K466" s="687"/>
      <c r="L466" s="645"/>
      <c r="M466" s="645"/>
      <c r="N466" s="12"/>
      <c r="O466" s="12"/>
      <c r="P466" s="12"/>
      <c r="Q466" s="688"/>
      <c r="R466" s="688"/>
      <c r="S466" s="99"/>
      <c r="T466" s="99"/>
      <c r="U466" s="99"/>
      <c r="V466" s="99"/>
      <c r="W466" s="99"/>
    </row>
    <row r="467" spans="1:23" ht="16.5">
      <c r="A467" s="114"/>
      <c r="B467" s="114" t="s">
        <v>815</v>
      </c>
      <c r="C467" s="397"/>
      <c r="D467" s="398"/>
      <c r="E467" s="16"/>
      <c r="F467" s="19"/>
      <c r="G467" s="110"/>
      <c r="H467" s="104">
        <v>540329.99</v>
      </c>
      <c r="I467" s="691"/>
      <c r="J467" s="674"/>
      <c r="K467" s="687"/>
      <c r="L467" s="645"/>
      <c r="M467" s="645"/>
      <c r="N467" s="12"/>
      <c r="O467" s="12"/>
      <c r="P467" s="12"/>
      <c r="Q467" s="688"/>
      <c r="R467" s="688"/>
      <c r="S467" s="99"/>
      <c r="T467" s="99"/>
      <c r="U467" s="99"/>
      <c r="V467" s="99"/>
      <c r="W467" s="99"/>
    </row>
    <row r="468" spans="1:23" ht="16.5">
      <c r="A468" s="114"/>
      <c r="B468" s="114" t="s">
        <v>816</v>
      </c>
      <c r="C468" s="397"/>
      <c r="D468" s="398"/>
      <c r="E468" s="16"/>
      <c r="F468" s="19"/>
      <c r="G468" s="110"/>
      <c r="H468" s="104">
        <f>H467-15000</f>
        <v>525329.99</v>
      </c>
      <c r="I468" s="691"/>
      <c r="J468" s="674"/>
      <c r="K468" s="687"/>
      <c r="L468" s="645"/>
      <c r="M468" s="645"/>
      <c r="N468" s="12"/>
      <c r="O468" s="12"/>
      <c r="P468" s="12"/>
      <c r="Q468" s="688"/>
      <c r="R468" s="688"/>
      <c r="S468" s="99"/>
      <c r="T468" s="99"/>
      <c r="U468" s="99"/>
      <c r="V468" s="99"/>
      <c r="W468" s="99"/>
    </row>
    <row r="469" spans="1:23" ht="16.5">
      <c r="A469" s="114"/>
      <c r="B469" s="114"/>
      <c r="C469" s="397"/>
      <c r="D469" s="398"/>
      <c r="E469" s="16"/>
      <c r="F469" s="19"/>
      <c r="G469" s="110"/>
      <c r="H469" s="104"/>
      <c r="I469" s="691"/>
      <c r="J469" s="674"/>
      <c r="K469" s="687"/>
      <c r="L469" s="645"/>
      <c r="M469" s="645"/>
      <c r="N469" s="12"/>
      <c r="O469" s="12"/>
      <c r="P469" s="12"/>
      <c r="Q469" s="688"/>
      <c r="R469" s="688"/>
      <c r="S469" s="99"/>
      <c r="T469" s="99"/>
      <c r="U469" s="99"/>
      <c r="V469" s="99"/>
      <c r="W469" s="99"/>
    </row>
    <row r="470" spans="1:23" ht="16.5">
      <c r="A470" s="114"/>
      <c r="B470" s="114" t="s">
        <v>212</v>
      </c>
      <c r="C470" s="397"/>
      <c r="D470" s="785"/>
      <c r="E470" s="16"/>
      <c r="F470" s="19"/>
      <c r="G470" s="110"/>
      <c r="H470" s="104">
        <v>274397.42</v>
      </c>
      <c r="I470" s="691"/>
      <c r="J470" s="674"/>
      <c r="K470" s="687"/>
      <c r="L470" s="645"/>
      <c r="M470" s="645"/>
      <c r="N470" s="12"/>
      <c r="O470" s="12"/>
      <c r="P470" s="12"/>
      <c r="Q470" s="688"/>
      <c r="R470" s="688"/>
      <c r="S470" s="99"/>
      <c r="T470" s="99"/>
      <c r="U470" s="99"/>
      <c r="V470" s="99"/>
      <c r="W470" s="99"/>
    </row>
    <row r="471" spans="1:23" ht="16.5">
      <c r="A471" s="114"/>
      <c r="B471" s="114" t="s">
        <v>816</v>
      </c>
      <c r="C471" s="397"/>
      <c r="D471" s="785"/>
      <c r="E471" s="16"/>
      <c r="F471" s="19"/>
      <c r="G471" s="110"/>
      <c r="H471" s="104">
        <f>H470-24506</f>
        <v>249891.41999999998</v>
      </c>
      <c r="I471" s="691"/>
      <c r="J471" s="674"/>
      <c r="K471" s="687"/>
      <c r="L471" s="645"/>
      <c r="M471" s="645"/>
      <c r="N471" s="12"/>
      <c r="O471" s="12"/>
      <c r="P471" s="12"/>
      <c r="Q471" s="688"/>
      <c r="R471" s="688"/>
      <c r="S471" s="99"/>
      <c r="T471" s="99"/>
      <c r="U471" s="99"/>
      <c r="V471" s="99"/>
      <c r="W471" s="99"/>
    </row>
    <row r="472" spans="1:23" ht="16.5">
      <c r="A472" s="114"/>
      <c r="B472" s="114"/>
      <c r="C472" s="397"/>
      <c r="D472" s="398"/>
      <c r="E472" s="16"/>
      <c r="F472" s="19"/>
      <c r="G472" s="110"/>
      <c r="H472" s="104"/>
      <c r="I472" s="691"/>
      <c r="J472" s="674"/>
      <c r="K472" s="687"/>
      <c r="L472" s="645"/>
      <c r="M472" s="645"/>
      <c r="N472" s="12"/>
      <c r="O472" s="12"/>
      <c r="P472" s="12"/>
      <c r="Q472" s="688"/>
      <c r="R472" s="688"/>
      <c r="S472" s="99"/>
      <c r="T472" s="99"/>
      <c r="U472" s="99"/>
      <c r="V472" s="99"/>
      <c r="W472" s="99"/>
    </row>
    <row r="473" spans="1:13" ht="16.5" customHeight="1">
      <c r="A473" s="71" t="s">
        <v>817</v>
      </c>
      <c r="B473" s="71"/>
      <c r="C473" s="140"/>
      <c r="D473" s="141"/>
      <c r="E473" s="141"/>
      <c r="F473" s="142"/>
      <c r="G473" s="141"/>
      <c r="H473" s="104"/>
      <c r="I473" s="676"/>
      <c r="J473" s="705"/>
      <c r="K473" s="706"/>
      <c r="L473" s="587"/>
      <c r="M473" s="587"/>
    </row>
    <row r="474" spans="1:13" ht="16.5" customHeight="1">
      <c r="A474" s="71"/>
      <c r="B474" s="71"/>
      <c r="C474" s="140"/>
      <c r="D474" s="141"/>
      <c r="E474" s="141"/>
      <c r="F474" s="142"/>
      <c r="G474" s="141"/>
      <c r="H474" s="104"/>
      <c r="I474" s="676"/>
      <c r="J474" s="705"/>
      <c r="K474" s="706"/>
      <c r="L474" s="587"/>
      <c r="M474" s="587"/>
    </row>
    <row r="475" spans="1:13" ht="16.5" customHeight="1">
      <c r="A475" s="71"/>
      <c r="B475" s="71"/>
      <c r="C475" s="140"/>
      <c r="D475" s="141"/>
      <c r="E475" s="141"/>
      <c r="F475" s="142"/>
      <c r="G475" s="141"/>
      <c r="H475" s="104"/>
      <c r="I475" s="676"/>
      <c r="J475" s="705"/>
      <c r="K475" s="706"/>
      <c r="L475" s="587"/>
      <c r="M475" s="587"/>
    </row>
    <row r="476" spans="1:13" ht="18" customHeight="1">
      <c r="A476" s="143" t="s">
        <v>818</v>
      </c>
      <c r="B476" s="143"/>
      <c r="C476" s="144"/>
      <c r="D476" s="145"/>
      <c r="E476" s="145"/>
      <c r="F476" s="146"/>
      <c r="G476" s="145"/>
      <c r="H476" s="17"/>
      <c r="I476" s="676"/>
      <c r="J476" s="705"/>
      <c r="K476" s="706"/>
      <c r="L476" s="587"/>
      <c r="M476" s="587"/>
    </row>
    <row r="477" spans="1:13" ht="18" customHeight="1">
      <c r="A477" s="143"/>
      <c r="B477" s="143"/>
      <c r="C477" s="144"/>
      <c r="D477" s="145"/>
      <c r="E477" s="145"/>
      <c r="F477" s="146"/>
      <c r="G477" s="145"/>
      <c r="H477" s="17"/>
      <c r="I477" s="676"/>
      <c r="J477" s="705"/>
      <c r="K477" s="706"/>
      <c r="L477" s="587"/>
      <c r="M477" s="587"/>
    </row>
    <row r="478" spans="1:13" ht="18" customHeight="1">
      <c r="A478" s="143"/>
      <c r="B478" s="143"/>
      <c r="C478" s="144"/>
      <c r="D478" s="145"/>
      <c r="E478" s="145"/>
      <c r="F478" s="146"/>
      <c r="G478" s="145"/>
      <c r="H478" s="17"/>
      <c r="I478" s="676"/>
      <c r="J478" s="705"/>
      <c r="K478" s="706"/>
      <c r="L478" s="587"/>
      <c r="M478" s="587"/>
    </row>
    <row r="479" spans="1:13" ht="16.5" customHeight="1">
      <c r="A479" s="71" t="s">
        <v>819</v>
      </c>
      <c r="B479" s="71"/>
      <c r="C479" s="140"/>
      <c r="D479" s="141"/>
      <c r="E479" s="141"/>
      <c r="F479" s="142"/>
      <c r="G479" s="141"/>
      <c r="H479" s="104"/>
      <c r="I479" s="676"/>
      <c r="J479" s="705"/>
      <c r="K479" s="706"/>
      <c r="L479" s="587"/>
      <c r="M479" s="587"/>
    </row>
    <row r="480" spans="1:13" ht="16.5" customHeight="1">
      <c r="A480" s="71"/>
      <c r="B480" s="71"/>
      <c r="C480" s="140"/>
      <c r="D480" s="141"/>
      <c r="E480" s="141"/>
      <c r="F480" s="142"/>
      <c r="G480" s="141"/>
      <c r="H480" s="104"/>
      <c r="I480" s="676"/>
      <c r="J480" s="705"/>
      <c r="K480" s="706"/>
      <c r="L480" s="587"/>
      <c r="M480" s="587"/>
    </row>
    <row r="481" spans="1:13" ht="18.75">
      <c r="A481" s="143"/>
      <c r="B481" s="143"/>
      <c r="C481" s="144"/>
      <c r="D481" s="145"/>
      <c r="E481" s="145"/>
      <c r="F481" s="146"/>
      <c r="G481" s="145"/>
      <c r="H481" s="17"/>
      <c r="I481" s="707"/>
      <c r="J481" s="705"/>
      <c r="K481" s="706"/>
      <c r="L481" s="500"/>
      <c r="M481" s="500"/>
    </row>
    <row r="482" spans="1:13" ht="18.75">
      <c r="A482" s="143" t="s">
        <v>820</v>
      </c>
      <c r="B482" s="143"/>
      <c r="C482" s="144"/>
      <c r="D482" s="145"/>
      <c r="E482" s="145"/>
      <c r="F482" s="146"/>
      <c r="G482" s="145"/>
      <c r="I482" s="707"/>
      <c r="J482" s="705"/>
      <c r="K482" s="706"/>
      <c r="L482" s="500"/>
      <c r="M482" s="500"/>
    </row>
    <row r="483" spans="1:13" ht="18.75">
      <c r="A483" s="143"/>
      <c r="B483" s="143"/>
      <c r="C483" s="144"/>
      <c r="D483" s="145"/>
      <c r="E483" s="145"/>
      <c r="F483" s="146"/>
      <c r="G483" s="145"/>
      <c r="I483" s="707"/>
      <c r="J483" s="705"/>
      <c r="K483" s="706"/>
      <c r="L483" s="500"/>
      <c r="M483" s="500"/>
    </row>
    <row r="484" spans="1:13" ht="18.75">
      <c r="A484" s="143"/>
      <c r="B484" s="143"/>
      <c r="C484" s="144"/>
      <c r="D484" s="145"/>
      <c r="E484" s="145"/>
      <c r="F484" s="146"/>
      <c r="G484" s="145"/>
      <c r="I484" s="707"/>
      <c r="J484" s="705"/>
      <c r="K484" s="706"/>
      <c r="L484" s="500"/>
      <c r="M484" s="500"/>
    </row>
    <row r="485" spans="1:11" ht="18.75">
      <c r="A485" s="68"/>
      <c r="B485" s="68"/>
      <c r="C485" s="69"/>
      <c r="D485" s="147"/>
      <c r="E485" s="147"/>
      <c r="F485" s="148" t="s">
        <v>821</v>
      </c>
      <c r="G485" s="147"/>
      <c r="I485" s="676"/>
      <c r="K485" s="656"/>
    </row>
    <row r="486" spans="1:11" ht="18.75">
      <c r="A486" s="68"/>
      <c r="B486" s="68"/>
      <c r="C486" s="69"/>
      <c r="D486" s="147"/>
      <c r="E486" s="147"/>
      <c r="F486" s="148" t="s">
        <v>822</v>
      </c>
      <c r="G486" s="147"/>
      <c r="I486" s="676"/>
      <c r="K486" s="656"/>
    </row>
    <row r="487" spans="1:11" ht="18.75">
      <c r="A487" s="68"/>
      <c r="B487" s="68"/>
      <c r="C487" s="69"/>
      <c r="D487" s="147"/>
      <c r="E487" s="147"/>
      <c r="F487" s="148"/>
      <c r="G487" s="147"/>
      <c r="I487" s="676"/>
      <c r="K487" s="656"/>
    </row>
    <row r="488" spans="1:11" ht="19.5">
      <c r="A488" s="68"/>
      <c r="B488" s="68"/>
      <c r="C488" s="69"/>
      <c r="D488" s="147"/>
      <c r="E488" s="147"/>
      <c r="F488" s="149" t="s">
        <v>305</v>
      </c>
      <c r="G488" s="147"/>
      <c r="I488" s="676"/>
      <c r="K488" s="656"/>
    </row>
    <row r="489" spans="1:11" ht="18.75">
      <c r="A489" s="47"/>
      <c r="B489" s="47"/>
      <c r="C489" s="47"/>
      <c r="I489" s="676"/>
      <c r="K489" s="656"/>
    </row>
    <row r="490" spans="1:11" ht="18.75">
      <c r="A490" s="47"/>
      <c r="B490" s="47"/>
      <c r="C490" s="47"/>
      <c r="I490" s="676"/>
      <c r="K490" s="656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66"/>
  <sheetViews>
    <sheetView zoomScalePageLayoutView="0" workbookViewId="0" topLeftCell="A157">
      <selection activeCell="M160" sqref="M160"/>
    </sheetView>
  </sheetViews>
  <sheetFormatPr defaultColWidth="9.140625" defaultRowHeight="12.75"/>
  <cols>
    <col min="1" max="1" width="3.7109375" style="42" customWidth="1"/>
    <col min="2" max="2" width="5.140625" style="42" customWidth="1"/>
    <col min="3" max="3" width="6.57421875" style="42" customWidth="1"/>
    <col min="4" max="4" width="5.28125" style="42" customWidth="1"/>
    <col min="5" max="5" width="26.28125" style="42" customWidth="1"/>
    <col min="6" max="6" width="14.7109375" style="42" customWidth="1"/>
    <col min="7" max="7" width="13.421875" style="42" customWidth="1"/>
    <col min="8" max="8" width="23.28125" style="42" customWidth="1"/>
    <col min="9" max="9" width="12.421875" style="42" customWidth="1"/>
    <col min="10" max="10" width="12.28125" style="42" customWidth="1"/>
    <col min="11" max="11" width="8.421875" style="42" customWidth="1"/>
    <col min="12" max="12" width="8.140625" style="42" customWidth="1"/>
    <col min="13" max="13" width="15.140625" style="42" customWidth="1"/>
    <col min="14" max="14" width="20.8515625" style="730" customWidth="1"/>
    <col min="15" max="15" width="14.7109375" style="730" customWidth="1"/>
    <col min="16" max="23" width="9.140625" style="730" customWidth="1"/>
    <col min="24" max="16384" width="9.140625" style="42" customWidth="1"/>
  </cols>
  <sheetData>
    <row r="1" spans="1:12" ht="20.25">
      <c r="A1" s="154"/>
      <c r="B1" s="155"/>
      <c r="C1" s="155"/>
      <c r="D1" s="154"/>
      <c r="E1" s="156"/>
      <c r="F1" s="156"/>
      <c r="G1" s="156"/>
      <c r="H1" s="157" t="s">
        <v>829</v>
      </c>
      <c r="I1" s="2"/>
      <c r="J1" s="2"/>
      <c r="K1" s="158"/>
      <c r="L1" s="158"/>
    </row>
    <row r="2" spans="1:12" ht="18.75">
      <c r="A2" s="154"/>
      <c r="B2" s="155"/>
      <c r="C2" s="155"/>
      <c r="D2" s="154"/>
      <c r="E2" s="156"/>
      <c r="F2" s="156"/>
      <c r="G2" s="156"/>
      <c r="H2" s="159" t="s">
        <v>202</v>
      </c>
      <c r="I2" s="2"/>
      <c r="J2" s="2"/>
      <c r="K2" s="158"/>
      <c r="L2" s="158"/>
    </row>
    <row r="3" spans="1:12" ht="18.75">
      <c r="A3" s="154"/>
      <c r="B3" s="155"/>
      <c r="C3" s="155"/>
      <c r="D3" s="154"/>
      <c r="E3" s="156"/>
      <c r="F3" s="156"/>
      <c r="G3" s="156"/>
      <c r="H3" s="159" t="s">
        <v>268</v>
      </c>
      <c r="I3" s="2"/>
      <c r="J3" s="160"/>
      <c r="K3" s="158"/>
      <c r="L3" s="158"/>
    </row>
    <row r="4" spans="1:12" ht="18.75">
      <c r="A4" s="154"/>
      <c r="B4" s="155"/>
      <c r="C4" s="155"/>
      <c r="D4" s="154"/>
      <c r="E4" s="156"/>
      <c r="F4" s="156"/>
      <c r="G4" s="156"/>
      <c r="H4" s="159" t="s">
        <v>203</v>
      </c>
      <c r="I4" s="2"/>
      <c r="J4" s="161"/>
      <c r="K4" s="158"/>
      <c r="L4" s="158"/>
    </row>
    <row r="5" spans="1:12" ht="12.75">
      <c r="A5" s="154"/>
      <c r="B5" s="155"/>
      <c r="C5" s="155"/>
      <c r="D5" s="154"/>
      <c r="E5" s="156"/>
      <c r="F5" s="156"/>
      <c r="G5" s="156"/>
      <c r="H5" s="162"/>
      <c r="I5" s="2"/>
      <c r="J5" s="2"/>
      <c r="K5" s="158"/>
      <c r="L5" s="158"/>
    </row>
    <row r="6" spans="1:12" ht="19.5">
      <c r="A6" s="154"/>
      <c r="B6" s="163"/>
      <c r="C6" s="164" t="s">
        <v>830</v>
      </c>
      <c r="D6" s="165"/>
      <c r="E6" s="166"/>
      <c r="F6" s="166"/>
      <c r="G6" s="166"/>
      <c r="H6" s="167"/>
      <c r="I6" s="168"/>
      <c r="J6" s="168"/>
      <c r="K6" s="169"/>
      <c r="L6" s="169"/>
    </row>
    <row r="7" spans="1:12" ht="19.5">
      <c r="A7" s="154"/>
      <c r="B7" s="163"/>
      <c r="C7" s="164"/>
      <c r="D7" s="165"/>
      <c r="E7" s="166"/>
      <c r="F7" s="166"/>
      <c r="G7" s="166"/>
      <c r="H7" s="167"/>
      <c r="I7" s="168"/>
      <c r="J7" s="170"/>
      <c r="K7" s="169"/>
      <c r="L7" s="169"/>
    </row>
    <row r="8" spans="1:12" ht="18.75">
      <c r="A8" s="154"/>
      <c r="B8" s="163"/>
      <c r="C8" s="171"/>
      <c r="D8" s="165"/>
      <c r="E8" s="166"/>
      <c r="F8" s="166"/>
      <c r="G8" s="166"/>
      <c r="H8" s="167"/>
      <c r="I8" s="168"/>
      <c r="J8" s="168"/>
      <c r="K8" s="169"/>
      <c r="L8" s="169"/>
    </row>
    <row r="9" spans="1:12" ht="12.75">
      <c r="A9" s="154"/>
      <c r="B9" s="163" t="s">
        <v>712</v>
      </c>
      <c r="C9" s="172"/>
      <c r="D9" s="173"/>
      <c r="E9" s="166"/>
      <c r="F9" s="166"/>
      <c r="G9" s="166"/>
      <c r="H9" s="174"/>
      <c r="I9" s="175" t="s">
        <v>831</v>
      </c>
      <c r="J9" s="175"/>
      <c r="K9" s="176"/>
      <c r="L9" s="176"/>
    </row>
    <row r="10" spans="1:12" ht="18.75" customHeight="1">
      <c r="A10" s="177"/>
      <c r="B10" s="178"/>
      <c r="C10" s="179"/>
      <c r="D10" s="179"/>
      <c r="E10" s="180"/>
      <c r="F10" s="181"/>
      <c r="G10" s="182"/>
      <c r="H10" s="180"/>
      <c r="I10" s="183" t="s">
        <v>832</v>
      </c>
      <c r="J10" s="182"/>
      <c r="K10" s="184" t="s">
        <v>712</v>
      </c>
      <c r="L10" s="184"/>
    </row>
    <row r="11" spans="1:12" ht="48" customHeight="1">
      <c r="A11" s="185" t="s">
        <v>833</v>
      </c>
      <c r="B11" s="186" t="s">
        <v>834</v>
      </c>
      <c r="C11" s="187" t="s">
        <v>720</v>
      </c>
      <c r="D11" s="187" t="s">
        <v>715</v>
      </c>
      <c r="E11" s="188" t="s">
        <v>835</v>
      </c>
      <c r="F11" s="189" t="s">
        <v>836</v>
      </c>
      <c r="G11" s="190" t="s">
        <v>837</v>
      </c>
      <c r="H11" s="191" t="s">
        <v>838</v>
      </c>
      <c r="I11" s="192"/>
      <c r="J11" s="193" t="s">
        <v>711</v>
      </c>
      <c r="K11" s="194" t="s">
        <v>839</v>
      </c>
      <c r="L11" s="194" t="s">
        <v>840</v>
      </c>
    </row>
    <row r="12" spans="1:15" ht="36.75" customHeight="1">
      <c r="A12" s="195"/>
      <c r="B12" s="196"/>
      <c r="C12" s="197"/>
      <c r="D12" s="197"/>
      <c r="E12" s="198"/>
      <c r="F12" s="199"/>
      <c r="G12" s="200" t="s">
        <v>841</v>
      </c>
      <c r="H12" s="199"/>
      <c r="I12" s="201" t="s">
        <v>841</v>
      </c>
      <c r="J12" s="202" t="s">
        <v>842</v>
      </c>
      <c r="K12" s="203"/>
      <c r="L12" s="203"/>
      <c r="N12" s="731"/>
      <c r="O12" s="731"/>
    </row>
    <row r="13" spans="1:15" ht="21" customHeight="1">
      <c r="A13" s="204"/>
      <c r="B13" s="205" t="s">
        <v>843</v>
      </c>
      <c r="C13" s="206"/>
      <c r="D13" s="207"/>
      <c r="E13" s="208"/>
      <c r="F13" s="209">
        <f>F14+F49+F64+F61+F74+F83+F86+F121+F127+F131+F146+F177+F181</f>
        <v>53357140.519999996</v>
      </c>
      <c r="G13" s="209">
        <f>G14+G49+G64+G61+G74+G83+G86+G121+G127+G131+G146+G177+G181</f>
        <v>4994337.02</v>
      </c>
      <c r="H13" s="209"/>
      <c r="I13" s="209">
        <f>I14+I49+I64+I61+I74+I83+I86+I121+I127+I131+I146+I177+I181</f>
        <v>34723128.67</v>
      </c>
      <c r="J13" s="209">
        <f>J14+J49+J64+J61+J74+J83+J86+J121+J127+J131+J146+J177+J181</f>
        <v>5144220.48</v>
      </c>
      <c r="K13" s="210"/>
      <c r="L13" s="211"/>
      <c r="N13" s="732"/>
      <c r="O13" s="732"/>
    </row>
    <row r="14" spans="1:15" ht="19.5" customHeight="1">
      <c r="A14" s="177"/>
      <c r="B14" s="213">
        <v>600</v>
      </c>
      <c r="C14" s="214"/>
      <c r="D14" s="215"/>
      <c r="E14" s="216" t="s">
        <v>848</v>
      </c>
      <c r="F14" s="217">
        <f>F15+F18</f>
        <v>23790755.55</v>
      </c>
      <c r="G14" s="217">
        <f>G15+G18</f>
        <v>726010.05</v>
      </c>
      <c r="H14" s="217"/>
      <c r="I14" s="217">
        <f>I15+I18</f>
        <v>15015388.450000001</v>
      </c>
      <c r="J14" s="217">
        <f>J15+J18</f>
        <v>2933220.48</v>
      </c>
      <c r="K14" s="211"/>
      <c r="L14" s="211"/>
      <c r="N14" s="733"/>
      <c r="O14" s="733"/>
    </row>
    <row r="15" spans="1:23" s="342" customFormat="1" ht="19.5" customHeight="1">
      <c r="A15" s="254"/>
      <c r="B15" s="254"/>
      <c r="C15" s="253">
        <v>60004</v>
      </c>
      <c r="D15" s="220"/>
      <c r="E15" s="400" t="s">
        <v>549</v>
      </c>
      <c r="F15" s="401">
        <f>SUM(F16:F17)</f>
        <v>218450</v>
      </c>
      <c r="G15" s="401">
        <f>SUM(G16:G17)</f>
        <v>0</v>
      </c>
      <c r="H15" s="401">
        <f>SUM(H16:H17)</f>
        <v>0</v>
      </c>
      <c r="I15" s="401">
        <f>SUM(I16:I17)</f>
        <v>218450</v>
      </c>
      <c r="J15" s="401">
        <f>SUM(J16:J17)</f>
        <v>0</v>
      </c>
      <c r="K15" s="223"/>
      <c r="L15" s="223"/>
      <c r="N15" s="734"/>
      <c r="O15" s="734"/>
      <c r="P15" s="735"/>
      <c r="Q15" s="735"/>
      <c r="R15" s="735"/>
      <c r="S15" s="735"/>
      <c r="T15" s="735"/>
      <c r="U15" s="735"/>
      <c r="V15" s="735"/>
      <c r="W15" s="735"/>
    </row>
    <row r="16" spans="1:23" s="736" customFormat="1" ht="29.25" customHeight="1">
      <c r="A16" s="185">
        <v>1</v>
      </c>
      <c r="B16" s="242"/>
      <c r="C16" s="177"/>
      <c r="D16" s="243">
        <v>6050</v>
      </c>
      <c r="E16" s="406" t="s">
        <v>548</v>
      </c>
      <c r="F16" s="235">
        <f>20000-1550</f>
        <v>18450</v>
      </c>
      <c r="G16" s="235"/>
      <c r="H16" s="631" t="s">
        <v>550</v>
      </c>
      <c r="I16" s="235">
        <f>20000-1550</f>
        <v>18450</v>
      </c>
      <c r="J16" s="235"/>
      <c r="K16" s="211" t="s">
        <v>45</v>
      </c>
      <c r="L16" s="211">
        <v>2013</v>
      </c>
      <c r="N16" s="737"/>
      <c r="O16" s="737"/>
      <c r="P16" s="738"/>
      <c r="Q16" s="738"/>
      <c r="R16" s="738"/>
      <c r="S16" s="738"/>
      <c r="T16" s="738"/>
      <c r="U16" s="738"/>
      <c r="V16" s="738"/>
      <c r="W16" s="738"/>
    </row>
    <row r="17" spans="1:23" s="736" customFormat="1" ht="29.25" customHeight="1">
      <c r="A17" s="185">
        <v>2</v>
      </c>
      <c r="B17" s="242"/>
      <c r="C17" s="195"/>
      <c r="D17" s="243">
        <v>6210</v>
      </c>
      <c r="E17" s="406" t="s">
        <v>847</v>
      </c>
      <c r="F17" s="235">
        <v>200000</v>
      </c>
      <c r="G17" s="235"/>
      <c r="H17" s="286" t="s">
        <v>845</v>
      </c>
      <c r="I17" s="235">
        <v>200000</v>
      </c>
      <c r="J17" s="235"/>
      <c r="K17" s="211" t="s">
        <v>844</v>
      </c>
      <c r="L17" s="211">
        <v>2013</v>
      </c>
      <c r="N17" s="737"/>
      <c r="O17" s="737"/>
      <c r="P17" s="738"/>
      <c r="Q17" s="738"/>
      <c r="R17" s="738"/>
      <c r="S17" s="738"/>
      <c r="T17" s="738"/>
      <c r="U17" s="738"/>
      <c r="V17" s="738"/>
      <c r="W17" s="738"/>
    </row>
    <row r="18" spans="1:12" ht="18" customHeight="1">
      <c r="A18" s="195"/>
      <c r="B18" s="218"/>
      <c r="C18" s="219">
        <v>60016</v>
      </c>
      <c r="D18" s="220"/>
      <c r="E18" s="221" t="s">
        <v>849</v>
      </c>
      <c r="F18" s="222">
        <f>SUM(F19:F48)</f>
        <v>23572305.55</v>
      </c>
      <c r="G18" s="222">
        <f>SUM(G19:G48)</f>
        <v>726010.05</v>
      </c>
      <c r="H18" s="222"/>
      <c r="I18" s="222">
        <f>SUM(I19:I48)</f>
        <v>14796938.450000001</v>
      </c>
      <c r="J18" s="222">
        <f>SUM(J19:J48)</f>
        <v>2933220.48</v>
      </c>
      <c r="K18" s="223"/>
      <c r="L18" s="223"/>
    </row>
    <row r="19" spans="1:23" s="232" customFormat="1" ht="30" customHeight="1">
      <c r="A19" s="224">
        <v>3</v>
      </c>
      <c r="B19" s="225"/>
      <c r="C19" s="226"/>
      <c r="D19" s="227">
        <v>6050</v>
      </c>
      <c r="E19" s="228" t="s">
        <v>850</v>
      </c>
      <c r="F19" s="229">
        <f>1530000-121577</f>
        <v>1408423</v>
      </c>
      <c r="G19" s="229">
        <v>220000</v>
      </c>
      <c r="H19" s="230" t="s">
        <v>20</v>
      </c>
      <c r="I19" s="229">
        <f>1310000-121577</f>
        <v>1188423</v>
      </c>
      <c r="J19" s="229">
        <f>585000-288000-88150-121577</f>
        <v>87273</v>
      </c>
      <c r="K19" s="211" t="s">
        <v>21</v>
      </c>
      <c r="L19" s="211" t="s">
        <v>22</v>
      </c>
      <c r="M19" s="231"/>
      <c r="N19" s="739"/>
      <c r="O19" s="740"/>
      <c r="P19" s="740"/>
      <c r="Q19" s="740"/>
      <c r="R19" s="740"/>
      <c r="S19" s="740"/>
      <c r="T19" s="740"/>
      <c r="U19" s="740"/>
      <c r="V19" s="740"/>
      <c r="W19" s="740"/>
    </row>
    <row r="20" spans="1:23" s="232" customFormat="1" ht="27.75" customHeight="1">
      <c r="A20" s="224">
        <v>4</v>
      </c>
      <c r="B20" s="225"/>
      <c r="C20" s="226"/>
      <c r="D20" s="227">
        <v>6050</v>
      </c>
      <c r="E20" s="228" t="s">
        <v>23</v>
      </c>
      <c r="F20" s="229">
        <f>1500000-100000-13000-65543.95</f>
        <v>1321456.05</v>
      </c>
      <c r="G20" s="229">
        <f>1000000-13000-359457.92-163032.03</f>
        <v>464510.05000000005</v>
      </c>
      <c r="H20" s="230" t="s">
        <v>24</v>
      </c>
      <c r="I20" s="229">
        <f>500000-100000+163032.03+359457.92-65543.95</f>
        <v>856946</v>
      </c>
      <c r="J20" s="229">
        <f>480000-100000-314456.05-65543.95</f>
        <v>0</v>
      </c>
      <c r="K20" s="211" t="s">
        <v>21</v>
      </c>
      <c r="L20" s="211" t="s">
        <v>22</v>
      </c>
      <c r="M20" s="231"/>
      <c r="N20" s="739"/>
      <c r="O20" s="740"/>
      <c r="P20" s="740"/>
      <c r="Q20" s="740"/>
      <c r="R20" s="740"/>
      <c r="S20" s="740"/>
      <c r="T20" s="740"/>
      <c r="U20" s="740"/>
      <c r="V20" s="740"/>
      <c r="W20" s="740"/>
    </row>
    <row r="21" spans="1:23" s="232" customFormat="1" ht="24" customHeight="1">
      <c r="A21" s="224">
        <v>5</v>
      </c>
      <c r="B21" s="225"/>
      <c r="C21" s="226"/>
      <c r="D21" s="227">
        <v>6050</v>
      </c>
      <c r="E21" s="228" t="s">
        <v>25</v>
      </c>
      <c r="F21" s="229">
        <f>1500000+601000+32500</f>
        <v>2133500</v>
      </c>
      <c r="G21" s="229">
        <v>0</v>
      </c>
      <c r="H21" s="230" t="s">
        <v>26</v>
      </c>
      <c r="I21" s="229">
        <f>601000+1500000+32500</f>
        <v>2133500</v>
      </c>
      <c r="J21" s="229">
        <f>120000+119110</f>
        <v>239110</v>
      </c>
      <c r="K21" s="211" t="s">
        <v>21</v>
      </c>
      <c r="L21" s="211" t="s">
        <v>22</v>
      </c>
      <c r="M21" s="231"/>
      <c r="N21" s="740"/>
      <c r="O21" s="740"/>
      <c r="P21" s="740"/>
      <c r="Q21" s="740"/>
      <c r="R21" s="740"/>
      <c r="S21" s="740"/>
      <c r="T21" s="740"/>
      <c r="U21" s="740"/>
      <c r="V21" s="740"/>
      <c r="W21" s="740"/>
    </row>
    <row r="22" spans="1:23" s="232" customFormat="1" ht="26.25" customHeight="1">
      <c r="A22" s="224">
        <v>6</v>
      </c>
      <c r="B22" s="225"/>
      <c r="C22" s="226"/>
      <c r="D22" s="227">
        <v>6050</v>
      </c>
      <c r="E22" s="228" t="s">
        <v>27</v>
      </c>
      <c r="F22" s="229">
        <v>4500000</v>
      </c>
      <c r="G22" s="229">
        <v>0</v>
      </c>
      <c r="H22" s="230" t="s">
        <v>26</v>
      </c>
      <c r="I22" s="229">
        <f>1500000-1400000-13000+1400000-130000+130000</f>
        <v>1487000</v>
      </c>
      <c r="J22" s="229">
        <f>200000+683800-6500-23500-753800-13000+753800-182000</f>
        <v>658800</v>
      </c>
      <c r="K22" s="211" t="s">
        <v>21</v>
      </c>
      <c r="L22" s="211" t="s">
        <v>28</v>
      </c>
      <c r="M22" s="231"/>
      <c r="N22" s="739"/>
      <c r="O22" s="740"/>
      <c r="P22" s="740"/>
      <c r="Q22" s="740"/>
      <c r="R22" s="740"/>
      <c r="S22" s="740"/>
      <c r="T22" s="740"/>
      <c r="U22" s="740"/>
      <c r="V22" s="740"/>
      <c r="W22" s="740"/>
    </row>
    <row r="23" spans="1:23" s="232" customFormat="1" ht="28.5" customHeight="1">
      <c r="A23" s="224">
        <v>7</v>
      </c>
      <c r="B23" s="225"/>
      <c r="C23" s="226"/>
      <c r="D23" s="227">
        <v>6050</v>
      </c>
      <c r="E23" s="228" t="s">
        <v>29</v>
      </c>
      <c r="F23" s="229">
        <f>150000+82043.95+78175</f>
        <v>310218.95</v>
      </c>
      <c r="G23" s="229">
        <v>26500</v>
      </c>
      <c r="H23" s="230" t="s">
        <v>30</v>
      </c>
      <c r="I23" s="229">
        <f>123500+82043.95+78175</f>
        <v>283718.95</v>
      </c>
      <c r="J23" s="229">
        <f>23500+82043.95</f>
        <v>105543.95</v>
      </c>
      <c r="K23" s="211" t="s">
        <v>21</v>
      </c>
      <c r="L23" s="211" t="s">
        <v>22</v>
      </c>
      <c r="M23" s="231"/>
      <c r="N23" s="739"/>
      <c r="O23" s="740"/>
      <c r="P23" s="740"/>
      <c r="Q23" s="740"/>
      <c r="R23" s="740"/>
      <c r="S23" s="740"/>
      <c r="T23" s="740"/>
      <c r="U23" s="740"/>
      <c r="V23" s="740"/>
      <c r="W23" s="740"/>
    </row>
    <row r="24" spans="1:23" s="232" customFormat="1" ht="37.5" customHeight="1">
      <c r="A24" s="224">
        <v>8</v>
      </c>
      <c r="B24" s="225"/>
      <c r="C24" s="226"/>
      <c r="D24" s="227">
        <v>6050</v>
      </c>
      <c r="E24" s="228" t="s">
        <v>31</v>
      </c>
      <c r="F24" s="229">
        <f>100000-3000</f>
        <v>97000</v>
      </c>
      <c r="G24" s="229">
        <v>10000</v>
      </c>
      <c r="H24" s="230" t="s">
        <v>32</v>
      </c>
      <c r="I24" s="229">
        <f>90000-3000</f>
        <v>87000</v>
      </c>
      <c r="J24" s="229">
        <v>0</v>
      </c>
      <c r="K24" s="211" t="s">
        <v>21</v>
      </c>
      <c r="L24" s="211" t="s">
        <v>22</v>
      </c>
      <c r="M24" s="231"/>
      <c r="N24" s="740"/>
      <c r="O24" s="740"/>
      <c r="P24" s="740"/>
      <c r="Q24" s="740"/>
      <c r="R24" s="740"/>
      <c r="S24" s="740"/>
      <c r="T24" s="740"/>
      <c r="U24" s="740"/>
      <c r="V24" s="740"/>
      <c r="W24" s="740"/>
    </row>
    <row r="25" spans="1:23" s="232" customFormat="1" ht="49.5" customHeight="1">
      <c r="A25" s="224">
        <v>9</v>
      </c>
      <c r="B25" s="225"/>
      <c r="C25" s="226"/>
      <c r="D25" s="227">
        <v>6050</v>
      </c>
      <c r="E25" s="233" t="s">
        <v>37</v>
      </c>
      <c r="F25" s="229">
        <f>30000+3000+47000+500</f>
        <v>80500</v>
      </c>
      <c r="G25" s="229">
        <v>5000</v>
      </c>
      <c r="H25" s="230" t="s">
        <v>38</v>
      </c>
      <c r="I25" s="229">
        <f>25000+3000+47000</f>
        <v>75000</v>
      </c>
      <c r="J25" s="229">
        <v>0</v>
      </c>
      <c r="K25" s="211" t="s">
        <v>21</v>
      </c>
      <c r="L25" s="211" t="s">
        <v>28</v>
      </c>
      <c r="M25" s="231"/>
      <c r="N25" s="740"/>
      <c r="O25" s="740"/>
      <c r="P25" s="740"/>
      <c r="Q25" s="740"/>
      <c r="R25" s="740"/>
      <c r="S25" s="740"/>
      <c r="T25" s="740"/>
      <c r="U25" s="740"/>
      <c r="V25" s="740"/>
      <c r="W25" s="740"/>
    </row>
    <row r="26" spans="1:23" s="232" customFormat="1" ht="31.5" customHeight="1">
      <c r="A26" s="224">
        <v>10</v>
      </c>
      <c r="B26" s="225"/>
      <c r="C26" s="226"/>
      <c r="D26" s="227">
        <v>6050</v>
      </c>
      <c r="E26" s="234" t="s">
        <v>39</v>
      </c>
      <c r="F26" s="235">
        <f>570000-106000-1291-4500</f>
        <v>458209</v>
      </c>
      <c r="G26" s="235">
        <v>0</v>
      </c>
      <c r="H26" s="236" t="s">
        <v>40</v>
      </c>
      <c r="I26" s="235">
        <f>570000-106000-1291-4500</f>
        <v>458209</v>
      </c>
      <c r="J26" s="235">
        <f>100000-30960</f>
        <v>69040</v>
      </c>
      <c r="K26" s="211" t="s">
        <v>21</v>
      </c>
      <c r="L26" s="211">
        <v>2013</v>
      </c>
      <c r="M26" s="231"/>
      <c r="N26" s="740"/>
      <c r="O26" s="740"/>
      <c r="P26" s="740"/>
      <c r="Q26" s="740"/>
      <c r="R26" s="740"/>
      <c r="S26" s="740"/>
      <c r="T26" s="740"/>
      <c r="U26" s="740"/>
      <c r="V26" s="740"/>
      <c r="W26" s="740"/>
    </row>
    <row r="27" spans="1:23" s="232" customFormat="1" ht="78" customHeight="1">
      <c r="A27" s="224">
        <v>11</v>
      </c>
      <c r="B27" s="225"/>
      <c r="C27" s="226"/>
      <c r="D27" s="227">
        <v>6010</v>
      </c>
      <c r="E27" s="234" t="s">
        <v>649</v>
      </c>
      <c r="F27" s="235">
        <v>302000</v>
      </c>
      <c r="G27" s="235"/>
      <c r="H27" s="236" t="s">
        <v>650</v>
      </c>
      <c r="I27" s="235">
        <v>302000</v>
      </c>
      <c r="J27" s="235"/>
      <c r="K27" s="211" t="s">
        <v>21</v>
      </c>
      <c r="L27" s="211">
        <v>2013</v>
      </c>
      <c r="M27" s="231"/>
      <c r="N27" s="739"/>
      <c r="O27" s="740"/>
      <c r="P27" s="740"/>
      <c r="Q27" s="740"/>
      <c r="R27" s="740"/>
      <c r="S27" s="740"/>
      <c r="T27" s="740"/>
      <c r="U27" s="740"/>
      <c r="V27" s="740"/>
      <c r="W27" s="740"/>
    </row>
    <row r="28" spans="1:23" s="232" customFormat="1" ht="66" customHeight="1">
      <c r="A28" s="224">
        <v>12</v>
      </c>
      <c r="B28" s="225"/>
      <c r="C28" s="226"/>
      <c r="D28" s="227">
        <v>6050</v>
      </c>
      <c r="E28" s="234" t="s">
        <v>41</v>
      </c>
      <c r="F28" s="235">
        <f>1500000+1857.05+130000-302000+13386-60000+29980.27</f>
        <v>1313223.32</v>
      </c>
      <c r="G28" s="235">
        <v>0</v>
      </c>
      <c r="H28" s="236" t="s">
        <v>42</v>
      </c>
      <c r="I28" s="235">
        <f>1500000-600000+600000+130000-302000+13386-60000+29980.27</f>
        <v>1311366.27</v>
      </c>
      <c r="J28" s="235">
        <v>200000</v>
      </c>
      <c r="K28" s="211" t="s">
        <v>21</v>
      </c>
      <c r="L28" s="211" t="s">
        <v>300</v>
      </c>
      <c r="M28" s="231"/>
      <c r="N28" s="739"/>
      <c r="O28" s="740"/>
      <c r="P28" s="740"/>
      <c r="Q28" s="740"/>
      <c r="R28" s="740"/>
      <c r="S28" s="740"/>
      <c r="T28" s="740"/>
      <c r="U28" s="740"/>
      <c r="V28" s="740"/>
      <c r="W28" s="740"/>
    </row>
    <row r="29" spans="1:23" s="232" customFormat="1" ht="39" customHeight="1">
      <c r="A29" s="224">
        <v>13</v>
      </c>
      <c r="B29" s="237"/>
      <c r="C29" s="238"/>
      <c r="D29" s="227">
        <v>6050</v>
      </c>
      <c r="E29" s="239" t="s">
        <v>43</v>
      </c>
      <c r="F29" s="240">
        <f>100000+100000</f>
        <v>200000</v>
      </c>
      <c r="G29" s="240">
        <v>0</v>
      </c>
      <c r="H29" s="236" t="s">
        <v>44</v>
      </c>
      <c r="I29" s="235">
        <f>100000+100000</f>
        <v>200000</v>
      </c>
      <c r="J29" s="235">
        <v>0</v>
      </c>
      <c r="K29" s="211" t="s">
        <v>45</v>
      </c>
      <c r="L29" s="211">
        <v>2013</v>
      </c>
      <c r="M29" s="231"/>
      <c r="N29" s="739"/>
      <c r="O29" s="740"/>
      <c r="P29" s="740"/>
      <c r="Q29" s="740"/>
      <c r="R29" s="740"/>
      <c r="S29" s="740"/>
      <c r="T29" s="740"/>
      <c r="U29" s="740"/>
      <c r="V29" s="740"/>
      <c r="W29" s="740"/>
    </row>
    <row r="30" spans="1:23" s="232" customFormat="1" ht="35.25" customHeight="1">
      <c r="A30" s="224">
        <v>14</v>
      </c>
      <c r="B30" s="237"/>
      <c r="C30" s="238"/>
      <c r="D30" s="227">
        <v>6050</v>
      </c>
      <c r="E30" s="239" t="s">
        <v>46</v>
      </c>
      <c r="F30" s="240">
        <f>800000-15000-16500-73675-130000</f>
        <v>564825</v>
      </c>
      <c r="G30" s="240"/>
      <c r="H30" s="236" t="s">
        <v>47</v>
      </c>
      <c r="I30" s="235">
        <f>800000-15000-16500-73675-130000</f>
        <v>564825</v>
      </c>
      <c r="J30" s="235">
        <f>500000-300000-16500-130000</f>
        <v>53500</v>
      </c>
      <c r="K30" s="211" t="s">
        <v>21</v>
      </c>
      <c r="L30" s="211">
        <v>2013</v>
      </c>
      <c r="M30" s="231"/>
      <c r="N30" s="740"/>
      <c r="O30" s="740"/>
      <c r="P30" s="740"/>
      <c r="Q30" s="740"/>
      <c r="R30" s="740"/>
      <c r="S30" s="740"/>
      <c r="T30" s="740"/>
      <c r="U30" s="740"/>
      <c r="V30" s="740"/>
      <c r="W30" s="740"/>
    </row>
    <row r="31" spans="1:23" s="232" customFormat="1" ht="42.75" customHeight="1">
      <c r="A31" s="224">
        <v>15</v>
      </c>
      <c r="B31" s="237"/>
      <c r="C31" s="238"/>
      <c r="D31" s="227">
        <v>6050</v>
      </c>
      <c r="E31" s="239" t="s">
        <v>48</v>
      </c>
      <c r="F31" s="240">
        <f>100000-50000+30000</f>
        <v>80000</v>
      </c>
      <c r="G31" s="240"/>
      <c r="H31" s="236" t="s">
        <v>49</v>
      </c>
      <c r="I31" s="235">
        <f>100000-50000</f>
        <v>50000</v>
      </c>
      <c r="J31" s="235"/>
      <c r="K31" s="211" t="s">
        <v>21</v>
      </c>
      <c r="L31" s="211" t="s">
        <v>300</v>
      </c>
      <c r="N31" s="740"/>
      <c r="O31" s="740"/>
      <c r="P31" s="740"/>
      <c r="Q31" s="740"/>
      <c r="R31" s="740"/>
      <c r="S31" s="740"/>
      <c r="T31" s="740"/>
      <c r="U31" s="740"/>
      <c r="V31" s="740"/>
      <c r="W31" s="740"/>
    </row>
    <row r="32" spans="1:23" s="232" customFormat="1" ht="53.25" customHeight="1">
      <c r="A32" s="224">
        <v>16</v>
      </c>
      <c r="B32" s="237"/>
      <c r="C32" s="238"/>
      <c r="D32" s="227">
        <v>6050</v>
      </c>
      <c r="E32" s="239" t="s">
        <v>50</v>
      </c>
      <c r="F32" s="240">
        <f>50000+1291</f>
        <v>51291</v>
      </c>
      <c r="G32" s="240"/>
      <c r="H32" s="236" t="s">
        <v>49</v>
      </c>
      <c r="I32" s="235">
        <f>1291+50000</f>
        <v>51291</v>
      </c>
      <c r="J32" s="235"/>
      <c r="K32" s="211" t="s">
        <v>21</v>
      </c>
      <c r="L32" s="211">
        <v>2013</v>
      </c>
      <c r="N32" s="739"/>
      <c r="O32" s="740"/>
      <c r="P32" s="740"/>
      <c r="Q32" s="740"/>
      <c r="R32" s="740"/>
      <c r="S32" s="740"/>
      <c r="T32" s="740"/>
      <c r="U32" s="740"/>
      <c r="V32" s="740"/>
      <c r="W32" s="740"/>
    </row>
    <row r="33" spans="1:23" s="232" customFormat="1" ht="42" customHeight="1">
      <c r="A33" s="224">
        <v>17</v>
      </c>
      <c r="B33" s="237"/>
      <c r="C33" s="238"/>
      <c r="D33" s="227">
        <v>6050</v>
      </c>
      <c r="E33" s="239" t="s">
        <v>556</v>
      </c>
      <c r="F33" s="240">
        <v>2500000</v>
      </c>
      <c r="G33" s="240"/>
      <c r="H33" s="230" t="s">
        <v>24</v>
      </c>
      <c r="I33" s="235">
        <v>1000000</v>
      </c>
      <c r="J33" s="235">
        <v>500000</v>
      </c>
      <c r="K33" s="211" t="s">
        <v>21</v>
      </c>
      <c r="L33" s="211" t="s">
        <v>300</v>
      </c>
      <c r="N33" s="739"/>
      <c r="O33" s="740"/>
      <c r="P33" s="740"/>
      <c r="Q33" s="740"/>
      <c r="R33" s="740"/>
      <c r="S33" s="740"/>
      <c r="T33" s="740"/>
      <c r="U33" s="740"/>
      <c r="V33" s="740"/>
      <c r="W33" s="740"/>
    </row>
    <row r="34" spans="1:23" s="232" customFormat="1" ht="37.5" customHeight="1">
      <c r="A34" s="224">
        <v>18</v>
      </c>
      <c r="B34" s="237"/>
      <c r="C34" s="238"/>
      <c r="D34" s="227">
        <v>6050</v>
      </c>
      <c r="E34" s="239" t="s">
        <v>557</v>
      </c>
      <c r="F34" s="240">
        <v>100000</v>
      </c>
      <c r="G34" s="240"/>
      <c r="H34" s="236" t="s">
        <v>49</v>
      </c>
      <c r="I34" s="235">
        <f>100000-90000</f>
        <v>10000</v>
      </c>
      <c r="J34" s="235"/>
      <c r="K34" s="211" t="s">
        <v>21</v>
      </c>
      <c r="L34" s="211" t="s">
        <v>300</v>
      </c>
      <c r="N34" s="740"/>
      <c r="O34" s="740"/>
      <c r="P34" s="740"/>
      <c r="Q34" s="740"/>
      <c r="R34" s="740"/>
      <c r="S34" s="740"/>
      <c r="T34" s="740"/>
      <c r="U34" s="740"/>
      <c r="V34" s="740"/>
      <c r="W34" s="740"/>
    </row>
    <row r="35" spans="1:23" s="232" customFormat="1" ht="27.75" customHeight="1">
      <c r="A35" s="224">
        <v>19</v>
      </c>
      <c r="B35" s="237"/>
      <c r="C35" s="238"/>
      <c r="D35" s="227">
        <v>6050</v>
      </c>
      <c r="E35" s="239" t="s">
        <v>558</v>
      </c>
      <c r="F35" s="240">
        <f>50000+31000+21000</f>
        <v>102000</v>
      </c>
      <c r="G35" s="240"/>
      <c r="H35" s="236" t="s">
        <v>162</v>
      </c>
      <c r="I35" s="235">
        <f>31000+50000</f>
        <v>81000</v>
      </c>
      <c r="J35" s="235"/>
      <c r="K35" s="211" t="s">
        <v>21</v>
      </c>
      <c r="L35" s="211" t="s">
        <v>300</v>
      </c>
      <c r="N35" s="740"/>
      <c r="O35" s="740"/>
      <c r="P35" s="740"/>
      <c r="Q35" s="740"/>
      <c r="R35" s="740"/>
      <c r="S35" s="740"/>
      <c r="T35" s="740"/>
      <c r="U35" s="740"/>
      <c r="V35" s="740"/>
      <c r="W35" s="740"/>
    </row>
    <row r="36" spans="1:23" s="232" customFormat="1" ht="33" customHeight="1">
      <c r="A36" s="224">
        <v>20</v>
      </c>
      <c r="B36" s="237"/>
      <c r="C36" s="238"/>
      <c r="D36" s="227">
        <v>6050</v>
      </c>
      <c r="E36" s="239" t="s">
        <v>563</v>
      </c>
      <c r="F36" s="240">
        <f>2900000-29980.27</f>
        <v>2870019.73</v>
      </c>
      <c r="G36" s="240"/>
      <c r="H36" s="230" t="s">
        <v>24</v>
      </c>
      <c r="I36" s="235">
        <f>900000-29980.27</f>
        <v>870019.73</v>
      </c>
      <c r="J36" s="235">
        <v>500000</v>
      </c>
      <c r="K36" s="211" t="s">
        <v>21</v>
      </c>
      <c r="L36" s="211" t="s">
        <v>300</v>
      </c>
      <c r="N36" s="740"/>
      <c r="O36" s="740"/>
      <c r="P36" s="740"/>
      <c r="Q36" s="740"/>
      <c r="R36" s="740"/>
      <c r="S36" s="740"/>
      <c r="T36" s="740"/>
      <c r="U36" s="740"/>
      <c r="V36" s="740"/>
      <c r="W36" s="740"/>
    </row>
    <row r="37" spans="1:23" s="232" customFormat="1" ht="57.75" customHeight="1">
      <c r="A37" s="224">
        <v>21</v>
      </c>
      <c r="B37" s="237"/>
      <c r="C37" s="238"/>
      <c r="D37" s="227">
        <v>6050</v>
      </c>
      <c r="E37" s="239" t="s">
        <v>467</v>
      </c>
      <c r="F37" s="240">
        <f>20000-5000</f>
        <v>15000</v>
      </c>
      <c r="G37" s="240"/>
      <c r="H37" s="236" t="s">
        <v>49</v>
      </c>
      <c r="I37" s="235">
        <f>20000-5000</f>
        <v>15000</v>
      </c>
      <c r="J37" s="235"/>
      <c r="K37" s="211" t="s">
        <v>21</v>
      </c>
      <c r="L37" s="211">
        <v>2013</v>
      </c>
      <c r="N37" s="740"/>
      <c r="O37" s="740"/>
      <c r="P37" s="740"/>
      <c r="Q37" s="740"/>
      <c r="R37" s="740"/>
      <c r="S37" s="740"/>
      <c r="T37" s="740"/>
      <c r="U37" s="740"/>
      <c r="V37" s="740"/>
      <c r="W37" s="740"/>
    </row>
    <row r="38" spans="1:23" s="232" customFormat="1" ht="61.5" customHeight="1">
      <c r="A38" s="224">
        <v>22</v>
      </c>
      <c r="B38" s="237"/>
      <c r="C38" s="238"/>
      <c r="D38" s="227">
        <v>6050</v>
      </c>
      <c r="E38" s="239" t="s">
        <v>530</v>
      </c>
      <c r="F38" s="240">
        <v>85000</v>
      </c>
      <c r="G38" s="240"/>
      <c r="H38" s="236" t="s">
        <v>49</v>
      </c>
      <c r="I38" s="235">
        <v>85000</v>
      </c>
      <c r="J38" s="235"/>
      <c r="K38" s="211" t="s">
        <v>45</v>
      </c>
      <c r="L38" s="211">
        <v>2013</v>
      </c>
      <c r="N38" s="740"/>
      <c r="O38" s="740"/>
      <c r="P38" s="740"/>
      <c r="Q38" s="740"/>
      <c r="R38" s="740"/>
      <c r="S38" s="740"/>
      <c r="T38" s="740"/>
      <c r="U38" s="740"/>
      <c r="V38" s="740"/>
      <c r="W38" s="740"/>
    </row>
    <row r="39" spans="1:23" s="232" customFormat="1" ht="33.75" customHeight="1">
      <c r="A39" s="224">
        <v>23</v>
      </c>
      <c r="B39" s="237"/>
      <c r="C39" s="238"/>
      <c r="D39" s="227">
        <v>6050</v>
      </c>
      <c r="E39" s="239" t="s">
        <v>466</v>
      </c>
      <c r="F39" s="240">
        <f>900000+703798</f>
        <v>1603798</v>
      </c>
      <c r="G39" s="240"/>
      <c r="H39" s="230" t="s">
        <v>24</v>
      </c>
      <c r="I39" s="235">
        <f>900000+703798</f>
        <v>1603798</v>
      </c>
      <c r="J39" s="235">
        <f>432154.48-0.95+87800</f>
        <v>519953.52999999997</v>
      </c>
      <c r="K39" s="211" t="s">
        <v>45</v>
      </c>
      <c r="L39" s="211">
        <v>2013</v>
      </c>
      <c r="N39" s="740"/>
      <c r="O39" s="740"/>
      <c r="P39" s="740"/>
      <c r="Q39" s="740"/>
      <c r="R39" s="740"/>
      <c r="S39" s="740"/>
      <c r="T39" s="740"/>
      <c r="U39" s="740"/>
      <c r="V39" s="740"/>
      <c r="W39" s="740"/>
    </row>
    <row r="40" spans="1:23" s="232" customFormat="1" ht="41.25" customHeight="1">
      <c r="A40" s="224">
        <v>24</v>
      </c>
      <c r="B40" s="237"/>
      <c r="C40" s="238"/>
      <c r="D40" s="227">
        <v>6050</v>
      </c>
      <c r="E40" s="239" t="s">
        <v>228</v>
      </c>
      <c r="F40" s="240">
        <v>50000</v>
      </c>
      <c r="G40" s="240"/>
      <c r="H40" s="236" t="s">
        <v>49</v>
      </c>
      <c r="I40" s="235">
        <v>50000</v>
      </c>
      <c r="J40" s="235"/>
      <c r="K40" s="211" t="s">
        <v>21</v>
      </c>
      <c r="L40" s="211">
        <v>2013</v>
      </c>
      <c r="N40" s="740"/>
      <c r="O40" s="740"/>
      <c r="P40" s="740"/>
      <c r="Q40" s="740"/>
      <c r="R40" s="740"/>
      <c r="S40" s="740"/>
      <c r="T40" s="740"/>
      <c r="U40" s="740"/>
      <c r="V40" s="740"/>
      <c r="W40" s="740"/>
    </row>
    <row r="41" spans="1:23" s="232" customFormat="1" ht="58.5" customHeight="1">
      <c r="A41" s="224">
        <v>25</v>
      </c>
      <c r="B41" s="237"/>
      <c r="C41" s="238"/>
      <c r="D41" s="227">
        <v>6050</v>
      </c>
      <c r="E41" s="239" t="s">
        <v>554</v>
      </c>
      <c r="F41" s="240">
        <v>350000</v>
      </c>
      <c r="G41" s="240"/>
      <c r="H41" s="236" t="s">
        <v>49</v>
      </c>
      <c r="I41" s="235">
        <v>350000</v>
      </c>
      <c r="J41" s="235"/>
      <c r="K41" s="211" t="s">
        <v>553</v>
      </c>
      <c r="L41" s="211">
        <v>2013</v>
      </c>
      <c r="N41" s="740"/>
      <c r="O41" s="740"/>
      <c r="P41" s="740"/>
      <c r="Q41" s="740"/>
      <c r="R41" s="740"/>
      <c r="S41" s="740"/>
      <c r="T41" s="740"/>
      <c r="U41" s="740"/>
      <c r="V41" s="740"/>
      <c r="W41" s="740"/>
    </row>
    <row r="42" spans="1:23" s="232" customFormat="1" ht="51" customHeight="1">
      <c r="A42" s="224">
        <v>26</v>
      </c>
      <c r="B42" s="237"/>
      <c r="C42" s="238"/>
      <c r="D42" s="227">
        <v>6050</v>
      </c>
      <c r="E42" s="239" t="s">
        <v>613</v>
      </c>
      <c r="F42" s="240">
        <v>2200000</v>
      </c>
      <c r="G42" s="240"/>
      <c r="H42" s="230" t="s">
        <v>24</v>
      </c>
      <c r="I42" s="235">
        <v>1000000</v>
      </c>
      <c r="J42" s="235"/>
      <c r="K42" s="211" t="s">
        <v>21</v>
      </c>
      <c r="L42" s="211" t="s">
        <v>300</v>
      </c>
      <c r="N42" s="740"/>
      <c r="O42" s="740"/>
      <c r="P42" s="740"/>
      <c r="Q42" s="740"/>
      <c r="R42" s="740"/>
      <c r="S42" s="740"/>
      <c r="T42" s="740"/>
      <c r="U42" s="740"/>
      <c r="V42" s="740"/>
      <c r="W42" s="740"/>
    </row>
    <row r="43" spans="1:23" s="232" customFormat="1" ht="74.25" customHeight="1">
      <c r="A43" s="224">
        <v>27</v>
      </c>
      <c r="B43" s="237"/>
      <c r="C43" s="238"/>
      <c r="D43" s="227">
        <v>6050</v>
      </c>
      <c r="E43" s="239" t="s">
        <v>790</v>
      </c>
      <c r="F43" s="240">
        <f>100000+60000</f>
        <v>160000</v>
      </c>
      <c r="G43" s="240"/>
      <c r="H43" s="236" t="s">
        <v>49</v>
      </c>
      <c r="I43" s="235">
        <f>100000-88000</f>
        <v>12000</v>
      </c>
      <c r="J43" s="235"/>
      <c r="K43" s="211" t="s">
        <v>21</v>
      </c>
      <c r="L43" s="211" t="s">
        <v>300</v>
      </c>
      <c r="N43" s="740"/>
      <c r="O43" s="740"/>
      <c r="P43" s="740"/>
      <c r="Q43" s="740"/>
      <c r="R43" s="740"/>
      <c r="S43" s="740"/>
      <c r="T43" s="740"/>
      <c r="U43" s="740"/>
      <c r="V43" s="740"/>
      <c r="W43" s="740"/>
    </row>
    <row r="44" spans="1:23" s="232" customFormat="1" ht="36" customHeight="1">
      <c r="A44" s="224">
        <v>28</v>
      </c>
      <c r="B44" s="237"/>
      <c r="C44" s="238"/>
      <c r="D44" s="227">
        <v>6050</v>
      </c>
      <c r="E44" s="239" t="s">
        <v>574</v>
      </c>
      <c r="F44" s="240">
        <f>300000+185000</f>
        <v>485000</v>
      </c>
      <c r="G44" s="240"/>
      <c r="H44" s="236" t="s">
        <v>236</v>
      </c>
      <c r="I44" s="235">
        <f>300000+185000</f>
        <v>485000</v>
      </c>
      <c r="J44" s="235"/>
      <c r="K44" s="211" t="s">
        <v>45</v>
      </c>
      <c r="L44" s="211">
        <v>2013</v>
      </c>
      <c r="N44" s="740"/>
      <c r="O44" s="740"/>
      <c r="P44" s="740"/>
      <c r="Q44" s="740"/>
      <c r="R44" s="740"/>
      <c r="S44" s="740"/>
      <c r="T44" s="740"/>
      <c r="U44" s="740"/>
      <c r="V44" s="740"/>
      <c r="W44" s="740"/>
    </row>
    <row r="45" spans="1:23" s="232" customFormat="1" ht="50.25" customHeight="1">
      <c r="A45" s="224">
        <v>29</v>
      </c>
      <c r="B45" s="237"/>
      <c r="C45" s="238"/>
      <c r="D45" s="227">
        <v>6050</v>
      </c>
      <c r="E45" s="239" t="s">
        <v>472</v>
      </c>
      <c r="F45" s="240">
        <v>50000</v>
      </c>
      <c r="G45" s="240"/>
      <c r="H45" s="236" t="s">
        <v>49</v>
      </c>
      <c r="I45" s="235">
        <f>30000-25000</f>
        <v>5000</v>
      </c>
      <c r="J45" s="235"/>
      <c r="K45" s="211" t="s">
        <v>21</v>
      </c>
      <c r="L45" s="211" t="s">
        <v>300</v>
      </c>
      <c r="N45" s="740"/>
      <c r="O45" s="740"/>
      <c r="P45" s="740"/>
      <c r="Q45" s="740"/>
      <c r="R45" s="740"/>
      <c r="S45" s="740"/>
      <c r="T45" s="740"/>
      <c r="U45" s="740"/>
      <c r="V45" s="740"/>
      <c r="W45" s="740"/>
    </row>
    <row r="46" spans="1:23" s="232" customFormat="1" ht="50.25" customHeight="1">
      <c r="A46" s="224">
        <v>30</v>
      </c>
      <c r="B46" s="237"/>
      <c r="C46" s="238"/>
      <c r="D46" s="227">
        <v>6050</v>
      </c>
      <c r="E46" s="239" t="s">
        <v>222</v>
      </c>
      <c r="F46" s="240">
        <v>15000</v>
      </c>
      <c r="G46" s="240"/>
      <c r="H46" s="236" t="s">
        <v>163</v>
      </c>
      <c r="I46" s="235">
        <v>15000</v>
      </c>
      <c r="J46" s="235"/>
      <c r="K46" s="211" t="s">
        <v>21</v>
      </c>
      <c r="L46" s="211">
        <v>2013</v>
      </c>
      <c r="N46" s="740"/>
      <c r="O46" s="740"/>
      <c r="P46" s="740"/>
      <c r="Q46" s="740"/>
      <c r="R46" s="740"/>
      <c r="S46" s="740"/>
      <c r="T46" s="740"/>
      <c r="U46" s="740"/>
      <c r="V46" s="740"/>
      <c r="W46" s="740"/>
    </row>
    <row r="47" spans="1:23" s="232" customFormat="1" ht="69.75" customHeight="1">
      <c r="A47" s="224">
        <v>31</v>
      </c>
      <c r="B47" s="237"/>
      <c r="C47" s="238"/>
      <c r="D47" s="227">
        <v>6050</v>
      </c>
      <c r="E47" s="239" t="s">
        <v>36</v>
      </c>
      <c r="F47" s="240">
        <v>60000</v>
      </c>
      <c r="G47" s="240"/>
      <c r="H47" s="236" t="s">
        <v>49</v>
      </c>
      <c r="I47" s="235">
        <v>60000</v>
      </c>
      <c r="J47" s="235"/>
      <c r="K47" s="211" t="s">
        <v>45</v>
      </c>
      <c r="L47" s="211">
        <v>2013</v>
      </c>
      <c r="N47" s="740"/>
      <c r="O47" s="740"/>
      <c r="P47" s="740"/>
      <c r="Q47" s="740"/>
      <c r="R47" s="740"/>
      <c r="S47" s="740"/>
      <c r="T47" s="740"/>
      <c r="U47" s="740"/>
      <c r="V47" s="740"/>
      <c r="W47" s="740"/>
    </row>
    <row r="48" spans="1:12" ht="38.25" customHeight="1">
      <c r="A48" s="241">
        <v>32</v>
      </c>
      <c r="B48" s="242"/>
      <c r="C48" s="185"/>
      <c r="D48" s="243">
        <v>6050</v>
      </c>
      <c r="E48" s="239" t="s">
        <v>51</v>
      </c>
      <c r="F48" s="240">
        <f>85000+65000-44158.5</f>
        <v>105841.5</v>
      </c>
      <c r="G48" s="240">
        <v>0</v>
      </c>
      <c r="H48" s="236" t="s">
        <v>52</v>
      </c>
      <c r="I48" s="244">
        <f>65000+85000-44158.5</f>
        <v>105841.5</v>
      </c>
      <c r="J48" s="244">
        <v>0</v>
      </c>
      <c r="K48" s="211" t="s">
        <v>45</v>
      </c>
      <c r="L48" s="211">
        <v>2013</v>
      </c>
    </row>
    <row r="49" spans="1:12" ht="21.75" customHeight="1">
      <c r="A49" s="245"/>
      <c r="B49" s="214">
        <v>700</v>
      </c>
      <c r="C49" s="214"/>
      <c r="D49" s="215"/>
      <c r="E49" s="246" t="s">
        <v>53</v>
      </c>
      <c r="F49" s="247">
        <f>F50+F54</f>
        <v>2524784.24</v>
      </c>
      <c r="G49" s="247">
        <f>G50+G54</f>
        <v>190433.05</v>
      </c>
      <c r="H49" s="247"/>
      <c r="I49" s="247">
        <f>I50+I54</f>
        <v>1993351.19</v>
      </c>
      <c r="J49" s="247">
        <f>J50+J54</f>
        <v>285000</v>
      </c>
      <c r="K49" s="211"/>
      <c r="L49" s="211"/>
    </row>
    <row r="50" spans="1:12" ht="27" customHeight="1">
      <c r="A50" s="241"/>
      <c r="B50" s="248"/>
      <c r="C50" s="249">
        <v>70005</v>
      </c>
      <c r="D50" s="220"/>
      <c r="E50" s="221" t="s">
        <v>54</v>
      </c>
      <c r="F50" s="222">
        <f>SUM(F51:F53)</f>
        <v>1820132.1</v>
      </c>
      <c r="G50" s="222">
        <f>SUM(G51:G53)</f>
        <v>190433.05</v>
      </c>
      <c r="H50" s="222"/>
      <c r="I50" s="222">
        <f>SUM(I51:I53)</f>
        <v>1299699.05</v>
      </c>
      <c r="J50" s="222">
        <f>SUM(J51:J53)</f>
        <v>0</v>
      </c>
      <c r="K50" s="223"/>
      <c r="L50" s="223"/>
    </row>
    <row r="51" spans="1:23" s="736" customFormat="1" ht="32.25" customHeight="1">
      <c r="A51" s="241">
        <v>33</v>
      </c>
      <c r="B51" s="185"/>
      <c r="C51" s="250"/>
      <c r="D51" s="243">
        <v>6050</v>
      </c>
      <c r="E51" s="239" t="s">
        <v>547</v>
      </c>
      <c r="F51" s="240">
        <f>2700+15000</f>
        <v>17700</v>
      </c>
      <c r="G51" s="240"/>
      <c r="H51" s="240" t="s">
        <v>552</v>
      </c>
      <c r="I51" s="240">
        <f>2700+15000</f>
        <v>17700</v>
      </c>
      <c r="J51" s="240"/>
      <c r="K51" s="211" t="s">
        <v>551</v>
      </c>
      <c r="L51" s="211">
        <v>2013</v>
      </c>
      <c r="N51" s="738"/>
      <c r="O51" s="738"/>
      <c r="P51" s="738"/>
      <c r="Q51" s="738"/>
      <c r="R51" s="738"/>
      <c r="S51" s="738"/>
      <c r="T51" s="738"/>
      <c r="U51" s="738"/>
      <c r="V51" s="738"/>
      <c r="W51" s="738"/>
    </row>
    <row r="52" spans="1:23" s="736" customFormat="1" ht="54" customHeight="1">
      <c r="A52" s="241">
        <v>34</v>
      </c>
      <c r="B52" s="185"/>
      <c r="C52" s="250"/>
      <c r="D52" s="243">
        <v>6060</v>
      </c>
      <c r="E52" s="239" t="s">
        <v>791</v>
      </c>
      <c r="F52" s="240">
        <v>8000</v>
      </c>
      <c r="G52" s="240"/>
      <c r="H52" s="240"/>
      <c r="I52" s="240">
        <v>8000</v>
      </c>
      <c r="J52" s="240"/>
      <c r="K52" s="211" t="s">
        <v>276</v>
      </c>
      <c r="L52" s="211">
        <v>2013</v>
      </c>
      <c r="N52" s="738"/>
      <c r="O52" s="738"/>
      <c r="P52" s="738"/>
      <c r="Q52" s="738"/>
      <c r="R52" s="738"/>
      <c r="S52" s="738"/>
      <c r="T52" s="738"/>
      <c r="U52" s="738"/>
      <c r="V52" s="738"/>
      <c r="W52" s="738"/>
    </row>
    <row r="53" spans="1:12" ht="109.5" customHeight="1">
      <c r="A53" s="241">
        <v>35</v>
      </c>
      <c r="B53" s="185"/>
      <c r="C53" s="250"/>
      <c r="D53" s="243">
        <v>6060</v>
      </c>
      <c r="E53" s="239" t="s">
        <v>55</v>
      </c>
      <c r="F53" s="240">
        <f>1611982.1+550000+4000-500000+128450</f>
        <v>1794432.1</v>
      </c>
      <c r="G53" s="240">
        <v>190433.05</v>
      </c>
      <c r="H53" s="230" t="s">
        <v>229</v>
      </c>
      <c r="I53" s="251">
        <f>1091549.05+550000+4000-500000+128450</f>
        <v>1273999.05</v>
      </c>
      <c r="J53" s="251">
        <v>0</v>
      </c>
      <c r="K53" s="252" t="s">
        <v>56</v>
      </c>
      <c r="L53" s="252" t="s">
        <v>57</v>
      </c>
    </row>
    <row r="54" spans="1:12" ht="24.75" customHeight="1">
      <c r="A54" s="241"/>
      <c r="B54" s="253"/>
      <c r="C54" s="254">
        <v>70095</v>
      </c>
      <c r="D54" s="255"/>
      <c r="E54" s="221" t="s">
        <v>58</v>
      </c>
      <c r="F54" s="222">
        <f>SUM(F55:F60)</f>
        <v>704652.14</v>
      </c>
      <c r="G54" s="222">
        <f>SUM(G55:G60)</f>
        <v>0</v>
      </c>
      <c r="H54" s="222"/>
      <c r="I54" s="222">
        <f>SUM(I55:I60)</f>
        <v>693652.14</v>
      </c>
      <c r="J54" s="222">
        <f>SUM(J55:J60)</f>
        <v>285000</v>
      </c>
      <c r="K54" s="223"/>
      <c r="L54" s="223"/>
    </row>
    <row r="55" spans="1:23" s="323" customFormat="1" ht="42.75" customHeight="1">
      <c r="A55" s="241">
        <v>36</v>
      </c>
      <c r="B55" s="185"/>
      <c r="C55" s="250"/>
      <c r="D55" s="241">
        <v>6050</v>
      </c>
      <c r="E55" s="228" t="s">
        <v>59</v>
      </c>
      <c r="F55" s="240">
        <f>65000-1200</f>
        <v>63800</v>
      </c>
      <c r="G55" s="240">
        <v>0</v>
      </c>
      <c r="H55" s="230" t="s">
        <v>60</v>
      </c>
      <c r="I55" s="251">
        <f>65000-1200</f>
        <v>63800</v>
      </c>
      <c r="J55" s="251">
        <v>0</v>
      </c>
      <c r="K55" s="252" t="s">
        <v>828</v>
      </c>
      <c r="L55" s="252">
        <v>2013</v>
      </c>
      <c r="N55" s="741"/>
      <c r="O55" s="741"/>
      <c r="P55" s="741"/>
      <c r="Q55" s="741"/>
      <c r="R55" s="741"/>
      <c r="S55" s="741"/>
      <c r="T55" s="741"/>
      <c r="U55" s="741"/>
      <c r="V55" s="741"/>
      <c r="W55" s="741"/>
    </row>
    <row r="56" spans="1:23" s="323" customFormat="1" ht="64.5" customHeight="1">
      <c r="A56" s="195">
        <v>37</v>
      </c>
      <c r="B56" s="185"/>
      <c r="C56" s="250"/>
      <c r="D56" s="241">
        <v>6050</v>
      </c>
      <c r="E56" s="280" t="s">
        <v>301</v>
      </c>
      <c r="F56" s="281">
        <f>155000-900</f>
        <v>154100</v>
      </c>
      <c r="G56" s="281"/>
      <c r="H56" s="280" t="s">
        <v>304</v>
      </c>
      <c r="I56" s="333">
        <f>155000-900</f>
        <v>154100</v>
      </c>
      <c r="J56" s="333">
        <f>155000-900</f>
        <v>154100</v>
      </c>
      <c r="K56" s="252" t="s">
        <v>828</v>
      </c>
      <c r="L56" s="252">
        <v>2013</v>
      </c>
      <c r="N56" s="741"/>
      <c r="O56" s="741"/>
      <c r="P56" s="741"/>
      <c r="Q56" s="741"/>
      <c r="R56" s="741"/>
      <c r="S56" s="741"/>
      <c r="T56" s="741"/>
      <c r="U56" s="741"/>
      <c r="V56" s="741"/>
      <c r="W56" s="741"/>
    </row>
    <row r="57" spans="1:23" s="323" customFormat="1" ht="76.5" customHeight="1">
      <c r="A57" s="195">
        <v>38</v>
      </c>
      <c r="B57" s="185"/>
      <c r="C57" s="250"/>
      <c r="D57" s="241">
        <v>6050</v>
      </c>
      <c r="E57" s="280" t="s">
        <v>131</v>
      </c>
      <c r="F57" s="281">
        <v>43419</v>
      </c>
      <c r="G57" s="281"/>
      <c r="H57" s="332"/>
      <c r="I57" s="333">
        <v>43419</v>
      </c>
      <c r="J57" s="333"/>
      <c r="K57" s="252" t="s">
        <v>21</v>
      </c>
      <c r="L57" s="252">
        <v>2013</v>
      </c>
      <c r="N57" s="741"/>
      <c r="O57" s="741"/>
      <c r="P57" s="741"/>
      <c r="Q57" s="741"/>
      <c r="R57" s="741"/>
      <c r="S57" s="741"/>
      <c r="T57" s="741"/>
      <c r="U57" s="741"/>
      <c r="V57" s="741"/>
      <c r="W57" s="741"/>
    </row>
    <row r="58" spans="1:23" s="323" customFormat="1" ht="58.5" customHeight="1">
      <c r="A58" s="241">
        <v>39</v>
      </c>
      <c r="B58" s="185"/>
      <c r="C58" s="250"/>
      <c r="D58" s="241">
        <v>6050</v>
      </c>
      <c r="E58" s="228" t="s">
        <v>483</v>
      </c>
      <c r="F58" s="339">
        <f>185000-29559-5361+4900</f>
        <v>154980</v>
      </c>
      <c r="G58" s="281"/>
      <c r="H58" s="332" t="s">
        <v>168</v>
      </c>
      <c r="I58" s="333">
        <f>185000-29559-5361+4900</f>
        <v>154980</v>
      </c>
      <c r="J58" s="333"/>
      <c r="K58" s="252" t="s">
        <v>21</v>
      </c>
      <c r="L58" s="252">
        <v>2013</v>
      </c>
      <c r="N58" s="741"/>
      <c r="O58" s="741"/>
      <c r="P58" s="741"/>
      <c r="Q58" s="741"/>
      <c r="R58" s="741"/>
      <c r="S58" s="741"/>
      <c r="T58" s="741"/>
      <c r="U58" s="741"/>
      <c r="V58" s="741"/>
      <c r="W58" s="741"/>
    </row>
    <row r="59" spans="1:23" s="323" customFormat="1" ht="56.25" customHeight="1">
      <c r="A59" s="241">
        <v>40</v>
      </c>
      <c r="B59" s="185"/>
      <c r="C59" s="250"/>
      <c r="D59" s="241">
        <v>6050</v>
      </c>
      <c r="E59" s="228" t="s">
        <v>158</v>
      </c>
      <c r="F59" s="339">
        <f>50000+130000+5361</f>
        <v>185361</v>
      </c>
      <c r="G59" s="281"/>
      <c r="H59" s="332" t="s">
        <v>161</v>
      </c>
      <c r="I59" s="333">
        <f>50000+130000+5361</f>
        <v>185361</v>
      </c>
      <c r="J59" s="333">
        <f>130000+900</f>
        <v>130900</v>
      </c>
      <c r="K59" s="252" t="s">
        <v>21</v>
      </c>
      <c r="L59" s="252">
        <v>2013</v>
      </c>
      <c r="N59" s="742"/>
      <c r="O59" s="741"/>
      <c r="P59" s="741"/>
      <c r="Q59" s="741"/>
      <c r="R59" s="741"/>
      <c r="S59" s="741"/>
      <c r="T59" s="741"/>
      <c r="U59" s="741"/>
      <c r="V59" s="741"/>
      <c r="W59" s="741"/>
    </row>
    <row r="60" spans="1:23" s="323" customFormat="1" ht="57" customHeight="1">
      <c r="A60" s="241">
        <v>41</v>
      </c>
      <c r="B60" s="185"/>
      <c r="C60" s="250"/>
      <c r="D60" s="177">
        <v>6050</v>
      </c>
      <c r="E60" s="357" t="s">
        <v>303</v>
      </c>
      <c r="F60" s="743">
        <f>142700-31000-13386+11000-6321.86</f>
        <v>102992.14</v>
      </c>
      <c r="G60" s="281"/>
      <c r="H60" s="236" t="s">
        <v>49</v>
      </c>
      <c r="I60" s="333">
        <f>142700-31000-13386-6321.86</f>
        <v>91992.14</v>
      </c>
      <c r="J60" s="333"/>
      <c r="K60" s="252" t="s">
        <v>21</v>
      </c>
      <c r="L60" s="252" t="s">
        <v>300</v>
      </c>
      <c r="N60" s="741"/>
      <c r="O60" s="741"/>
      <c r="P60" s="741"/>
      <c r="Q60" s="741"/>
      <c r="R60" s="741"/>
      <c r="S60" s="741"/>
      <c r="T60" s="741"/>
      <c r="U60" s="741"/>
      <c r="V60" s="741"/>
      <c r="W60" s="741"/>
    </row>
    <row r="61" spans="1:23" s="420" customFormat="1" ht="30" customHeight="1">
      <c r="A61" s="416"/>
      <c r="B61" s="417">
        <v>710</v>
      </c>
      <c r="C61" s="416"/>
      <c r="D61" s="416"/>
      <c r="E61" s="418" t="s">
        <v>272</v>
      </c>
      <c r="F61" s="426">
        <f>F62</f>
        <v>20000</v>
      </c>
      <c r="G61" s="426">
        <f>G62</f>
        <v>0</v>
      </c>
      <c r="H61" s="426"/>
      <c r="I61" s="426">
        <f>I62</f>
        <v>20000</v>
      </c>
      <c r="J61" s="426">
        <f>J62</f>
        <v>0</v>
      </c>
      <c r="K61" s="419"/>
      <c r="L61" s="419"/>
      <c r="N61" s="744"/>
      <c r="O61" s="744"/>
      <c r="P61" s="744"/>
      <c r="Q61" s="744"/>
      <c r="R61" s="744"/>
      <c r="S61" s="744"/>
      <c r="T61" s="744"/>
      <c r="U61" s="744"/>
      <c r="V61" s="744"/>
      <c r="W61" s="744"/>
    </row>
    <row r="62" spans="1:23" s="425" customFormat="1" ht="23.25" customHeight="1">
      <c r="A62" s="629"/>
      <c r="B62" s="421"/>
      <c r="C62" s="422">
        <v>71035</v>
      </c>
      <c r="D62" s="422"/>
      <c r="E62" s="423" t="s">
        <v>473</v>
      </c>
      <c r="F62" s="427">
        <f>F63</f>
        <v>20000</v>
      </c>
      <c r="G62" s="427">
        <f>G63</f>
        <v>0</v>
      </c>
      <c r="H62" s="427"/>
      <c r="I62" s="427">
        <f>I63</f>
        <v>20000</v>
      </c>
      <c r="J62" s="427">
        <f>J63</f>
        <v>0</v>
      </c>
      <c r="K62" s="424"/>
      <c r="L62" s="424"/>
      <c r="N62" s="721"/>
      <c r="O62" s="721"/>
      <c r="P62" s="721"/>
      <c r="Q62" s="721"/>
      <c r="R62" s="721"/>
      <c r="S62" s="721"/>
      <c r="T62" s="721"/>
      <c r="U62" s="721"/>
      <c r="V62" s="721"/>
      <c r="W62" s="721"/>
    </row>
    <row r="63" spans="1:23" s="412" customFormat="1" ht="57" customHeight="1">
      <c r="A63" s="444">
        <v>42</v>
      </c>
      <c r="B63" s="413"/>
      <c r="C63" s="414"/>
      <c r="D63" s="415">
        <v>6050</v>
      </c>
      <c r="E63" s="445" t="s">
        <v>474</v>
      </c>
      <c r="F63" s="429">
        <v>20000</v>
      </c>
      <c r="G63" s="428"/>
      <c r="H63" s="430" t="s">
        <v>475</v>
      </c>
      <c r="I63" s="429">
        <v>20000</v>
      </c>
      <c r="J63" s="410"/>
      <c r="K63" s="411" t="s">
        <v>248</v>
      </c>
      <c r="L63" s="443">
        <v>2013</v>
      </c>
      <c r="N63" s="722"/>
      <c r="O63" s="722"/>
      <c r="P63" s="722"/>
      <c r="Q63" s="722"/>
      <c r="R63" s="722"/>
      <c r="S63" s="722"/>
      <c r="T63" s="722"/>
      <c r="U63" s="722"/>
      <c r="V63" s="722"/>
      <c r="W63" s="722"/>
    </row>
    <row r="64" spans="1:12" ht="23.25" customHeight="1">
      <c r="A64" s="270"/>
      <c r="B64" s="214">
        <v>750</v>
      </c>
      <c r="C64" s="214"/>
      <c r="D64" s="215"/>
      <c r="E64" s="290" t="s">
        <v>61</v>
      </c>
      <c r="F64" s="258">
        <f>F65+F70</f>
        <v>4577881.7299999995</v>
      </c>
      <c r="G64" s="258">
        <f>G65+G70</f>
        <v>540000</v>
      </c>
      <c r="H64" s="258"/>
      <c r="I64" s="258">
        <f>I65+I70</f>
        <v>3087881.73</v>
      </c>
      <c r="J64" s="258">
        <f>J65+J70</f>
        <v>0</v>
      </c>
      <c r="K64" s="210"/>
      <c r="L64" s="211"/>
    </row>
    <row r="65" spans="1:12" ht="30.75" customHeight="1">
      <c r="A65" s="259"/>
      <c r="B65" s="248"/>
      <c r="C65" s="218">
        <v>75023</v>
      </c>
      <c r="D65" s="255"/>
      <c r="E65" s="261" t="s">
        <v>62</v>
      </c>
      <c r="F65" s="262">
        <f>SUM(F66:F69)</f>
        <v>387759.87</v>
      </c>
      <c r="G65" s="262">
        <f>SUM(G66:G69)</f>
        <v>0</v>
      </c>
      <c r="H65" s="262"/>
      <c r="I65" s="262">
        <f>SUM(I66:I69)</f>
        <v>387759.87</v>
      </c>
      <c r="J65" s="262">
        <f>SUM(J66:J69)</f>
        <v>0</v>
      </c>
      <c r="K65" s="223"/>
      <c r="L65" s="223"/>
    </row>
    <row r="66" spans="1:23" s="736" customFormat="1" ht="107.25" customHeight="1">
      <c r="A66" s="241">
        <v>43</v>
      </c>
      <c r="C66" s="177"/>
      <c r="D66" s="307">
        <v>6050</v>
      </c>
      <c r="E66" s="228" t="s">
        <v>565</v>
      </c>
      <c r="F66" s="339">
        <f>165000-20000-2000</f>
        <v>143000</v>
      </c>
      <c r="G66" s="339"/>
      <c r="H66" s="457" t="s">
        <v>560</v>
      </c>
      <c r="I66" s="339">
        <f>165000-20000-2000</f>
        <v>143000</v>
      </c>
      <c r="J66" s="339"/>
      <c r="K66" s="211" t="s">
        <v>65</v>
      </c>
      <c r="L66" s="211">
        <v>2013</v>
      </c>
      <c r="N66" s="407"/>
      <c r="O66" s="738"/>
      <c r="P66" s="738"/>
      <c r="Q66" s="738"/>
      <c r="R66" s="738"/>
      <c r="S66" s="738"/>
      <c r="T66" s="738"/>
      <c r="U66" s="738"/>
      <c r="V66" s="738"/>
      <c r="W66" s="738"/>
    </row>
    <row r="67" spans="1:23" s="736" customFormat="1" ht="50.25" customHeight="1">
      <c r="A67" s="241">
        <v>44</v>
      </c>
      <c r="C67" s="185"/>
      <c r="D67" s="307">
        <v>6050</v>
      </c>
      <c r="E67" s="395" t="s">
        <v>733</v>
      </c>
      <c r="F67" s="266">
        <v>20000</v>
      </c>
      <c r="G67" s="266"/>
      <c r="H67" s="458" t="s">
        <v>561</v>
      </c>
      <c r="I67" s="266">
        <v>20000</v>
      </c>
      <c r="J67" s="266"/>
      <c r="K67" s="211" t="s">
        <v>65</v>
      </c>
      <c r="L67" s="211">
        <v>2013</v>
      </c>
      <c r="N67" s="738"/>
      <c r="O67" s="738"/>
      <c r="P67" s="738"/>
      <c r="Q67" s="738"/>
      <c r="R67" s="738"/>
      <c r="S67" s="738"/>
      <c r="T67" s="738"/>
      <c r="U67" s="738"/>
      <c r="V67" s="738"/>
      <c r="W67" s="738"/>
    </row>
    <row r="68" spans="1:23" s="736" customFormat="1" ht="50.25" customHeight="1">
      <c r="A68" s="241">
        <v>45</v>
      </c>
      <c r="C68" s="185"/>
      <c r="D68" s="307">
        <v>6050</v>
      </c>
      <c r="E68" s="395" t="s">
        <v>614</v>
      </c>
      <c r="F68" s="266">
        <v>72000</v>
      </c>
      <c r="G68" s="266"/>
      <c r="H68" s="458" t="s">
        <v>169</v>
      </c>
      <c r="I68" s="266">
        <v>72000</v>
      </c>
      <c r="J68" s="266"/>
      <c r="K68" s="211" t="s">
        <v>21</v>
      </c>
      <c r="L68" s="211">
        <v>2013</v>
      </c>
      <c r="N68" s="738"/>
      <c r="O68" s="738"/>
      <c r="P68" s="738"/>
      <c r="Q68" s="738"/>
      <c r="R68" s="738"/>
      <c r="S68" s="738"/>
      <c r="T68" s="738"/>
      <c r="U68" s="738"/>
      <c r="V68" s="738"/>
      <c r="W68" s="738"/>
    </row>
    <row r="69" spans="1:12" ht="38.25" customHeight="1">
      <c r="A69" s="259">
        <v>46</v>
      </c>
      <c r="B69" s="375"/>
      <c r="C69" s="367"/>
      <c r="D69" s="307">
        <v>6060</v>
      </c>
      <c r="E69" s="265" t="s">
        <v>63</v>
      </c>
      <c r="F69" s="723">
        <f>175000+3800+4800-80000+12000-40000+12100+30000+4059.87+31000</f>
        <v>152759.87</v>
      </c>
      <c r="G69" s="266">
        <v>0</v>
      </c>
      <c r="H69" s="267" t="s">
        <v>64</v>
      </c>
      <c r="I69" s="723">
        <f>175000+3800+4800-80000+12000-40000+12100+30000+4059.87+31000</f>
        <v>152759.87</v>
      </c>
      <c r="J69" s="268">
        <v>0</v>
      </c>
      <c r="K69" s="211" t="s">
        <v>65</v>
      </c>
      <c r="L69" s="211">
        <v>2013</v>
      </c>
    </row>
    <row r="70" spans="1:12" ht="26.25" customHeight="1">
      <c r="A70" s="259"/>
      <c r="B70" s="263"/>
      <c r="C70" s="219">
        <v>75095</v>
      </c>
      <c r="D70" s="255"/>
      <c r="E70" s="261" t="s">
        <v>58</v>
      </c>
      <c r="F70" s="262">
        <f>SUM(F71:F73)</f>
        <v>4190121.86</v>
      </c>
      <c r="G70" s="262">
        <f>SUM(G71:G73)</f>
        <v>540000</v>
      </c>
      <c r="H70" s="262"/>
      <c r="I70" s="262">
        <f>SUM(I71:I73)</f>
        <v>2700121.86</v>
      </c>
      <c r="J70" s="262">
        <f>SUM(J71:J73)</f>
        <v>0</v>
      </c>
      <c r="K70" s="223"/>
      <c r="L70" s="223"/>
    </row>
    <row r="71" spans="1:12" ht="38.25" customHeight="1">
      <c r="A71" s="259">
        <v>47</v>
      </c>
      <c r="B71" s="263"/>
      <c r="C71" s="218"/>
      <c r="D71" s="269">
        <v>6050</v>
      </c>
      <c r="E71" s="256" t="s">
        <v>66</v>
      </c>
      <c r="F71" s="240">
        <f>2440000+6321.86</f>
        <v>2446321.86</v>
      </c>
      <c r="G71" s="240">
        <v>540000</v>
      </c>
      <c r="H71" s="230" t="s">
        <v>67</v>
      </c>
      <c r="I71" s="251">
        <f>950000+6321.86</f>
        <v>956321.86</v>
      </c>
      <c r="J71" s="251">
        <v>0</v>
      </c>
      <c r="K71" s="252" t="s">
        <v>21</v>
      </c>
      <c r="L71" s="252" t="s">
        <v>68</v>
      </c>
    </row>
    <row r="72" spans="1:12" ht="38.25" customHeight="1">
      <c r="A72" s="259">
        <v>48</v>
      </c>
      <c r="B72" s="263"/>
      <c r="C72" s="218"/>
      <c r="D72" s="269">
        <v>6050</v>
      </c>
      <c r="E72" s="256" t="s">
        <v>470</v>
      </c>
      <c r="F72" s="240">
        <f>70000+3800</f>
        <v>73800</v>
      </c>
      <c r="G72" s="240"/>
      <c r="H72" s="236" t="s">
        <v>49</v>
      </c>
      <c r="I72" s="251">
        <f>70000+3800</f>
        <v>73800</v>
      </c>
      <c r="J72" s="251"/>
      <c r="K72" s="252" t="s">
        <v>21</v>
      </c>
      <c r="L72" s="252">
        <v>2013</v>
      </c>
    </row>
    <row r="73" spans="1:12" ht="41.25" customHeight="1">
      <c r="A73" s="259">
        <v>49</v>
      </c>
      <c r="B73" s="263"/>
      <c r="C73" s="218"/>
      <c r="D73" s="269">
        <v>6050</v>
      </c>
      <c r="E73" s="256" t="s">
        <v>69</v>
      </c>
      <c r="F73" s="240">
        <f>1500000+170000</f>
        <v>1670000</v>
      </c>
      <c r="G73" s="240">
        <v>0</v>
      </c>
      <c r="H73" s="230" t="s">
        <v>70</v>
      </c>
      <c r="I73" s="251">
        <f>500000+1000000+170000</f>
        <v>1670000</v>
      </c>
      <c r="J73" s="251">
        <v>0</v>
      </c>
      <c r="K73" s="252" t="s">
        <v>21</v>
      </c>
      <c r="L73" s="252">
        <v>2013</v>
      </c>
    </row>
    <row r="74" spans="1:12" ht="33.75" customHeight="1">
      <c r="A74" s="270"/>
      <c r="B74" s="214">
        <v>754</v>
      </c>
      <c r="C74" s="214"/>
      <c r="D74" s="214"/>
      <c r="E74" s="271" t="s">
        <v>71</v>
      </c>
      <c r="F74" s="272">
        <f>F75+F78+F80</f>
        <v>211535</v>
      </c>
      <c r="G74" s="272">
        <f>G75+G78+G80</f>
        <v>0</v>
      </c>
      <c r="H74" s="272"/>
      <c r="I74" s="272">
        <f>I75+I78+I80</f>
        <v>211535</v>
      </c>
      <c r="J74" s="272">
        <f>J75+J78+J80</f>
        <v>0</v>
      </c>
      <c r="K74" s="211"/>
      <c r="L74" s="211"/>
    </row>
    <row r="75" spans="1:12" ht="21.75" customHeight="1">
      <c r="A75" s="259"/>
      <c r="B75" s="273"/>
      <c r="C75" s="248">
        <v>75412</v>
      </c>
      <c r="D75" s="254"/>
      <c r="E75" s="274" t="s">
        <v>72</v>
      </c>
      <c r="F75" s="275">
        <f>SUM(F76+F77)</f>
        <v>15535</v>
      </c>
      <c r="G75" s="275">
        <f>SUM(G76+G77)</f>
        <v>0</v>
      </c>
      <c r="H75" s="275"/>
      <c r="I75" s="275">
        <f>SUM(I76+I77)</f>
        <v>15535</v>
      </c>
      <c r="J75" s="275">
        <f>SUM(J76+J77)</f>
        <v>0</v>
      </c>
      <c r="K75" s="223"/>
      <c r="L75" s="223"/>
    </row>
    <row r="76" spans="1:12" ht="31.5" customHeight="1">
      <c r="A76" s="259">
        <v>50</v>
      </c>
      <c r="B76" s="283"/>
      <c r="C76" s="177"/>
      <c r="D76" s="243">
        <v>6060</v>
      </c>
      <c r="E76" s="239" t="s">
        <v>73</v>
      </c>
      <c r="F76" s="240">
        <f>5000-427</f>
        <v>4573</v>
      </c>
      <c r="G76" s="240"/>
      <c r="H76" s="236" t="s">
        <v>74</v>
      </c>
      <c r="I76" s="251">
        <f>5000-427</f>
        <v>4573</v>
      </c>
      <c r="J76" s="251"/>
      <c r="K76" s="211" t="s">
        <v>75</v>
      </c>
      <c r="L76" s="211">
        <v>2013</v>
      </c>
    </row>
    <row r="77" spans="1:12" ht="75" customHeight="1">
      <c r="A77" s="259">
        <v>51</v>
      </c>
      <c r="B77" s="283"/>
      <c r="C77" s="195"/>
      <c r="D77" s="241">
        <v>6230</v>
      </c>
      <c r="E77" s="388" t="s">
        <v>696</v>
      </c>
      <c r="F77" s="281">
        <f>15000-4038</f>
        <v>10962</v>
      </c>
      <c r="G77" s="281"/>
      <c r="H77" s="332" t="s">
        <v>697</v>
      </c>
      <c r="I77" s="333">
        <f>15000-4038</f>
        <v>10962</v>
      </c>
      <c r="J77" s="333"/>
      <c r="K77" s="211" t="s">
        <v>75</v>
      </c>
      <c r="L77" s="211">
        <v>2013</v>
      </c>
    </row>
    <row r="78" spans="1:12" ht="22.5" customHeight="1">
      <c r="A78" s="259">
        <v>52</v>
      </c>
      <c r="B78" s="273"/>
      <c r="C78" s="219">
        <v>75414</v>
      </c>
      <c r="D78" s="254"/>
      <c r="E78" s="274" t="s">
        <v>76</v>
      </c>
      <c r="F78" s="262">
        <f>SUM(F79)</f>
        <v>16000</v>
      </c>
      <c r="G78" s="262">
        <f>SUM(G79)</f>
        <v>0</v>
      </c>
      <c r="H78" s="262"/>
      <c r="I78" s="262">
        <f>SUM(I79)</f>
        <v>16000</v>
      </c>
      <c r="J78" s="262">
        <f>SUM(J79)</f>
        <v>0</v>
      </c>
      <c r="K78" s="223"/>
      <c r="L78" s="223"/>
    </row>
    <row r="79" spans="1:12" ht="48.75" customHeight="1">
      <c r="A79" s="259">
        <v>53</v>
      </c>
      <c r="B79" s="185"/>
      <c r="C79" s="277"/>
      <c r="D79" s="269">
        <v>6060</v>
      </c>
      <c r="E79" s="239" t="s">
        <v>73</v>
      </c>
      <c r="F79" s="240">
        <v>16000</v>
      </c>
      <c r="G79" s="240">
        <v>0</v>
      </c>
      <c r="H79" s="230" t="s">
        <v>77</v>
      </c>
      <c r="I79" s="278">
        <v>16000</v>
      </c>
      <c r="J79" s="278">
        <v>0</v>
      </c>
      <c r="K79" s="211" t="s">
        <v>75</v>
      </c>
      <c r="L79" s="211">
        <v>2013</v>
      </c>
    </row>
    <row r="80" spans="1:23" s="342" customFormat="1" ht="33" customHeight="1">
      <c r="A80" s="404"/>
      <c r="B80" s="253"/>
      <c r="C80" s="218">
        <v>75495</v>
      </c>
      <c r="D80" s="255"/>
      <c r="E80" s="261" t="s">
        <v>58</v>
      </c>
      <c r="F80" s="222">
        <f>SUM(F81:F82)</f>
        <v>180000</v>
      </c>
      <c r="G80" s="222">
        <f>SUM(G81:G81)</f>
        <v>0</v>
      </c>
      <c r="H80" s="222"/>
      <c r="I80" s="222">
        <f>SUM(I81:I82)</f>
        <v>180000</v>
      </c>
      <c r="J80" s="222">
        <f>SUM(J81:J81)</f>
        <v>0</v>
      </c>
      <c r="K80" s="223"/>
      <c r="L80" s="223"/>
      <c r="N80" s="735"/>
      <c r="O80" s="735"/>
      <c r="P80" s="735"/>
      <c r="Q80" s="735"/>
      <c r="R80" s="735"/>
      <c r="S80" s="735"/>
      <c r="T80" s="735"/>
      <c r="U80" s="735"/>
      <c r="V80" s="735"/>
      <c r="W80" s="735"/>
    </row>
    <row r="81" spans="1:12" ht="48.75" customHeight="1">
      <c r="A81" s="204">
        <v>54</v>
      </c>
      <c r="B81" s="306"/>
      <c r="C81" s="177"/>
      <c r="D81" s="243">
        <v>6050</v>
      </c>
      <c r="E81" s="228" t="s">
        <v>564</v>
      </c>
      <c r="F81" s="339">
        <v>50000</v>
      </c>
      <c r="G81" s="339"/>
      <c r="H81" s="339" t="s">
        <v>531</v>
      </c>
      <c r="I81" s="339">
        <v>50000</v>
      </c>
      <c r="J81" s="339"/>
      <c r="K81" s="211" t="s">
        <v>532</v>
      </c>
      <c r="L81" s="211">
        <v>2013</v>
      </c>
    </row>
    <row r="82" spans="1:12" ht="48.75" customHeight="1">
      <c r="A82" s="204">
        <v>55</v>
      </c>
      <c r="B82" s="306"/>
      <c r="C82" s="195"/>
      <c r="D82" s="307">
        <v>6060</v>
      </c>
      <c r="E82" s="395" t="s">
        <v>180</v>
      </c>
      <c r="F82" s="266">
        <v>130000</v>
      </c>
      <c r="G82" s="266"/>
      <c r="H82" s="458"/>
      <c r="I82" s="266">
        <v>130000</v>
      </c>
      <c r="J82" s="266"/>
      <c r="K82" s="211" t="s">
        <v>532</v>
      </c>
      <c r="L82" s="211">
        <v>2013</v>
      </c>
    </row>
    <row r="83" spans="1:12" ht="21.75" customHeight="1">
      <c r="A83" s="376"/>
      <c r="B83" s="214">
        <v>758</v>
      </c>
      <c r="C83" s="245"/>
      <c r="D83" s="215"/>
      <c r="E83" s="246" t="s">
        <v>533</v>
      </c>
      <c r="F83" s="247">
        <f>F84</f>
        <v>18502</v>
      </c>
      <c r="G83" s="247">
        <f aca="true" t="shared" si="0" ref="G83:J84">G84</f>
        <v>0</v>
      </c>
      <c r="H83" s="247"/>
      <c r="I83" s="247">
        <f t="shared" si="0"/>
        <v>18502</v>
      </c>
      <c r="J83" s="247">
        <f t="shared" si="0"/>
        <v>0</v>
      </c>
      <c r="K83" s="211"/>
      <c r="L83" s="211"/>
    </row>
    <row r="84" spans="1:12" ht="22.5" customHeight="1">
      <c r="A84" s="377"/>
      <c r="B84" s="279"/>
      <c r="C84" s="260">
        <v>75818</v>
      </c>
      <c r="D84" s="255"/>
      <c r="E84" s="261" t="s">
        <v>534</v>
      </c>
      <c r="F84" s="262">
        <f>F85</f>
        <v>18502</v>
      </c>
      <c r="G84" s="262">
        <f t="shared" si="0"/>
        <v>0</v>
      </c>
      <c r="H84" s="262"/>
      <c r="I84" s="262">
        <f t="shared" si="0"/>
        <v>18502</v>
      </c>
      <c r="J84" s="262">
        <f t="shared" si="0"/>
        <v>0</v>
      </c>
      <c r="K84" s="223"/>
      <c r="L84" s="223"/>
    </row>
    <row r="85" spans="1:12" ht="32.25" customHeight="1">
      <c r="A85" s="377"/>
      <c r="B85" s="276"/>
      <c r="C85" s="277"/>
      <c r="D85" s="269">
        <v>6800</v>
      </c>
      <c r="E85" s="280" t="s">
        <v>78</v>
      </c>
      <c r="F85" s="281">
        <f>200000-85000-23233+23233+61802-30000-3500-47000-3800-50000-20000-4000</f>
        <v>18502</v>
      </c>
      <c r="G85" s="281"/>
      <c r="H85" s="230"/>
      <c r="I85" s="278">
        <f>200000-85000-23233+23233+61802-30000-3500-47000-3800-50000-20000-4000</f>
        <v>18502</v>
      </c>
      <c r="J85" s="278">
        <f>500000-500000</f>
        <v>0</v>
      </c>
      <c r="K85" s="211"/>
      <c r="L85" s="211"/>
    </row>
    <row r="86" spans="1:12" ht="24.75" customHeight="1">
      <c r="A86" s="282"/>
      <c r="B86" s="214">
        <v>801</v>
      </c>
      <c r="C86" s="277"/>
      <c r="D86" s="269"/>
      <c r="E86" s="257" t="s">
        <v>79</v>
      </c>
      <c r="F86" s="258">
        <f>F87+F98+F113+F116+F119</f>
        <v>9035107</v>
      </c>
      <c r="G86" s="258">
        <f>G87+G98+G113+G116+G119</f>
        <v>143284</v>
      </c>
      <c r="H86" s="258"/>
      <c r="I86" s="258">
        <f>I87+I98+I113+I116+I119</f>
        <v>8865823</v>
      </c>
      <c r="J86" s="258">
        <f>J87+J98+J113+J116+J119</f>
        <v>1021000</v>
      </c>
      <c r="K86" s="211"/>
      <c r="L86" s="211"/>
    </row>
    <row r="87" spans="1:12" ht="28.5" customHeight="1">
      <c r="A87" s="259"/>
      <c r="B87" s="273"/>
      <c r="C87" s="218">
        <v>80101</v>
      </c>
      <c r="D87" s="255"/>
      <c r="E87" s="261" t="s">
        <v>80</v>
      </c>
      <c r="F87" s="262">
        <f>SUM(F88:F97)</f>
        <v>1099018</v>
      </c>
      <c r="G87" s="262">
        <f>SUM(G88:G97)</f>
        <v>0</v>
      </c>
      <c r="H87" s="262"/>
      <c r="I87" s="262">
        <f>SUM(I88:I97)</f>
        <v>1099018</v>
      </c>
      <c r="J87" s="262">
        <f>SUM(J88:J97)</f>
        <v>0</v>
      </c>
      <c r="K87" s="223"/>
      <c r="L87" s="223"/>
    </row>
    <row r="88" spans="1:12" ht="55.5" customHeight="1">
      <c r="A88" s="259">
        <v>56</v>
      </c>
      <c r="B88" s="283"/>
      <c r="C88" s="177"/>
      <c r="D88" s="243">
        <v>6050</v>
      </c>
      <c r="E88" s="239" t="s">
        <v>81</v>
      </c>
      <c r="F88" s="240">
        <f>114000+1450+115450</f>
        <v>230900</v>
      </c>
      <c r="G88" s="240"/>
      <c r="H88" s="230" t="s">
        <v>82</v>
      </c>
      <c r="I88" s="240">
        <f>114000+1450+115450</f>
        <v>230900</v>
      </c>
      <c r="J88" s="278"/>
      <c r="K88" s="284" t="s">
        <v>463</v>
      </c>
      <c r="L88" s="252">
        <v>2013</v>
      </c>
    </row>
    <row r="89" spans="1:12" ht="57" customHeight="1">
      <c r="A89" s="259">
        <v>57</v>
      </c>
      <c r="B89" s="283"/>
      <c r="C89" s="185"/>
      <c r="D89" s="243">
        <v>6050</v>
      </c>
      <c r="E89" s="239" t="s">
        <v>580</v>
      </c>
      <c r="F89" s="240">
        <f>114000+1450+115450-3751</f>
        <v>227149</v>
      </c>
      <c r="G89" s="240"/>
      <c r="H89" s="230" t="s">
        <v>82</v>
      </c>
      <c r="I89" s="240">
        <f>114000+1450+115450-3751</f>
        <v>227149</v>
      </c>
      <c r="J89" s="244"/>
      <c r="K89" s="284" t="s">
        <v>464</v>
      </c>
      <c r="L89" s="252">
        <v>2013</v>
      </c>
    </row>
    <row r="90" spans="1:12" ht="54" customHeight="1">
      <c r="A90" s="259">
        <v>58</v>
      </c>
      <c r="B90" s="283"/>
      <c r="C90" s="185"/>
      <c r="D90" s="243">
        <v>6050</v>
      </c>
      <c r="E90" s="239" t="s">
        <v>603</v>
      </c>
      <c r="F90" s="759">
        <f>114000+1450+115450-5230</f>
        <v>225670</v>
      </c>
      <c r="G90" s="240"/>
      <c r="H90" s="230" t="s">
        <v>82</v>
      </c>
      <c r="I90" s="759">
        <f>114000+1450+115450-5230</f>
        <v>225670</v>
      </c>
      <c r="J90" s="244"/>
      <c r="K90" s="284" t="s">
        <v>464</v>
      </c>
      <c r="L90" s="252">
        <v>2013</v>
      </c>
    </row>
    <row r="91" spans="1:12" ht="57" customHeight="1">
      <c r="A91" s="259">
        <v>59</v>
      </c>
      <c r="B91" s="283"/>
      <c r="C91" s="185"/>
      <c r="D91" s="243">
        <v>6050</v>
      </c>
      <c r="E91" s="239" t="s">
        <v>604</v>
      </c>
      <c r="F91" s="240">
        <f>114000+1450+115450</f>
        <v>230900</v>
      </c>
      <c r="G91" s="240"/>
      <c r="H91" s="230" t="s">
        <v>82</v>
      </c>
      <c r="I91" s="240">
        <f>114000+1450+115450</f>
        <v>230900</v>
      </c>
      <c r="J91" s="244"/>
      <c r="K91" s="284" t="s">
        <v>465</v>
      </c>
      <c r="L91" s="252">
        <v>2013</v>
      </c>
    </row>
    <row r="92" spans="1:12" ht="44.25" customHeight="1">
      <c r="A92" s="259">
        <v>60</v>
      </c>
      <c r="B92" s="283"/>
      <c r="C92" s="185"/>
      <c r="D92" s="243">
        <v>6050</v>
      </c>
      <c r="E92" s="239" t="s">
        <v>83</v>
      </c>
      <c r="F92" s="240">
        <f>60000-23233</f>
        <v>36767</v>
      </c>
      <c r="G92" s="240"/>
      <c r="H92" s="236" t="s">
        <v>84</v>
      </c>
      <c r="I92" s="240">
        <f>60000-23233</f>
        <v>36767</v>
      </c>
      <c r="J92" s="244"/>
      <c r="K92" s="284" t="s">
        <v>21</v>
      </c>
      <c r="L92" s="252">
        <v>2013</v>
      </c>
    </row>
    <row r="93" spans="1:12" ht="44.25" customHeight="1">
      <c r="A93" s="259">
        <v>67</v>
      </c>
      <c r="B93" s="283"/>
      <c r="C93" s="185"/>
      <c r="D93" s="243">
        <v>6050</v>
      </c>
      <c r="E93" s="239" t="s">
        <v>230</v>
      </c>
      <c r="F93" s="240">
        <f>60000+10000</f>
        <v>70000</v>
      </c>
      <c r="G93" s="240"/>
      <c r="H93" s="236" t="s">
        <v>231</v>
      </c>
      <c r="I93" s="240">
        <f>60000+10000</f>
        <v>70000</v>
      </c>
      <c r="J93" s="244"/>
      <c r="K93" s="284" t="s">
        <v>116</v>
      </c>
      <c r="L93" s="252">
        <v>2013</v>
      </c>
    </row>
    <row r="94" spans="1:12" ht="44.25" customHeight="1">
      <c r="A94" s="259">
        <v>62</v>
      </c>
      <c r="B94" s="283"/>
      <c r="C94" s="185"/>
      <c r="D94" s="243">
        <v>6050</v>
      </c>
      <c r="E94" s="239" t="s">
        <v>457</v>
      </c>
      <c r="F94" s="240">
        <v>11032</v>
      </c>
      <c r="G94" s="240"/>
      <c r="H94" s="236" t="s">
        <v>164</v>
      </c>
      <c r="I94" s="240">
        <v>11032</v>
      </c>
      <c r="J94" s="244"/>
      <c r="K94" s="284" t="s">
        <v>463</v>
      </c>
      <c r="L94" s="252">
        <v>2013</v>
      </c>
    </row>
    <row r="95" spans="1:12" ht="52.5" customHeight="1">
      <c r="A95" s="259">
        <v>63</v>
      </c>
      <c r="B95" s="283"/>
      <c r="C95" s="185"/>
      <c r="D95" s="243">
        <v>6060</v>
      </c>
      <c r="E95" s="239" t="s">
        <v>535</v>
      </c>
      <c r="F95" s="240">
        <v>51000</v>
      </c>
      <c r="G95" s="240"/>
      <c r="H95" s="236" t="s">
        <v>851</v>
      </c>
      <c r="I95" s="240">
        <v>51000</v>
      </c>
      <c r="J95" s="244"/>
      <c r="K95" s="284" t="s">
        <v>536</v>
      </c>
      <c r="L95" s="252">
        <v>2013</v>
      </c>
    </row>
    <row r="96" spans="1:12" ht="35.25" customHeight="1">
      <c r="A96" s="259"/>
      <c r="B96" s="283"/>
      <c r="C96" s="185"/>
      <c r="D96" s="918">
        <v>6060</v>
      </c>
      <c r="E96" s="758" t="s">
        <v>445</v>
      </c>
      <c r="F96" s="759">
        <v>10600</v>
      </c>
      <c r="G96" s="759"/>
      <c r="H96" s="760"/>
      <c r="I96" s="759">
        <v>10600</v>
      </c>
      <c r="J96" s="761"/>
      <c r="K96" s="931" t="s">
        <v>536</v>
      </c>
      <c r="L96" s="925">
        <v>2013</v>
      </c>
    </row>
    <row r="97" spans="1:12" ht="39.75" customHeight="1">
      <c r="A97" s="259">
        <v>64</v>
      </c>
      <c r="B97" s="283"/>
      <c r="C97" s="185"/>
      <c r="D97" s="243">
        <v>6060</v>
      </c>
      <c r="E97" s="239" t="s">
        <v>731</v>
      </c>
      <c r="F97" s="240">
        <f>4000+1000</f>
        <v>5000</v>
      </c>
      <c r="G97" s="240"/>
      <c r="H97" s="236" t="s">
        <v>562</v>
      </c>
      <c r="I97" s="240">
        <f>4000+1000</f>
        <v>5000</v>
      </c>
      <c r="J97" s="244"/>
      <c r="K97" s="284" t="s">
        <v>732</v>
      </c>
      <c r="L97" s="252">
        <v>2013</v>
      </c>
    </row>
    <row r="98" spans="1:12" ht="25.5" customHeight="1">
      <c r="A98" s="259"/>
      <c r="B98" s="285"/>
      <c r="C98" s="254">
        <v>80104</v>
      </c>
      <c r="D98" s="220"/>
      <c r="E98" s="221" t="s">
        <v>86</v>
      </c>
      <c r="F98" s="222">
        <f>SUM(F99:F112)</f>
        <v>1315739</v>
      </c>
      <c r="G98" s="222">
        <f>SUM(G99:G112)</f>
        <v>130000</v>
      </c>
      <c r="H98" s="222"/>
      <c r="I98" s="222">
        <f>SUM(I99:I112)</f>
        <v>1159739</v>
      </c>
      <c r="J98" s="222">
        <f>SUM(J99:J112)</f>
        <v>180000</v>
      </c>
      <c r="K98" s="223"/>
      <c r="L98" s="223"/>
    </row>
    <row r="99" spans="1:12" ht="35.25" customHeight="1">
      <c r="A99" s="259">
        <v>65</v>
      </c>
      <c r="B99" s="285"/>
      <c r="C99" s="253"/>
      <c r="D99" s="243">
        <v>6050</v>
      </c>
      <c r="E99" s="239" t="s">
        <v>87</v>
      </c>
      <c r="F99" s="240">
        <f>660000+9041+9000+20000+40400-2941</f>
        <v>735500</v>
      </c>
      <c r="G99" s="240">
        <v>130000</v>
      </c>
      <c r="H99" s="286" t="s">
        <v>88</v>
      </c>
      <c r="I99" s="240">
        <f>530000+9041+9000+20000+40400-2941</f>
        <v>605500</v>
      </c>
      <c r="J99" s="240">
        <v>0</v>
      </c>
      <c r="K99" s="211" t="s">
        <v>21</v>
      </c>
      <c r="L99" s="211" t="s">
        <v>22</v>
      </c>
    </row>
    <row r="100" spans="1:12" ht="32.25" customHeight="1">
      <c r="A100" s="259">
        <v>66</v>
      </c>
      <c r="B100" s="283"/>
      <c r="C100" s="185"/>
      <c r="D100" s="243">
        <v>6050</v>
      </c>
      <c r="E100" s="239" t="s">
        <v>89</v>
      </c>
      <c r="F100" s="240">
        <v>50000</v>
      </c>
      <c r="G100" s="240">
        <v>0</v>
      </c>
      <c r="H100" s="236" t="s">
        <v>90</v>
      </c>
      <c r="I100" s="235">
        <v>50000</v>
      </c>
      <c r="J100" s="244">
        <v>0</v>
      </c>
      <c r="K100" s="211" t="s">
        <v>91</v>
      </c>
      <c r="L100" s="211">
        <v>2013</v>
      </c>
    </row>
    <row r="101" spans="1:12" ht="40.5" customHeight="1">
      <c r="A101" s="259">
        <v>67</v>
      </c>
      <c r="B101" s="283"/>
      <c r="C101" s="185"/>
      <c r="D101" s="243">
        <v>6050</v>
      </c>
      <c r="E101" s="239" t="s">
        <v>18</v>
      </c>
      <c r="F101" s="240">
        <f>11500-500</f>
        <v>11000</v>
      </c>
      <c r="G101" s="240">
        <v>0</v>
      </c>
      <c r="H101" s="236" t="s">
        <v>19</v>
      </c>
      <c r="I101" s="235">
        <f>11500-500</f>
        <v>11000</v>
      </c>
      <c r="J101" s="244">
        <v>0</v>
      </c>
      <c r="K101" s="211" t="s">
        <v>94</v>
      </c>
      <c r="L101" s="211">
        <v>2013</v>
      </c>
    </row>
    <row r="102" spans="1:12" ht="34.5" customHeight="1">
      <c r="A102" s="259">
        <v>68</v>
      </c>
      <c r="B102" s="283"/>
      <c r="C102" s="185"/>
      <c r="D102" s="243">
        <v>6050</v>
      </c>
      <c r="E102" s="239" t="s">
        <v>95</v>
      </c>
      <c r="F102" s="240">
        <v>11500</v>
      </c>
      <c r="G102" s="240">
        <v>0</v>
      </c>
      <c r="H102" s="236" t="s">
        <v>93</v>
      </c>
      <c r="I102" s="235">
        <v>11500</v>
      </c>
      <c r="J102" s="244">
        <v>0</v>
      </c>
      <c r="K102" s="211" t="s">
        <v>91</v>
      </c>
      <c r="L102" s="211">
        <v>2013</v>
      </c>
    </row>
    <row r="103" spans="1:12" ht="34.5" customHeight="1">
      <c r="A103" s="259">
        <v>69</v>
      </c>
      <c r="B103" s="283"/>
      <c r="C103" s="185"/>
      <c r="D103" s="243">
        <v>6050</v>
      </c>
      <c r="E103" s="228" t="s">
        <v>96</v>
      </c>
      <c r="F103" s="240">
        <v>180000</v>
      </c>
      <c r="G103" s="240"/>
      <c r="H103" s="236" t="s">
        <v>97</v>
      </c>
      <c r="I103" s="235">
        <v>180000</v>
      </c>
      <c r="J103" s="244">
        <v>180000</v>
      </c>
      <c r="K103" s="211" t="s">
        <v>98</v>
      </c>
      <c r="L103" s="211">
        <v>2013</v>
      </c>
    </row>
    <row r="104" spans="1:12" ht="34.5" customHeight="1">
      <c r="A104" s="259">
        <v>70</v>
      </c>
      <c r="B104" s="283"/>
      <c r="C104" s="185"/>
      <c r="D104" s="243">
        <v>6050</v>
      </c>
      <c r="E104" s="239" t="s">
        <v>99</v>
      </c>
      <c r="F104" s="240">
        <f>4674+185326-40400+26000</f>
        <v>175600</v>
      </c>
      <c r="G104" s="240"/>
      <c r="H104" s="236" t="s">
        <v>100</v>
      </c>
      <c r="I104" s="240">
        <f>185326+4674-40400</f>
        <v>149600</v>
      </c>
      <c r="J104" s="244"/>
      <c r="K104" s="211" t="s">
        <v>21</v>
      </c>
      <c r="L104" s="211" t="s">
        <v>300</v>
      </c>
    </row>
    <row r="105" spans="1:12" ht="44.25" customHeight="1">
      <c r="A105" s="259">
        <v>71</v>
      </c>
      <c r="B105" s="283"/>
      <c r="C105" s="185"/>
      <c r="D105" s="243">
        <v>6050</v>
      </c>
      <c r="E105" s="239" t="s">
        <v>566</v>
      </c>
      <c r="F105" s="240">
        <f>42000-2000</f>
        <v>40000</v>
      </c>
      <c r="G105" s="240"/>
      <c r="H105" s="236" t="s">
        <v>852</v>
      </c>
      <c r="I105" s="240">
        <f>42000-2000</f>
        <v>40000</v>
      </c>
      <c r="J105" s="244"/>
      <c r="K105" s="211" t="s">
        <v>128</v>
      </c>
      <c r="L105" s="211">
        <v>2013</v>
      </c>
    </row>
    <row r="106" spans="1:12" ht="41.25" customHeight="1">
      <c r="A106" s="259">
        <v>72</v>
      </c>
      <c r="B106" s="283"/>
      <c r="C106" s="185"/>
      <c r="D106" s="243">
        <v>6050</v>
      </c>
      <c r="E106" s="239" t="s">
        <v>567</v>
      </c>
      <c r="F106" s="240">
        <f>12000+4500</f>
        <v>16500</v>
      </c>
      <c r="G106" s="240"/>
      <c r="H106" s="236" t="s">
        <v>853</v>
      </c>
      <c r="I106" s="240">
        <f>12000+4500</f>
        <v>16500</v>
      </c>
      <c r="J106" s="244"/>
      <c r="K106" s="211" t="s">
        <v>128</v>
      </c>
      <c r="L106" s="211">
        <v>2013</v>
      </c>
    </row>
    <row r="107" spans="1:12" ht="41.25" customHeight="1">
      <c r="A107" s="259">
        <v>73</v>
      </c>
      <c r="B107" s="283"/>
      <c r="C107" s="185"/>
      <c r="D107" s="243">
        <v>6060</v>
      </c>
      <c r="E107" s="239" t="s">
        <v>600</v>
      </c>
      <c r="F107" s="240">
        <f>12500-229</f>
        <v>12271</v>
      </c>
      <c r="G107" s="240"/>
      <c r="H107" s="236" t="s">
        <v>602</v>
      </c>
      <c r="I107" s="240">
        <f>12500-229</f>
        <v>12271</v>
      </c>
      <c r="J107" s="244"/>
      <c r="K107" s="211" t="s">
        <v>601</v>
      </c>
      <c r="L107" s="211">
        <v>2013</v>
      </c>
    </row>
    <row r="108" spans="1:12" ht="41.25" customHeight="1">
      <c r="A108" s="259">
        <v>74</v>
      </c>
      <c r="B108" s="283"/>
      <c r="C108" s="185"/>
      <c r="D108" s="243">
        <v>6060</v>
      </c>
      <c r="E108" s="239" t="s">
        <v>801</v>
      </c>
      <c r="F108" s="630">
        <v>13068</v>
      </c>
      <c r="G108" s="240"/>
      <c r="H108" s="236"/>
      <c r="I108" s="630">
        <v>13068</v>
      </c>
      <c r="J108" s="244"/>
      <c r="K108" s="211" t="s">
        <v>128</v>
      </c>
      <c r="L108" s="211">
        <v>2013</v>
      </c>
    </row>
    <row r="109" spans="1:12" ht="64.5" customHeight="1">
      <c r="A109" s="259">
        <v>75</v>
      </c>
      <c r="B109" s="283"/>
      <c r="C109" s="185"/>
      <c r="D109" s="243">
        <v>6060</v>
      </c>
      <c r="E109" s="239" t="s">
        <v>213</v>
      </c>
      <c r="F109" s="298">
        <v>44600</v>
      </c>
      <c r="G109" s="240"/>
      <c r="H109" s="236" t="s">
        <v>421</v>
      </c>
      <c r="I109" s="298">
        <v>44600</v>
      </c>
      <c r="J109" s="244"/>
      <c r="K109" s="211"/>
      <c r="L109" s="211">
        <v>2013</v>
      </c>
    </row>
    <row r="110" spans="1:12" ht="45.75" customHeight="1">
      <c r="A110" s="259"/>
      <c r="B110" s="283"/>
      <c r="C110" s="185"/>
      <c r="D110" s="918">
        <v>6060</v>
      </c>
      <c r="E110" s="758" t="s">
        <v>419</v>
      </c>
      <c r="F110" s="919">
        <v>5200</v>
      </c>
      <c r="G110" s="759"/>
      <c r="H110" s="760" t="s">
        <v>155</v>
      </c>
      <c r="I110" s="919">
        <v>5200</v>
      </c>
      <c r="J110" s="761"/>
      <c r="K110" s="762" t="s">
        <v>420</v>
      </c>
      <c r="L110" s="762">
        <v>2013</v>
      </c>
    </row>
    <row r="111" spans="1:12" ht="45" customHeight="1">
      <c r="A111" s="259"/>
      <c r="B111" s="283"/>
      <c r="C111" s="185"/>
      <c r="D111" s="918">
        <v>6060</v>
      </c>
      <c r="E111" s="758" t="s">
        <v>210</v>
      </c>
      <c r="F111" s="919">
        <v>15000</v>
      </c>
      <c r="G111" s="759"/>
      <c r="H111" s="760" t="s">
        <v>155</v>
      </c>
      <c r="I111" s="919">
        <v>15000</v>
      </c>
      <c r="J111" s="761"/>
      <c r="K111" s="762" t="s">
        <v>91</v>
      </c>
      <c r="L111" s="762">
        <v>2013</v>
      </c>
    </row>
    <row r="112" spans="1:12" ht="34.5" customHeight="1">
      <c r="A112" s="259">
        <v>76</v>
      </c>
      <c r="B112" s="283"/>
      <c r="C112" s="185"/>
      <c r="D112" s="243">
        <v>6060</v>
      </c>
      <c r="E112" s="239" t="s">
        <v>101</v>
      </c>
      <c r="F112" s="240">
        <v>5500</v>
      </c>
      <c r="G112" s="240">
        <v>0</v>
      </c>
      <c r="H112" s="236" t="s">
        <v>102</v>
      </c>
      <c r="I112" s="235">
        <v>5500</v>
      </c>
      <c r="J112" s="244">
        <v>0</v>
      </c>
      <c r="K112" s="211" t="s">
        <v>103</v>
      </c>
      <c r="L112" s="211">
        <v>2013</v>
      </c>
    </row>
    <row r="113" spans="1:12" ht="27" customHeight="1">
      <c r="A113" s="259"/>
      <c r="B113" s="283"/>
      <c r="C113" s="254">
        <v>80110</v>
      </c>
      <c r="D113" s="220"/>
      <c r="E113" s="221" t="s">
        <v>104</v>
      </c>
      <c r="F113" s="222">
        <f>SUM(F114+F115)</f>
        <v>61000</v>
      </c>
      <c r="G113" s="222">
        <f>SUM(G114+G115)</f>
        <v>0</v>
      </c>
      <c r="H113" s="222"/>
      <c r="I113" s="222">
        <f>SUM(I114+I115)</f>
        <v>61000</v>
      </c>
      <c r="J113" s="222">
        <f>SUM(J114+J115)</f>
        <v>0</v>
      </c>
      <c r="K113" s="223"/>
      <c r="L113" s="223"/>
    </row>
    <row r="114" spans="1:23" s="736" customFormat="1" ht="34.5" customHeight="1">
      <c r="A114" s="259">
        <v>77</v>
      </c>
      <c r="B114" s="283"/>
      <c r="C114" s="185"/>
      <c r="D114" s="287">
        <v>6050</v>
      </c>
      <c r="E114" s="239" t="s">
        <v>537</v>
      </c>
      <c r="F114" s="240">
        <f>70000-15000</f>
        <v>55000</v>
      </c>
      <c r="G114" s="240"/>
      <c r="H114" s="240" t="s">
        <v>854</v>
      </c>
      <c r="I114" s="240">
        <f>70000-15000</f>
        <v>55000</v>
      </c>
      <c r="J114" s="240"/>
      <c r="K114" s="211" t="s">
        <v>21</v>
      </c>
      <c r="L114" s="211">
        <v>2013</v>
      </c>
      <c r="N114" s="738"/>
      <c r="O114" s="738"/>
      <c r="P114" s="738"/>
      <c r="Q114" s="738"/>
      <c r="R114" s="738"/>
      <c r="S114" s="738"/>
      <c r="T114" s="738"/>
      <c r="U114" s="738"/>
      <c r="V114" s="738"/>
      <c r="W114" s="738"/>
    </row>
    <row r="115" spans="1:12" ht="34.5" customHeight="1">
      <c r="A115" s="259">
        <v>78</v>
      </c>
      <c r="B115" s="283"/>
      <c r="C115" s="185"/>
      <c r="D115" s="287">
        <v>6060</v>
      </c>
      <c r="E115" s="239" t="s">
        <v>105</v>
      </c>
      <c r="F115" s="240">
        <v>6000</v>
      </c>
      <c r="G115" s="240">
        <v>0</v>
      </c>
      <c r="H115" s="236" t="s">
        <v>85</v>
      </c>
      <c r="I115" s="235">
        <v>6000</v>
      </c>
      <c r="J115" s="244">
        <v>0</v>
      </c>
      <c r="K115" s="211" t="s">
        <v>106</v>
      </c>
      <c r="L115" s="211">
        <v>2013</v>
      </c>
    </row>
    <row r="116" spans="1:12" ht="27" customHeight="1">
      <c r="A116" s="259"/>
      <c r="B116" s="215"/>
      <c r="C116" s="254">
        <v>80148</v>
      </c>
      <c r="D116" s="220"/>
      <c r="E116" s="221" t="s">
        <v>113</v>
      </c>
      <c r="F116" s="240">
        <f>F117+F118</f>
        <v>12150</v>
      </c>
      <c r="G116" s="240">
        <f>G117+G118</f>
        <v>0</v>
      </c>
      <c r="H116" s="240"/>
      <c r="I116" s="240">
        <f>I117+I118</f>
        <v>12150</v>
      </c>
      <c r="J116" s="240">
        <f>J117+J118</f>
        <v>0</v>
      </c>
      <c r="K116" s="211"/>
      <c r="L116" s="211"/>
    </row>
    <row r="117" spans="1:12" ht="39.75" customHeight="1">
      <c r="A117" s="259">
        <v>79</v>
      </c>
      <c r="B117" s="283"/>
      <c r="C117" s="185"/>
      <c r="D117" s="243">
        <v>6060</v>
      </c>
      <c r="E117" s="239" t="s">
        <v>458</v>
      </c>
      <c r="F117" s="240">
        <v>5650</v>
      </c>
      <c r="G117" s="240"/>
      <c r="H117" s="236" t="s">
        <v>155</v>
      </c>
      <c r="I117" s="240">
        <v>5650</v>
      </c>
      <c r="J117" s="244"/>
      <c r="K117" s="284" t="s">
        <v>223</v>
      </c>
      <c r="L117" s="252">
        <v>2013</v>
      </c>
    </row>
    <row r="118" spans="1:12" ht="27.75" customHeight="1">
      <c r="A118" s="259">
        <v>80</v>
      </c>
      <c r="B118" s="283"/>
      <c r="C118" s="185"/>
      <c r="D118" s="243">
        <v>6060</v>
      </c>
      <c r="E118" s="239" t="s">
        <v>114</v>
      </c>
      <c r="F118" s="240">
        <v>6500</v>
      </c>
      <c r="G118" s="240"/>
      <c r="H118" s="239" t="s">
        <v>115</v>
      </c>
      <c r="I118" s="240">
        <v>6500</v>
      </c>
      <c r="J118" s="244"/>
      <c r="K118" s="284" t="s">
        <v>116</v>
      </c>
      <c r="L118" s="252">
        <v>2013</v>
      </c>
    </row>
    <row r="119" spans="1:12" ht="23.25" customHeight="1">
      <c r="A119" s="259"/>
      <c r="B119" s="283"/>
      <c r="C119" s="254">
        <v>80195</v>
      </c>
      <c r="D119" s="220"/>
      <c r="E119" s="221" t="s">
        <v>58</v>
      </c>
      <c r="F119" s="222">
        <f>SUM(F120)</f>
        <v>6547200</v>
      </c>
      <c r="G119" s="222">
        <f>SUM(G120:G120)</f>
        <v>13284</v>
      </c>
      <c r="H119" s="288"/>
      <c r="I119" s="222">
        <f>SUM(I120)</f>
        <v>6533916</v>
      </c>
      <c r="J119" s="222">
        <f>SUM(J120:J120)</f>
        <v>841000</v>
      </c>
      <c r="K119" s="211"/>
      <c r="L119" s="211"/>
    </row>
    <row r="120" spans="1:12" ht="33.75" customHeight="1">
      <c r="A120" s="259">
        <v>81</v>
      </c>
      <c r="B120" s="283"/>
      <c r="C120" s="185"/>
      <c r="D120" s="287">
        <v>6050</v>
      </c>
      <c r="E120" s="228" t="s">
        <v>117</v>
      </c>
      <c r="F120" s="240">
        <f>5676200+13000+828000+30000</f>
        <v>6547200</v>
      </c>
      <c r="G120" s="240">
        <f>5034600-5021316</f>
        <v>13284</v>
      </c>
      <c r="H120" s="230" t="s">
        <v>118</v>
      </c>
      <c r="I120" s="244">
        <f>641600+5021316+13000+828000+30000</f>
        <v>6533916</v>
      </c>
      <c r="J120" s="244">
        <f>828000+13000</f>
        <v>841000</v>
      </c>
      <c r="K120" s="211" t="s">
        <v>21</v>
      </c>
      <c r="L120" s="211" t="s">
        <v>22</v>
      </c>
    </row>
    <row r="121" spans="1:23" s="293" customFormat="1" ht="24.75" customHeight="1">
      <c r="A121" s="270"/>
      <c r="B121" s="215">
        <v>851</v>
      </c>
      <c r="C121" s="214"/>
      <c r="D121" s="289"/>
      <c r="E121" s="290" t="s">
        <v>119</v>
      </c>
      <c r="F121" s="247">
        <f>F122+F125</f>
        <v>206099</v>
      </c>
      <c r="G121" s="247">
        <f>G122+G125</f>
        <v>0</v>
      </c>
      <c r="H121" s="247"/>
      <c r="I121" s="247">
        <f>I122+I125</f>
        <v>206099</v>
      </c>
      <c r="J121" s="247">
        <f>J122+J125</f>
        <v>0</v>
      </c>
      <c r="K121" s="292"/>
      <c r="L121" s="292"/>
      <c r="N121" s="745"/>
      <c r="O121" s="745"/>
      <c r="P121" s="745"/>
      <c r="Q121" s="745"/>
      <c r="R121" s="745"/>
      <c r="S121" s="745"/>
      <c r="T121" s="745"/>
      <c r="U121" s="745"/>
      <c r="V121" s="745"/>
      <c r="W121" s="745"/>
    </row>
    <row r="122" spans="1:23" s="736" customFormat="1" ht="24.75" customHeight="1">
      <c r="A122" s="259"/>
      <c r="B122" s="306"/>
      <c r="C122" s="177">
        <v>85111</v>
      </c>
      <c r="D122" s="241"/>
      <c r="E122" s="228" t="s">
        <v>538</v>
      </c>
      <c r="F122" s="240">
        <f>F123+F124</f>
        <v>200000</v>
      </c>
      <c r="G122" s="240">
        <f>G123</f>
        <v>0</v>
      </c>
      <c r="H122" s="240"/>
      <c r="I122" s="240">
        <f>I123+I124</f>
        <v>200000</v>
      </c>
      <c r="J122" s="240">
        <f>J123</f>
        <v>0</v>
      </c>
      <c r="K122" s="211"/>
      <c r="L122" s="211"/>
      <c r="N122" s="738"/>
      <c r="O122" s="738"/>
      <c r="P122" s="738"/>
      <c r="Q122" s="738"/>
      <c r="R122" s="738"/>
      <c r="S122" s="738"/>
      <c r="T122" s="738"/>
      <c r="U122" s="738"/>
      <c r="V122" s="738"/>
      <c r="W122" s="738"/>
    </row>
    <row r="123" spans="1:23" s="736" customFormat="1" ht="68.25" customHeight="1">
      <c r="A123" s="259">
        <v>82</v>
      </c>
      <c r="B123" s="306"/>
      <c r="C123" s="177"/>
      <c r="D123" s="242">
        <v>6220</v>
      </c>
      <c r="E123" s="228" t="s">
        <v>555</v>
      </c>
      <c r="F123" s="240">
        <v>100000</v>
      </c>
      <c r="G123" s="240"/>
      <c r="H123" s="236" t="s">
        <v>0</v>
      </c>
      <c r="I123" s="240">
        <v>100000</v>
      </c>
      <c r="J123" s="244"/>
      <c r="K123" s="211" t="s">
        <v>539</v>
      </c>
      <c r="L123" s="211">
        <v>2013</v>
      </c>
      <c r="N123" s="738"/>
      <c r="O123" s="738"/>
      <c r="P123" s="738"/>
      <c r="Q123" s="738"/>
      <c r="R123" s="738"/>
      <c r="S123" s="738"/>
      <c r="T123" s="738"/>
      <c r="U123" s="738"/>
      <c r="V123" s="738"/>
      <c r="W123" s="738"/>
    </row>
    <row r="124" spans="1:23" s="736" customFormat="1" ht="75" customHeight="1">
      <c r="A124" s="259">
        <v>83</v>
      </c>
      <c r="B124" s="306"/>
      <c r="C124" s="195"/>
      <c r="D124" s="241">
        <v>6220</v>
      </c>
      <c r="E124" s="228" t="s">
        <v>208</v>
      </c>
      <c r="F124" s="240">
        <v>100000</v>
      </c>
      <c r="G124" s="240"/>
      <c r="H124" s="236"/>
      <c r="I124" s="240">
        <v>100000</v>
      </c>
      <c r="J124" s="244"/>
      <c r="K124" s="211" t="s">
        <v>539</v>
      </c>
      <c r="L124" s="211">
        <v>2013</v>
      </c>
      <c r="N124" s="738"/>
      <c r="O124" s="738"/>
      <c r="P124" s="738"/>
      <c r="Q124" s="738"/>
      <c r="R124" s="738"/>
      <c r="S124" s="738"/>
      <c r="T124" s="738"/>
      <c r="U124" s="738"/>
      <c r="V124" s="738"/>
      <c r="W124" s="738"/>
    </row>
    <row r="125" spans="1:12" ht="29.25" customHeight="1">
      <c r="A125" s="259"/>
      <c r="B125" s="283"/>
      <c r="C125" s="195">
        <v>85158</v>
      </c>
      <c r="D125" s="241"/>
      <c r="E125" s="294" t="s">
        <v>120</v>
      </c>
      <c r="F125" s="240">
        <f>F126</f>
        <v>6099</v>
      </c>
      <c r="G125" s="240"/>
      <c r="H125" s="236"/>
      <c r="I125" s="240">
        <f>I126</f>
        <v>6099</v>
      </c>
      <c r="J125" s="244"/>
      <c r="K125" s="211"/>
      <c r="L125" s="211"/>
    </row>
    <row r="126" spans="1:12" ht="29.25" customHeight="1">
      <c r="A126" s="204">
        <v>84</v>
      </c>
      <c r="B126" s="283"/>
      <c r="C126" s="185"/>
      <c r="D126" s="287">
        <v>6060</v>
      </c>
      <c r="E126" s="239" t="s">
        <v>121</v>
      </c>
      <c r="F126" s="240">
        <f>20000-13901</f>
        <v>6099</v>
      </c>
      <c r="G126" s="240"/>
      <c r="H126" s="236" t="s">
        <v>122</v>
      </c>
      <c r="I126" s="244">
        <f>20000-13901</f>
        <v>6099</v>
      </c>
      <c r="J126" s="244"/>
      <c r="K126" s="211" t="s">
        <v>123</v>
      </c>
      <c r="L126" s="211">
        <v>2013</v>
      </c>
    </row>
    <row r="127" spans="1:12" ht="29.25" customHeight="1">
      <c r="A127" s="259"/>
      <c r="B127" s="215">
        <v>852</v>
      </c>
      <c r="C127" s="241"/>
      <c r="D127" s="307"/>
      <c r="E127" s="239" t="s">
        <v>293</v>
      </c>
      <c r="F127" s="247">
        <f>F128</f>
        <v>20500</v>
      </c>
      <c r="G127" s="247"/>
      <c r="H127" s="291"/>
      <c r="I127" s="247">
        <f>I128</f>
        <v>20500</v>
      </c>
      <c r="J127" s="641"/>
      <c r="K127" s="292"/>
      <c r="L127" s="292"/>
    </row>
    <row r="128" spans="1:12" ht="29.25" customHeight="1">
      <c r="A128" s="282"/>
      <c r="B128" s="283"/>
      <c r="C128" s="241">
        <v>85219</v>
      </c>
      <c r="D128" s="242"/>
      <c r="E128" s="239" t="s">
        <v>184</v>
      </c>
      <c r="F128" s="240">
        <f>SUM(F129:F130)</f>
        <v>20500</v>
      </c>
      <c r="G128" s="240">
        <f>SUM(G129:G130)</f>
        <v>0</v>
      </c>
      <c r="H128" s="240"/>
      <c r="I128" s="240">
        <f>SUM(I129:I130)</f>
        <v>20500</v>
      </c>
      <c r="J128" s="240">
        <f>SUM(J129:J130)</f>
        <v>0</v>
      </c>
      <c r="K128" s="211"/>
      <c r="L128" s="211"/>
    </row>
    <row r="129" spans="1:12" ht="29.25" customHeight="1">
      <c r="A129" s="282"/>
      <c r="B129" s="283"/>
      <c r="C129" s="185"/>
      <c r="D129" s="757">
        <v>6050</v>
      </c>
      <c r="E129" s="758" t="s">
        <v>206</v>
      </c>
      <c r="F129" s="759">
        <v>12000</v>
      </c>
      <c r="G129" s="759"/>
      <c r="H129" s="760" t="s">
        <v>207</v>
      </c>
      <c r="I129" s="759">
        <v>12000</v>
      </c>
      <c r="J129" s="761"/>
      <c r="K129" s="762" t="s">
        <v>181</v>
      </c>
      <c r="L129" s="762">
        <v>2013</v>
      </c>
    </row>
    <row r="130" spans="1:12" ht="29.25" customHeight="1">
      <c r="A130" s="259">
        <v>85</v>
      </c>
      <c r="B130" s="283"/>
      <c r="C130" s="185"/>
      <c r="D130" s="287">
        <v>6060</v>
      </c>
      <c r="E130" s="239" t="s">
        <v>183</v>
      </c>
      <c r="F130" s="240">
        <v>8500</v>
      </c>
      <c r="G130" s="240"/>
      <c r="H130" s="236" t="s">
        <v>193</v>
      </c>
      <c r="I130" s="244">
        <v>8500</v>
      </c>
      <c r="J130" s="244"/>
      <c r="K130" s="211" t="s">
        <v>181</v>
      </c>
      <c r="L130" s="211">
        <v>2013</v>
      </c>
    </row>
    <row r="131" spans="1:12" ht="31.5" customHeight="1">
      <c r="A131" s="259"/>
      <c r="B131" s="214">
        <v>853</v>
      </c>
      <c r="C131" s="241"/>
      <c r="D131" s="287"/>
      <c r="E131" s="291" t="s">
        <v>124</v>
      </c>
      <c r="F131" s="247">
        <f>F132+F134</f>
        <v>3514741.4799999995</v>
      </c>
      <c r="G131" s="247">
        <f>G132+G134</f>
        <v>3163369.92</v>
      </c>
      <c r="H131" s="247"/>
      <c r="I131" s="247">
        <f>I132+I134</f>
        <v>1951371.56</v>
      </c>
      <c r="J131" s="247">
        <f>J132+J134</f>
        <v>0</v>
      </c>
      <c r="K131" s="292"/>
      <c r="L131" s="292"/>
    </row>
    <row r="132" spans="1:23" s="342" customFormat="1" ht="31.5" customHeight="1">
      <c r="A132" s="453"/>
      <c r="B132" s="254"/>
      <c r="C132" s="254">
        <v>85305</v>
      </c>
      <c r="D132" s="295"/>
      <c r="E132" s="221" t="s">
        <v>35</v>
      </c>
      <c r="F132" s="222">
        <f>F133</f>
        <v>20000</v>
      </c>
      <c r="G132" s="222">
        <f>G133</f>
        <v>0</v>
      </c>
      <c r="H132" s="222"/>
      <c r="I132" s="222">
        <f>I133</f>
        <v>20000</v>
      </c>
      <c r="J132" s="222">
        <f>J133</f>
        <v>0</v>
      </c>
      <c r="K132" s="223"/>
      <c r="L132" s="223"/>
      <c r="N132" s="735"/>
      <c r="O132" s="735"/>
      <c r="P132" s="735"/>
      <c r="Q132" s="735"/>
      <c r="R132" s="735"/>
      <c r="S132" s="735"/>
      <c r="T132" s="735"/>
      <c r="U132" s="735"/>
      <c r="V132" s="735"/>
      <c r="W132" s="735"/>
    </row>
    <row r="133" spans="1:12" ht="48" customHeight="1">
      <c r="A133" s="259">
        <v>86</v>
      </c>
      <c r="B133" s="214"/>
      <c r="C133" s="241"/>
      <c r="D133" s="287">
        <v>6050</v>
      </c>
      <c r="E133" s="236" t="s">
        <v>33</v>
      </c>
      <c r="F133" s="240">
        <v>20000</v>
      </c>
      <c r="G133" s="240"/>
      <c r="H133" s="240" t="s">
        <v>34</v>
      </c>
      <c r="I133" s="240">
        <v>20000</v>
      </c>
      <c r="J133" s="240"/>
      <c r="K133" s="211"/>
      <c r="L133" s="211"/>
    </row>
    <row r="134" spans="1:12" ht="27" customHeight="1">
      <c r="A134" s="259"/>
      <c r="B134" s="214"/>
      <c r="C134" s="254">
        <v>85395</v>
      </c>
      <c r="D134" s="295"/>
      <c r="E134" s="221" t="s">
        <v>125</v>
      </c>
      <c r="F134" s="222">
        <f>SUM(F135:F145)</f>
        <v>3494741.4799999995</v>
      </c>
      <c r="G134" s="222">
        <f>SUM(G135:G145)</f>
        <v>3163369.92</v>
      </c>
      <c r="H134" s="222"/>
      <c r="I134" s="222">
        <f>SUM(I135:I145)</f>
        <v>1931371.56</v>
      </c>
      <c r="J134" s="222">
        <f>SUM(J135:J145)</f>
        <v>0</v>
      </c>
      <c r="K134" s="223"/>
      <c r="L134" s="223"/>
    </row>
    <row r="135" spans="1:23" s="736" customFormat="1" ht="40.5" customHeight="1">
      <c r="A135" s="259">
        <v>87</v>
      </c>
      <c r="B135" s="214"/>
      <c r="C135" s="250"/>
      <c r="D135" s="287">
        <v>6057</v>
      </c>
      <c r="E135" s="239" t="s">
        <v>567</v>
      </c>
      <c r="F135" s="240">
        <v>13000</v>
      </c>
      <c r="G135" s="240"/>
      <c r="H135" s="236" t="s">
        <v>853</v>
      </c>
      <c r="I135" s="240">
        <v>13000</v>
      </c>
      <c r="J135" s="240"/>
      <c r="K135" s="211" t="s">
        <v>128</v>
      </c>
      <c r="L135" s="211">
        <v>2013</v>
      </c>
      <c r="N135" s="746"/>
      <c r="O135" s="738"/>
      <c r="P135" s="738"/>
      <c r="Q135" s="738"/>
      <c r="R135" s="738"/>
      <c r="S135" s="738"/>
      <c r="T135" s="738"/>
      <c r="U135" s="738"/>
      <c r="V135" s="738"/>
      <c r="W135" s="738"/>
    </row>
    <row r="136" spans="1:12" ht="38.25" customHeight="1">
      <c r="A136" s="259">
        <v>88</v>
      </c>
      <c r="B136" s="214"/>
      <c r="C136" s="218"/>
      <c r="D136" s="287">
        <v>6067</v>
      </c>
      <c r="E136" s="296" t="s">
        <v>126</v>
      </c>
      <c r="F136" s="298">
        <f>18000-1000</f>
        <v>17000</v>
      </c>
      <c r="G136" s="222"/>
      <c r="H136" s="297" t="s">
        <v>127</v>
      </c>
      <c r="I136" s="298">
        <f>18000-1000</f>
        <v>17000</v>
      </c>
      <c r="J136" s="222"/>
      <c r="K136" s="211" t="s">
        <v>128</v>
      </c>
      <c r="L136" s="211">
        <v>2013</v>
      </c>
    </row>
    <row r="137" spans="1:12" ht="40.5" customHeight="1">
      <c r="A137" s="259">
        <v>89</v>
      </c>
      <c r="B137" s="214"/>
      <c r="C137" s="218"/>
      <c r="D137" s="287">
        <v>6067</v>
      </c>
      <c r="E137" s="296" t="s">
        <v>129</v>
      </c>
      <c r="F137" s="298">
        <f>16000-6000+4000</f>
        <v>14000</v>
      </c>
      <c r="G137" s="222"/>
      <c r="H137" s="297" t="s">
        <v>130</v>
      </c>
      <c r="I137" s="298">
        <f>16000-6000+4000</f>
        <v>14000</v>
      </c>
      <c r="J137" s="222"/>
      <c r="K137" s="211" t="s">
        <v>128</v>
      </c>
      <c r="L137" s="211">
        <v>2013</v>
      </c>
    </row>
    <row r="138" spans="1:12" ht="30.75" customHeight="1">
      <c r="A138" s="204">
        <v>90</v>
      </c>
      <c r="B138" s="299"/>
      <c r="C138" s="218"/>
      <c r="D138" s="287">
        <v>6067</v>
      </c>
      <c r="E138" s="296" t="s">
        <v>605</v>
      </c>
      <c r="F138" s="298">
        <v>6300</v>
      </c>
      <c r="G138" s="222"/>
      <c r="H138" s="297" t="s">
        <v>575</v>
      </c>
      <c r="I138" s="298">
        <v>6300</v>
      </c>
      <c r="J138" s="222"/>
      <c r="K138" s="211" t="s">
        <v>608</v>
      </c>
      <c r="L138" s="211">
        <v>2013</v>
      </c>
    </row>
    <row r="139" spans="1:12" ht="31.5" customHeight="1">
      <c r="A139" s="204">
        <v>91</v>
      </c>
      <c r="B139" s="299"/>
      <c r="C139" s="218"/>
      <c r="D139" s="287">
        <v>6067</v>
      </c>
      <c r="E139" s="296" t="s">
        <v>606</v>
      </c>
      <c r="F139" s="298">
        <v>3500</v>
      </c>
      <c r="G139" s="222"/>
      <c r="H139" s="297" t="s">
        <v>607</v>
      </c>
      <c r="I139" s="298">
        <v>3500</v>
      </c>
      <c r="J139" s="222"/>
      <c r="K139" s="211" t="s">
        <v>608</v>
      </c>
      <c r="L139" s="211">
        <v>2013</v>
      </c>
    </row>
    <row r="140" spans="1:12" ht="31.5" customHeight="1">
      <c r="A140" s="204">
        <v>92</v>
      </c>
      <c r="B140" s="299"/>
      <c r="C140" s="218"/>
      <c r="D140" s="287">
        <v>6067</v>
      </c>
      <c r="E140" s="296" t="s">
        <v>3</v>
      </c>
      <c r="F140" s="298">
        <v>3500</v>
      </c>
      <c r="G140" s="222"/>
      <c r="H140" s="297" t="s">
        <v>5</v>
      </c>
      <c r="I140" s="298">
        <v>3500</v>
      </c>
      <c r="J140" s="222"/>
      <c r="K140" s="211" t="s">
        <v>98</v>
      </c>
      <c r="L140" s="211">
        <v>2013</v>
      </c>
    </row>
    <row r="141" spans="1:12" ht="31.5" customHeight="1">
      <c r="A141" s="204">
        <v>93</v>
      </c>
      <c r="B141" s="299"/>
      <c r="C141" s="218"/>
      <c r="D141" s="287">
        <v>6067</v>
      </c>
      <c r="E141" s="296" t="s">
        <v>4</v>
      </c>
      <c r="F141" s="298">
        <v>31000</v>
      </c>
      <c r="G141" s="222"/>
      <c r="H141" s="297" t="s">
        <v>6</v>
      </c>
      <c r="I141" s="298">
        <v>31000</v>
      </c>
      <c r="J141" s="222"/>
      <c r="K141" s="211" t="s">
        <v>98</v>
      </c>
      <c r="L141" s="211">
        <v>2013</v>
      </c>
    </row>
    <row r="142" spans="1:12" ht="66.75" customHeight="1">
      <c r="A142" s="935">
        <v>94</v>
      </c>
      <c r="B142" s="299"/>
      <c r="C142" s="218"/>
      <c r="D142" s="287">
        <v>6237</v>
      </c>
      <c r="E142" s="239" t="s">
        <v>132</v>
      </c>
      <c r="F142" s="240">
        <f>1360000+34000</f>
        <v>1394000</v>
      </c>
      <c r="G142" s="240">
        <v>1360000</v>
      </c>
      <c r="H142" s="300" t="s">
        <v>133</v>
      </c>
      <c r="I142" s="244">
        <f>1360000+34000</f>
        <v>1394000</v>
      </c>
      <c r="J142" s="244">
        <v>0</v>
      </c>
      <c r="K142" s="211" t="s">
        <v>134</v>
      </c>
      <c r="L142" s="211" t="s">
        <v>28</v>
      </c>
    </row>
    <row r="143" spans="1:12" ht="75" customHeight="1">
      <c r="A143" s="936"/>
      <c r="B143" s="299"/>
      <c r="C143" s="250"/>
      <c r="D143" s="287">
        <v>6239</v>
      </c>
      <c r="E143" s="239" t="s">
        <v>135</v>
      </c>
      <c r="F143" s="240">
        <f>240000+6000</f>
        <v>246000</v>
      </c>
      <c r="G143" s="240">
        <v>240000</v>
      </c>
      <c r="H143" s="300" t="s">
        <v>133</v>
      </c>
      <c r="I143" s="244">
        <f>240000+6000</f>
        <v>246000</v>
      </c>
      <c r="J143" s="244">
        <v>0</v>
      </c>
      <c r="K143" s="211" t="s">
        <v>134</v>
      </c>
      <c r="L143" s="211" t="s">
        <v>28</v>
      </c>
    </row>
    <row r="144" spans="1:14" ht="62.25" customHeight="1">
      <c r="A144" s="938">
        <v>95</v>
      </c>
      <c r="B144" s="299"/>
      <c r="C144" s="250"/>
      <c r="D144" s="287">
        <v>6237</v>
      </c>
      <c r="E144" s="239" t="s">
        <v>136</v>
      </c>
      <c r="F144" s="244">
        <f>G144+I144</f>
        <v>1501475.26</v>
      </c>
      <c r="G144" s="240">
        <v>1328864.43</v>
      </c>
      <c r="H144" s="236" t="s">
        <v>137</v>
      </c>
      <c r="I144" s="244">
        <f>187850-15239.17</f>
        <v>172610.83</v>
      </c>
      <c r="J144" s="244"/>
      <c r="K144" s="211" t="s">
        <v>134</v>
      </c>
      <c r="L144" s="211" t="s">
        <v>22</v>
      </c>
      <c r="N144" s="747"/>
    </row>
    <row r="145" spans="1:12" ht="65.25" customHeight="1">
      <c r="A145" s="938"/>
      <c r="B145" s="299"/>
      <c r="C145" s="250"/>
      <c r="D145" s="287">
        <v>6239</v>
      </c>
      <c r="E145" s="239" t="s">
        <v>136</v>
      </c>
      <c r="F145" s="244">
        <f>G145+I145</f>
        <v>264966.22</v>
      </c>
      <c r="G145" s="240">
        <v>234505.49</v>
      </c>
      <c r="H145" s="236" t="s">
        <v>137</v>
      </c>
      <c r="I145" s="244">
        <f>33150-2689.27</f>
        <v>30460.73</v>
      </c>
      <c r="J145" s="244"/>
      <c r="K145" s="211" t="s">
        <v>134</v>
      </c>
      <c r="L145" s="211" t="s">
        <v>22</v>
      </c>
    </row>
    <row r="146" spans="1:12" ht="30" customHeight="1">
      <c r="A146" s="214">
        <v>96</v>
      </c>
      <c r="B146" s="214">
        <v>900</v>
      </c>
      <c r="C146" s="214"/>
      <c r="D146" s="215"/>
      <c r="E146" s="246" t="s">
        <v>138</v>
      </c>
      <c r="F146" s="247">
        <f>F147+F150+F152+F162</f>
        <v>7678534.5200000005</v>
      </c>
      <c r="G146" s="247">
        <f>G147+G150+G152+G162</f>
        <v>231240</v>
      </c>
      <c r="H146" s="247"/>
      <c r="I146" s="247">
        <f>I147+I150+I152+I162</f>
        <v>3002906.74</v>
      </c>
      <c r="J146" s="247">
        <f>J147+J150+J152+J162</f>
        <v>905000</v>
      </c>
      <c r="K146" s="247"/>
      <c r="L146" s="211"/>
    </row>
    <row r="147" spans="1:12" ht="30" customHeight="1">
      <c r="A147" s="214"/>
      <c r="B147" s="276"/>
      <c r="C147" s="253">
        <v>90002</v>
      </c>
      <c r="D147" s="255"/>
      <c r="E147" s="221" t="s">
        <v>139</v>
      </c>
      <c r="F147" s="222">
        <f>SUM(F148:F149)</f>
        <v>42000</v>
      </c>
      <c r="G147" s="222">
        <f>SUM(G148:G149)</f>
        <v>0</v>
      </c>
      <c r="H147" s="222"/>
      <c r="I147" s="222">
        <f>SUM(I148:I149)</f>
        <v>42000</v>
      </c>
      <c r="J147" s="222">
        <f>SUM(J148:J149)</f>
        <v>42000</v>
      </c>
      <c r="K147" s="211"/>
      <c r="L147" s="211"/>
    </row>
    <row r="148" spans="1:12" ht="42" customHeight="1">
      <c r="A148" s="241">
        <v>97</v>
      </c>
      <c r="B148" s="283"/>
      <c r="C148" s="301"/>
      <c r="D148" s="243">
        <v>6220</v>
      </c>
      <c r="E148" s="302" t="s">
        <v>140</v>
      </c>
      <c r="F148" s="303">
        <v>12000</v>
      </c>
      <c r="G148" s="304">
        <v>0</v>
      </c>
      <c r="H148" s="305" t="s">
        <v>141</v>
      </c>
      <c r="I148" s="303">
        <v>12000</v>
      </c>
      <c r="J148" s="303">
        <v>12000</v>
      </c>
      <c r="K148" s="211" t="s">
        <v>142</v>
      </c>
      <c r="L148" s="211">
        <v>2013</v>
      </c>
    </row>
    <row r="149" spans="1:12" ht="51.75" customHeight="1">
      <c r="A149" s="241">
        <v>98</v>
      </c>
      <c r="B149" s="283"/>
      <c r="C149" s="245"/>
      <c r="D149" s="243">
        <v>6230</v>
      </c>
      <c r="E149" s="296" t="s">
        <v>140</v>
      </c>
      <c r="F149" s="303">
        <v>30000</v>
      </c>
      <c r="G149" s="304">
        <v>0</v>
      </c>
      <c r="H149" s="305" t="s">
        <v>141</v>
      </c>
      <c r="I149" s="303">
        <v>30000</v>
      </c>
      <c r="J149" s="303">
        <v>30000</v>
      </c>
      <c r="K149" s="211" t="s">
        <v>142</v>
      </c>
      <c r="L149" s="211">
        <v>2013</v>
      </c>
    </row>
    <row r="150" spans="1:23" s="342" customFormat="1" ht="33.75" customHeight="1">
      <c r="A150" s="254"/>
      <c r="B150" s="285"/>
      <c r="C150" s="219">
        <v>90004</v>
      </c>
      <c r="D150" s="220"/>
      <c r="E150" s="294" t="s">
        <v>460</v>
      </c>
      <c r="F150" s="455">
        <f>F151</f>
        <v>25000</v>
      </c>
      <c r="G150" s="455">
        <f>G151</f>
        <v>0</v>
      </c>
      <c r="H150" s="455"/>
      <c r="I150" s="455">
        <f>I151</f>
        <v>25000</v>
      </c>
      <c r="J150" s="455">
        <f>J151</f>
        <v>0</v>
      </c>
      <c r="K150" s="223"/>
      <c r="L150" s="223"/>
      <c r="N150" s="735"/>
      <c r="O150" s="735"/>
      <c r="P150" s="735"/>
      <c r="Q150" s="735"/>
      <c r="R150" s="735"/>
      <c r="S150" s="735"/>
      <c r="T150" s="735"/>
      <c r="U150" s="735"/>
      <c r="V150" s="735"/>
      <c r="W150" s="735"/>
    </row>
    <row r="151" spans="1:12" ht="66.75" customHeight="1">
      <c r="A151" s="241">
        <v>99</v>
      </c>
      <c r="B151" s="283"/>
      <c r="C151" s="245"/>
      <c r="D151" s="243">
        <v>6050</v>
      </c>
      <c r="E151" s="314" t="s">
        <v>528</v>
      </c>
      <c r="F151" s="303">
        <v>25000</v>
      </c>
      <c r="G151" s="304"/>
      <c r="H151" s="305" t="s">
        <v>302</v>
      </c>
      <c r="I151" s="303">
        <v>25000</v>
      </c>
      <c r="J151" s="303"/>
      <c r="K151" s="211" t="s">
        <v>248</v>
      </c>
      <c r="L151" s="211">
        <v>2013</v>
      </c>
    </row>
    <row r="152" spans="1:12" ht="27.75" customHeight="1">
      <c r="A152" s="241"/>
      <c r="B152" s="253"/>
      <c r="C152" s="254">
        <v>90015</v>
      </c>
      <c r="D152" s="255"/>
      <c r="E152" s="221" t="s">
        <v>143</v>
      </c>
      <c r="F152" s="222">
        <f>SUM(F153:F161)</f>
        <v>4867136.57</v>
      </c>
      <c r="G152" s="222">
        <f>SUM(G153:G161)</f>
        <v>0</v>
      </c>
      <c r="H152" s="222"/>
      <c r="I152" s="222">
        <f>SUM(I153:I161)</f>
        <v>1105218.79</v>
      </c>
      <c r="J152" s="222">
        <f>SUM(J153:J161)</f>
        <v>338000</v>
      </c>
      <c r="K152" s="223"/>
      <c r="L152" s="223"/>
    </row>
    <row r="153" spans="1:12" ht="34.5" customHeight="1">
      <c r="A153" s="241">
        <v>100</v>
      </c>
      <c r="B153" s="306"/>
      <c r="C153" s="177"/>
      <c r="D153" s="307">
        <v>6050</v>
      </c>
      <c r="E153" s="462" t="s">
        <v>267</v>
      </c>
      <c r="F153" s="308">
        <f>100000+160000</f>
        <v>260000</v>
      </c>
      <c r="G153" s="309">
        <v>0</v>
      </c>
      <c r="H153" s="310" t="s">
        <v>449</v>
      </c>
      <c r="I153" s="311">
        <f>100000+160000-240000+240000</f>
        <v>260000</v>
      </c>
      <c r="J153" s="311">
        <f>100000+160000-240000+240000</f>
        <v>260000</v>
      </c>
      <c r="K153" s="252" t="s">
        <v>45</v>
      </c>
      <c r="L153" s="252">
        <v>2013</v>
      </c>
    </row>
    <row r="154" spans="1:12" ht="50.25" customHeight="1">
      <c r="A154" s="241">
        <v>101</v>
      </c>
      <c r="B154" s="306"/>
      <c r="C154" s="185"/>
      <c r="D154" s="307">
        <v>6050</v>
      </c>
      <c r="E154" s="392" t="s">
        <v>144</v>
      </c>
      <c r="F154" s="303">
        <f>200000-95000+1149.61</f>
        <v>106149.61</v>
      </c>
      <c r="G154" s="312"/>
      <c r="H154" s="393" t="s">
        <v>145</v>
      </c>
      <c r="I154" s="303">
        <f>200000-95000</f>
        <v>105000</v>
      </c>
      <c r="J154" s="303"/>
      <c r="K154" s="252" t="s">
        <v>21</v>
      </c>
      <c r="L154" s="252" t="s">
        <v>300</v>
      </c>
    </row>
    <row r="155" spans="1:12" ht="39" customHeight="1">
      <c r="A155" s="241">
        <v>102</v>
      </c>
      <c r="B155" s="306"/>
      <c r="C155" s="185"/>
      <c r="D155" s="307">
        <v>6050</v>
      </c>
      <c r="E155" s="392" t="s">
        <v>146</v>
      </c>
      <c r="F155" s="303">
        <f>175000+3500-60.42</f>
        <v>178439.58</v>
      </c>
      <c r="G155" s="312"/>
      <c r="H155" s="313" t="s">
        <v>147</v>
      </c>
      <c r="I155" s="303">
        <f>175000-150000+150000+3500-60.42</f>
        <v>178439.58</v>
      </c>
      <c r="J155" s="303"/>
      <c r="K155" s="252" t="s">
        <v>45</v>
      </c>
      <c r="L155" s="252">
        <v>2013</v>
      </c>
    </row>
    <row r="156" spans="1:12" ht="72.75" customHeight="1">
      <c r="A156" s="241">
        <v>103</v>
      </c>
      <c r="B156" s="306"/>
      <c r="C156" s="185"/>
      <c r="D156" s="307">
        <v>6050</v>
      </c>
      <c r="E156" s="296" t="s">
        <v>148</v>
      </c>
      <c r="F156" s="303">
        <f>270000-120000+442.17</f>
        <v>150442.17</v>
      </c>
      <c r="G156" s="312"/>
      <c r="H156" s="394" t="s">
        <v>238</v>
      </c>
      <c r="I156" s="303">
        <f>270000-120000</f>
        <v>150000</v>
      </c>
      <c r="J156" s="303"/>
      <c r="K156" s="252" t="s">
        <v>21</v>
      </c>
      <c r="L156" s="252" t="s">
        <v>300</v>
      </c>
    </row>
    <row r="157" spans="1:12" ht="42" customHeight="1">
      <c r="A157" s="241">
        <v>104</v>
      </c>
      <c r="B157" s="306"/>
      <c r="C157" s="185"/>
      <c r="D157" s="307">
        <v>6050</v>
      </c>
      <c r="E157" s="296" t="s">
        <v>308</v>
      </c>
      <c r="F157" s="303">
        <f>25000-7780</f>
        <v>17220</v>
      </c>
      <c r="G157" s="312"/>
      <c r="H157" s="313" t="s">
        <v>240</v>
      </c>
      <c r="I157" s="303">
        <f>25000-7780</f>
        <v>17220</v>
      </c>
      <c r="J157" s="303"/>
      <c r="K157" s="252" t="s">
        <v>45</v>
      </c>
      <c r="L157" s="252">
        <v>2013</v>
      </c>
    </row>
    <row r="158" spans="1:12" ht="39.75" customHeight="1">
      <c r="A158" s="241">
        <v>105</v>
      </c>
      <c r="B158" s="306"/>
      <c r="C158" s="185"/>
      <c r="D158" s="307">
        <v>6050</v>
      </c>
      <c r="E158" s="296" t="s">
        <v>232</v>
      </c>
      <c r="F158" s="303">
        <v>3887235.6</v>
      </c>
      <c r="G158" s="312"/>
      <c r="H158" s="313" t="s">
        <v>447</v>
      </c>
      <c r="I158" s="303">
        <f>78000+48909.6</f>
        <v>126909.6</v>
      </c>
      <c r="J158" s="303">
        <v>78000</v>
      </c>
      <c r="K158" s="252" t="s">
        <v>45</v>
      </c>
      <c r="L158" s="252" t="s">
        <v>300</v>
      </c>
    </row>
    <row r="159" spans="1:12" ht="39.75" customHeight="1">
      <c r="A159" s="241">
        <v>106</v>
      </c>
      <c r="B159" s="306"/>
      <c r="C159" s="185"/>
      <c r="D159" s="307">
        <v>6050</v>
      </c>
      <c r="E159" s="296" t="s">
        <v>611</v>
      </c>
      <c r="F159" s="303">
        <f>50000+25000+1500</f>
        <v>76500</v>
      </c>
      <c r="G159" s="312"/>
      <c r="H159" s="313" t="s">
        <v>576</v>
      </c>
      <c r="I159" s="303">
        <f>50000+25000+1500</f>
        <v>76500</v>
      </c>
      <c r="J159" s="303"/>
      <c r="K159" s="252" t="s">
        <v>45</v>
      </c>
      <c r="L159" s="252">
        <v>2013</v>
      </c>
    </row>
    <row r="160" spans="1:12" ht="39.75" customHeight="1">
      <c r="A160" s="241">
        <v>107</v>
      </c>
      <c r="B160" s="306"/>
      <c r="C160" s="185"/>
      <c r="D160" s="307">
        <v>6050</v>
      </c>
      <c r="E160" s="446" t="s">
        <v>450</v>
      </c>
      <c r="F160" s="303">
        <v>1149.61</v>
      </c>
      <c r="G160" s="447"/>
      <c r="H160" s="310" t="s">
        <v>240</v>
      </c>
      <c r="I160" s="303">
        <v>1149.61</v>
      </c>
      <c r="J160" s="303"/>
      <c r="K160" s="252" t="s">
        <v>45</v>
      </c>
      <c r="L160" s="252">
        <v>2013</v>
      </c>
    </row>
    <row r="161" spans="1:12" ht="52.5" customHeight="1">
      <c r="A161" s="241">
        <v>108</v>
      </c>
      <c r="B161" s="306"/>
      <c r="C161" s="185"/>
      <c r="D161" s="307">
        <v>6050</v>
      </c>
      <c r="E161" s="314" t="s">
        <v>239</v>
      </c>
      <c r="F161" s="311">
        <f>300000-110000</f>
        <v>190000</v>
      </c>
      <c r="G161" s="308"/>
      <c r="H161" s="310" t="s">
        <v>240</v>
      </c>
      <c r="I161" s="303">
        <f>300000-110000</f>
        <v>190000</v>
      </c>
      <c r="J161" s="303"/>
      <c r="K161" s="252" t="s">
        <v>21</v>
      </c>
      <c r="L161" s="252">
        <v>2013</v>
      </c>
    </row>
    <row r="162" spans="1:12" ht="25.5" customHeight="1">
      <c r="A162" s="241"/>
      <c r="B162" s="253"/>
      <c r="C162" s="254">
        <v>90095</v>
      </c>
      <c r="D162" s="255"/>
      <c r="E162" s="221" t="s">
        <v>58</v>
      </c>
      <c r="F162" s="222">
        <f>SUM(F163:F176)</f>
        <v>2744397.95</v>
      </c>
      <c r="G162" s="222">
        <f>SUM(G163:G176)</f>
        <v>231240</v>
      </c>
      <c r="H162" s="222"/>
      <c r="I162" s="222">
        <f>SUM(I163:I176)</f>
        <v>1830687.95</v>
      </c>
      <c r="J162" s="222">
        <f>SUM(J163:J176)</f>
        <v>525000</v>
      </c>
      <c r="K162" s="223"/>
      <c r="L162" s="223"/>
    </row>
    <row r="163" spans="1:23" s="736" customFormat="1" ht="81.75" customHeight="1">
      <c r="A163" s="177">
        <v>109</v>
      </c>
      <c r="B163" s="242"/>
      <c r="C163" s="185"/>
      <c r="D163" s="243">
        <v>6010</v>
      </c>
      <c r="E163" s="239" t="s">
        <v>490</v>
      </c>
      <c r="F163" s="240">
        <v>6700</v>
      </c>
      <c r="G163" s="240"/>
      <c r="H163" s="230" t="s">
        <v>254</v>
      </c>
      <c r="I163" s="240">
        <v>6700</v>
      </c>
      <c r="J163" s="240"/>
      <c r="K163" s="317" t="s">
        <v>21</v>
      </c>
      <c r="L163" s="317">
        <v>2013</v>
      </c>
      <c r="N163" s="738"/>
      <c r="O163" s="738"/>
      <c r="P163" s="738"/>
      <c r="Q163" s="738"/>
      <c r="R163" s="738"/>
      <c r="S163" s="738"/>
      <c r="T163" s="738"/>
      <c r="U163" s="738"/>
      <c r="V163" s="738"/>
      <c r="W163" s="738"/>
    </row>
    <row r="164" spans="1:23" s="736" customFormat="1" ht="48" customHeight="1">
      <c r="A164" s="177">
        <v>110</v>
      </c>
      <c r="B164" s="242"/>
      <c r="C164" s="185"/>
      <c r="D164" s="243">
        <v>6010</v>
      </c>
      <c r="E164" s="239" t="s">
        <v>491</v>
      </c>
      <c r="F164" s="240">
        <f>270620+262900-88150</f>
        <v>445370</v>
      </c>
      <c r="G164" s="240"/>
      <c r="H164" s="460" t="s">
        <v>170</v>
      </c>
      <c r="I164" s="240">
        <v>262900</v>
      </c>
      <c r="J164" s="240"/>
      <c r="K164" s="317" t="s">
        <v>21</v>
      </c>
      <c r="L164" s="317" t="s">
        <v>300</v>
      </c>
      <c r="N164" s="407"/>
      <c r="O164" s="738"/>
      <c r="P164" s="738"/>
      <c r="Q164" s="738"/>
      <c r="R164" s="738"/>
      <c r="S164" s="738"/>
      <c r="T164" s="738"/>
      <c r="U164" s="738"/>
      <c r="V164" s="738"/>
      <c r="W164" s="738"/>
    </row>
    <row r="165" spans="1:23" s="736" customFormat="1" ht="40.5" customHeight="1">
      <c r="A165" s="177">
        <v>111</v>
      </c>
      <c r="B165" s="242"/>
      <c r="C165" s="185"/>
      <c r="D165" s="243">
        <v>6010</v>
      </c>
      <c r="E165" s="239" t="s">
        <v>615</v>
      </c>
      <c r="F165" s="240">
        <v>31777.95</v>
      </c>
      <c r="G165" s="240"/>
      <c r="H165" s="460" t="s">
        <v>172</v>
      </c>
      <c r="I165" s="240">
        <v>31777.95</v>
      </c>
      <c r="J165" s="240"/>
      <c r="K165" s="317" t="s">
        <v>21</v>
      </c>
      <c r="L165" s="317">
        <v>2013</v>
      </c>
      <c r="N165" s="738"/>
      <c r="O165" s="738"/>
      <c r="P165" s="738"/>
      <c r="Q165" s="738"/>
      <c r="R165" s="738"/>
      <c r="S165" s="738"/>
      <c r="T165" s="738"/>
      <c r="U165" s="738"/>
      <c r="V165" s="738"/>
      <c r="W165" s="738"/>
    </row>
    <row r="166" spans="1:23" s="736" customFormat="1" ht="47.25" customHeight="1">
      <c r="A166" s="177">
        <v>112</v>
      </c>
      <c r="B166" s="242"/>
      <c r="C166" s="185"/>
      <c r="D166" s="243">
        <v>6010</v>
      </c>
      <c r="E166" s="239" t="s">
        <v>492</v>
      </c>
      <c r="F166" s="240">
        <v>125400</v>
      </c>
      <c r="G166" s="240"/>
      <c r="H166" s="460" t="s">
        <v>173</v>
      </c>
      <c r="I166" s="240">
        <v>125400</v>
      </c>
      <c r="J166" s="240"/>
      <c r="K166" s="317" t="s">
        <v>21</v>
      </c>
      <c r="L166" s="317">
        <v>2013</v>
      </c>
      <c r="N166" s="746"/>
      <c r="O166" s="738"/>
      <c r="P166" s="738"/>
      <c r="Q166" s="738"/>
      <c r="R166" s="738"/>
      <c r="S166" s="738"/>
      <c r="T166" s="738"/>
      <c r="U166" s="738"/>
      <c r="V166" s="738"/>
      <c r="W166" s="738"/>
    </row>
    <row r="167" spans="1:12" ht="72" customHeight="1">
      <c r="A167" s="177">
        <v>113</v>
      </c>
      <c r="B167" s="315"/>
      <c r="C167" s="253"/>
      <c r="D167" s="241">
        <v>6010</v>
      </c>
      <c r="E167" s="408" t="s">
        <v>237</v>
      </c>
      <c r="F167" s="240">
        <v>24000</v>
      </c>
      <c r="G167" s="240"/>
      <c r="H167" s="230" t="s">
        <v>254</v>
      </c>
      <c r="I167" s="240">
        <v>24000</v>
      </c>
      <c r="J167" s="240"/>
      <c r="K167" s="409" t="s">
        <v>21</v>
      </c>
      <c r="L167" s="409">
        <v>2013</v>
      </c>
    </row>
    <row r="168" spans="1:12" ht="25.5" customHeight="1">
      <c r="A168" s="177">
        <v>114</v>
      </c>
      <c r="B168" s="315"/>
      <c r="C168" s="253"/>
      <c r="D168" s="243">
        <v>6050</v>
      </c>
      <c r="E168" s="228" t="s">
        <v>241</v>
      </c>
      <c r="F168" s="240">
        <f>1375000-1300000+500000</f>
        <v>575000</v>
      </c>
      <c r="G168" s="240">
        <v>0</v>
      </c>
      <c r="H168" s="316" t="s">
        <v>242</v>
      </c>
      <c r="I168" s="240">
        <f>1375000-1300000</f>
        <v>75000</v>
      </c>
      <c r="J168" s="240">
        <f>1375000-1300000</f>
        <v>75000</v>
      </c>
      <c r="K168" s="317" t="s">
        <v>21</v>
      </c>
      <c r="L168" s="317" t="s">
        <v>300</v>
      </c>
    </row>
    <row r="169" spans="1:12" ht="33.75" customHeight="1">
      <c r="A169" s="177">
        <v>115</v>
      </c>
      <c r="B169" s="315"/>
      <c r="C169" s="253"/>
      <c r="D169" s="243">
        <v>6050</v>
      </c>
      <c r="E169" s="239" t="s">
        <v>568</v>
      </c>
      <c r="F169" s="240">
        <f>100000-3000-2000</f>
        <v>95000</v>
      </c>
      <c r="G169" s="240"/>
      <c r="H169" s="316" t="s">
        <v>1</v>
      </c>
      <c r="I169" s="240">
        <f>100000-3000-2000</f>
        <v>95000</v>
      </c>
      <c r="J169" s="240"/>
      <c r="K169" s="252" t="s">
        <v>248</v>
      </c>
      <c r="L169" s="252">
        <v>2013</v>
      </c>
    </row>
    <row r="170" spans="1:12" ht="33.75" customHeight="1">
      <c r="A170" s="177">
        <v>116</v>
      </c>
      <c r="B170" s="315"/>
      <c r="C170" s="253"/>
      <c r="D170" s="243">
        <v>6050</v>
      </c>
      <c r="E170" s="239" t="s">
        <v>802</v>
      </c>
      <c r="F170" s="240">
        <v>30000</v>
      </c>
      <c r="G170" s="240"/>
      <c r="H170" s="316"/>
      <c r="I170" s="240">
        <v>30000</v>
      </c>
      <c r="J170" s="240"/>
      <c r="K170" s="252" t="s">
        <v>248</v>
      </c>
      <c r="L170" s="252">
        <v>2013</v>
      </c>
    </row>
    <row r="171" spans="1:12" ht="45" customHeight="1">
      <c r="A171" s="177">
        <v>117</v>
      </c>
      <c r="B171" s="315"/>
      <c r="C171" s="253"/>
      <c r="D171" s="241">
        <v>6050</v>
      </c>
      <c r="E171" s="408" t="s">
        <v>573</v>
      </c>
      <c r="F171" s="240">
        <v>26300</v>
      </c>
      <c r="G171" s="240"/>
      <c r="H171" s="230" t="s">
        <v>156</v>
      </c>
      <c r="I171" s="240">
        <v>26300</v>
      </c>
      <c r="J171" s="240"/>
      <c r="K171" s="409" t="s">
        <v>21</v>
      </c>
      <c r="L171" s="409">
        <v>2013</v>
      </c>
    </row>
    <row r="172" spans="1:12" ht="55.5" customHeight="1">
      <c r="A172" s="177">
        <v>118</v>
      </c>
      <c r="B172" s="315"/>
      <c r="C172" s="253"/>
      <c r="D172" s="243">
        <v>6050</v>
      </c>
      <c r="E172" s="459" t="s">
        <v>737</v>
      </c>
      <c r="F172" s="240">
        <v>50000</v>
      </c>
      <c r="G172" s="240"/>
      <c r="H172" s="233" t="s">
        <v>738</v>
      </c>
      <c r="I172" s="240">
        <v>50000</v>
      </c>
      <c r="J172" s="240"/>
      <c r="K172" s="409" t="s">
        <v>248</v>
      </c>
      <c r="L172" s="409">
        <v>2013</v>
      </c>
    </row>
    <row r="173" spans="1:14" ht="39" customHeight="1">
      <c r="A173" s="937">
        <v>119</v>
      </c>
      <c r="B173" s="315"/>
      <c r="C173" s="253"/>
      <c r="D173" s="243">
        <v>6057</v>
      </c>
      <c r="E173" s="296" t="s">
        <v>243</v>
      </c>
      <c r="F173" s="303">
        <f>972315-245692.5</f>
        <v>726622.5</v>
      </c>
      <c r="G173" s="240">
        <v>196554</v>
      </c>
      <c r="H173" s="318" t="s">
        <v>244</v>
      </c>
      <c r="I173" s="240">
        <f>775761-245692.5</f>
        <v>530068.5</v>
      </c>
      <c r="J173" s="222">
        <v>0</v>
      </c>
      <c r="K173" s="317" t="s">
        <v>21</v>
      </c>
      <c r="L173" s="317" t="s">
        <v>245</v>
      </c>
      <c r="N173" s="747"/>
    </row>
    <row r="174" spans="1:14" ht="40.5" customHeight="1">
      <c r="A174" s="936"/>
      <c r="B174" s="319"/>
      <c r="C174" s="264"/>
      <c r="D174" s="243">
        <v>6059</v>
      </c>
      <c r="E174" s="296" t="s">
        <v>243</v>
      </c>
      <c r="F174" s="303">
        <f>171585-43357.5</f>
        <v>128227.5</v>
      </c>
      <c r="G174" s="304">
        <v>34686</v>
      </c>
      <c r="H174" s="318" t="s">
        <v>244</v>
      </c>
      <c r="I174" s="303">
        <f>136899-43357.5</f>
        <v>93541.5</v>
      </c>
      <c r="J174" s="303">
        <v>0</v>
      </c>
      <c r="K174" s="317" t="s">
        <v>21</v>
      </c>
      <c r="L174" s="317" t="s">
        <v>245</v>
      </c>
      <c r="N174" s="747"/>
    </row>
    <row r="175" spans="1:12" ht="41.25" customHeight="1">
      <c r="A175" s="320">
        <v>120</v>
      </c>
      <c r="B175" s="319"/>
      <c r="C175" s="264"/>
      <c r="D175" s="321">
        <v>6230</v>
      </c>
      <c r="E175" s="296" t="s">
        <v>246</v>
      </c>
      <c r="F175" s="304">
        <f>50000+100000+300000</f>
        <v>450000</v>
      </c>
      <c r="G175" s="312">
        <v>0</v>
      </c>
      <c r="H175" s="313" t="s">
        <v>247</v>
      </c>
      <c r="I175" s="303">
        <f>50000+100000+300000</f>
        <v>450000</v>
      </c>
      <c r="J175" s="303">
        <f>50000+100000+300000</f>
        <v>450000</v>
      </c>
      <c r="K175" s="252" t="s">
        <v>248</v>
      </c>
      <c r="L175" s="252">
        <v>2013</v>
      </c>
    </row>
    <row r="176" spans="1:12" ht="76.5" customHeight="1">
      <c r="A176" s="461">
        <v>121</v>
      </c>
      <c r="B176" s="319"/>
      <c r="C176" s="264"/>
      <c r="D176" s="321">
        <v>6050</v>
      </c>
      <c r="E176" s="296" t="s">
        <v>803</v>
      </c>
      <c r="F176" s="304">
        <v>30000</v>
      </c>
      <c r="G176" s="312"/>
      <c r="H176" s="230" t="s">
        <v>254</v>
      </c>
      <c r="I176" s="303">
        <v>30000</v>
      </c>
      <c r="J176" s="303"/>
      <c r="K176" s="252" t="s">
        <v>551</v>
      </c>
      <c r="L176" s="252">
        <v>2013</v>
      </c>
    </row>
    <row r="177" spans="1:23" s="293" customFormat="1" ht="41.25" customHeight="1">
      <c r="A177" s="378"/>
      <c r="B177" s="379">
        <v>921</v>
      </c>
      <c r="C177" s="379"/>
      <c r="D177" s="214"/>
      <c r="E177" s="380" t="s">
        <v>455</v>
      </c>
      <c r="F177" s="386">
        <f>F178</f>
        <v>1465000</v>
      </c>
      <c r="G177" s="386">
        <f>G178</f>
        <v>0</v>
      </c>
      <c r="H177" s="386"/>
      <c r="I177" s="386">
        <f>I178</f>
        <v>36070</v>
      </c>
      <c r="J177" s="386">
        <f>J178</f>
        <v>0</v>
      </c>
      <c r="K177" s="381"/>
      <c r="L177" s="381"/>
      <c r="N177" s="745"/>
      <c r="O177" s="745"/>
      <c r="P177" s="745"/>
      <c r="Q177" s="745"/>
      <c r="R177" s="745"/>
      <c r="S177" s="745"/>
      <c r="T177" s="745"/>
      <c r="U177" s="745"/>
      <c r="V177" s="745"/>
      <c r="W177" s="745"/>
    </row>
    <row r="178" spans="1:23" s="342" customFormat="1" ht="32.25" customHeight="1">
      <c r="A178" s="382"/>
      <c r="B178" s="383"/>
      <c r="C178" s="385">
        <v>92109</v>
      </c>
      <c r="D178" s="335"/>
      <c r="E178" s="384" t="s">
        <v>540</v>
      </c>
      <c r="F178" s="387">
        <f>F179+F180</f>
        <v>1465000</v>
      </c>
      <c r="G178" s="387">
        <f>G179+G180</f>
        <v>0</v>
      </c>
      <c r="H178" s="387"/>
      <c r="I178" s="387">
        <f>I179+I180</f>
        <v>36070</v>
      </c>
      <c r="J178" s="387">
        <f>J179+J180</f>
        <v>0</v>
      </c>
      <c r="K178" s="331"/>
      <c r="L178" s="331"/>
      <c r="N178" s="735"/>
      <c r="O178" s="735"/>
      <c r="P178" s="735"/>
      <c r="Q178" s="735"/>
      <c r="R178" s="735"/>
      <c r="S178" s="735"/>
      <c r="T178" s="735"/>
      <c r="U178" s="735"/>
      <c r="V178" s="735"/>
      <c r="W178" s="735"/>
    </row>
    <row r="179" spans="1:12" ht="57" customHeight="1">
      <c r="A179" s="461">
        <v>122</v>
      </c>
      <c r="B179" s="319"/>
      <c r="C179" s="264"/>
      <c r="D179" s="269">
        <v>6050</v>
      </c>
      <c r="E179" s="296" t="s">
        <v>234</v>
      </c>
      <c r="F179" s="304">
        <f>1100000+340000</f>
        <v>1440000</v>
      </c>
      <c r="G179" s="312"/>
      <c r="H179" s="313" t="s">
        <v>235</v>
      </c>
      <c r="I179" s="303">
        <f>340000-328930</f>
        <v>11070</v>
      </c>
      <c r="J179" s="303"/>
      <c r="K179" s="252" t="s">
        <v>21</v>
      </c>
      <c r="L179" s="252" t="s">
        <v>300</v>
      </c>
    </row>
    <row r="180" spans="1:12" ht="57" customHeight="1">
      <c r="A180" s="461">
        <v>123</v>
      </c>
      <c r="B180" s="319"/>
      <c r="C180" s="264"/>
      <c r="D180" s="269">
        <v>6220</v>
      </c>
      <c r="E180" s="296" t="s">
        <v>174</v>
      </c>
      <c r="F180" s="304">
        <v>25000</v>
      </c>
      <c r="G180" s="312"/>
      <c r="H180" s="313" t="s">
        <v>175</v>
      </c>
      <c r="I180" s="303">
        <v>25000</v>
      </c>
      <c r="J180" s="303"/>
      <c r="K180" s="252" t="s">
        <v>572</v>
      </c>
      <c r="L180" s="252">
        <v>2013</v>
      </c>
    </row>
    <row r="181" spans="1:12" ht="27.75" customHeight="1">
      <c r="A181" s="185"/>
      <c r="B181" s="213">
        <v>926</v>
      </c>
      <c r="C181" s="214"/>
      <c r="D181" s="215"/>
      <c r="E181" s="246" t="s">
        <v>249</v>
      </c>
      <c r="F181" s="247">
        <f>F182+F185</f>
        <v>293700</v>
      </c>
      <c r="G181" s="247">
        <f>G182+G185</f>
        <v>0</v>
      </c>
      <c r="H181" s="247"/>
      <c r="I181" s="247">
        <f>I182+I185</f>
        <v>293700</v>
      </c>
      <c r="J181" s="247">
        <f>J182+J185</f>
        <v>0</v>
      </c>
      <c r="K181" s="211"/>
      <c r="L181" s="211"/>
    </row>
    <row r="182" spans="1:12" ht="24" customHeight="1">
      <c r="A182" s="214"/>
      <c r="B182" s="279"/>
      <c r="C182" s="260">
        <v>92601</v>
      </c>
      <c r="D182" s="255"/>
      <c r="E182" s="221" t="s">
        <v>250</v>
      </c>
      <c r="F182" s="222">
        <f>SUM(F183:F184)</f>
        <v>49300</v>
      </c>
      <c r="G182" s="222">
        <f>SUM(G183:G184)</f>
        <v>0</v>
      </c>
      <c r="H182" s="222"/>
      <c r="I182" s="222">
        <f>SUM(I183:I184)</f>
        <v>49300</v>
      </c>
      <c r="J182" s="222">
        <f>SUM(J183:J184)</f>
        <v>0</v>
      </c>
      <c r="K182" s="223"/>
      <c r="L182" s="223"/>
    </row>
    <row r="183" spans="1:12" ht="41.25" customHeight="1">
      <c r="A183" s="241">
        <v>124</v>
      </c>
      <c r="B183" s="273"/>
      <c r="C183" s="218"/>
      <c r="D183" s="321">
        <v>6050</v>
      </c>
      <c r="E183" s="234" t="s">
        <v>251</v>
      </c>
      <c r="F183" s="240">
        <f>18300+16000</f>
        <v>34300</v>
      </c>
      <c r="G183" s="240">
        <v>0</v>
      </c>
      <c r="H183" s="286" t="s">
        <v>252</v>
      </c>
      <c r="I183" s="240">
        <f>18300+16000</f>
        <v>34300</v>
      </c>
      <c r="J183" s="240">
        <v>0</v>
      </c>
      <c r="K183" s="211" t="s">
        <v>21</v>
      </c>
      <c r="L183" s="252">
        <v>2013</v>
      </c>
    </row>
    <row r="184" spans="1:23" s="323" customFormat="1" ht="44.25" customHeight="1">
      <c r="A184" s="241">
        <v>125</v>
      </c>
      <c r="B184" s="273"/>
      <c r="C184" s="218"/>
      <c r="D184" s="322">
        <v>6050</v>
      </c>
      <c r="E184" s="233" t="s">
        <v>253</v>
      </c>
      <c r="F184" s="240">
        <f>50000-35000</f>
        <v>15000</v>
      </c>
      <c r="G184" s="240">
        <v>0</v>
      </c>
      <c r="H184" s="230" t="s">
        <v>254</v>
      </c>
      <c r="I184" s="240">
        <f>50000-35000</f>
        <v>15000</v>
      </c>
      <c r="J184" s="240">
        <v>0</v>
      </c>
      <c r="K184" s="211" t="s">
        <v>21</v>
      </c>
      <c r="L184" s="211">
        <v>2013</v>
      </c>
      <c r="N184" s="741"/>
      <c r="O184" s="741"/>
      <c r="P184" s="741"/>
      <c r="Q184" s="741"/>
      <c r="R184" s="741"/>
      <c r="S184" s="741"/>
      <c r="T184" s="741"/>
      <c r="U184" s="741"/>
      <c r="V184" s="741"/>
      <c r="W184" s="741"/>
    </row>
    <row r="185" spans="1:23" s="323" customFormat="1" ht="25.5" customHeight="1">
      <c r="A185" s="241"/>
      <c r="B185" s="273"/>
      <c r="C185" s="254">
        <v>92604</v>
      </c>
      <c r="D185" s="324"/>
      <c r="E185" s="325" t="s">
        <v>255</v>
      </c>
      <c r="F185" s="240">
        <f>SUM(F186:F190)</f>
        <v>244400</v>
      </c>
      <c r="G185" s="240">
        <f>SUM(G186:G190)</f>
        <v>0</v>
      </c>
      <c r="H185" s="240"/>
      <c r="I185" s="240">
        <f>SUM(I186:I190)</f>
        <v>244400</v>
      </c>
      <c r="J185" s="240">
        <f>SUM(J186:J190)</f>
        <v>0</v>
      </c>
      <c r="K185" s="211"/>
      <c r="L185" s="211"/>
      <c r="N185" s="741"/>
      <c r="O185" s="741"/>
      <c r="P185" s="741"/>
      <c r="Q185" s="741"/>
      <c r="R185" s="741"/>
      <c r="S185" s="741"/>
      <c r="T185" s="741"/>
      <c r="U185" s="741"/>
      <c r="V185" s="741"/>
      <c r="W185" s="741"/>
    </row>
    <row r="186" spans="1:23" s="323" customFormat="1" ht="27.75" customHeight="1">
      <c r="A186" s="241">
        <v>126</v>
      </c>
      <c r="B186" s="273"/>
      <c r="C186" s="250"/>
      <c r="D186" s="224">
        <v>6050</v>
      </c>
      <c r="E186" s="228" t="s">
        <v>256</v>
      </c>
      <c r="F186" s="240">
        <v>50000</v>
      </c>
      <c r="G186" s="240"/>
      <c r="H186" s="230" t="s">
        <v>257</v>
      </c>
      <c r="I186" s="240">
        <v>50000</v>
      </c>
      <c r="J186" s="240"/>
      <c r="K186" s="211" t="s">
        <v>258</v>
      </c>
      <c r="L186" s="211">
        <v>2013</v>
      </c>
      <c r="N186" s="741"/>
      <c r="O186" s="741"/>
      <c r="P186" s="741"/>
      <c r="Q186" s="741"/>
      <c r="R186" s="741"/>
      <c r="S186" s="741"/>
      <c r="T186" s="741"/>
      <c r="U186" s="741"/>
      <c r="V186" s="741"/>
      <c r="W186" s="741"/>
    </row>
    <row r="187" spans="1:23" s="323" customFormat="1" ht="54.75" customHeight="1">
      <c r="A187" s="241">
        <v>127</v>
      </c>
      <c r="B187" s="273"/>
      <c r="C187" s="250"/>
      <c r="D187" s="431">
        <v>6050</v>
      </c>
      <c r="E187" s="228" t="s">
        <v>159</v>
      </c>
      <c r="F187" s="240">
        <v>20000</v>
      </c>
      <c r="G187" s="240"/>
      <c r="H187" s="230" t="s">
        <v>160</v>
      </c>
      <c r="I187" s="240">
        <v>20000</v>
      </c>
      <c r="J187" s="240"/>
      <c r="K187" s="211" t="s">
        <v>258</v>
      </c>
      <c r="L187" s="211">
        <v>2013</v>
      </c>
      <c r="N187" s="741"/>
      <c r="O187" s="741"/>
      <c r="P187" s="741"/>
      <c r="Q187" s="741"/>
      <c r="R187" s="741"/>
      <c r="S187" s="741"/>
      <c r="T187" s="741"/>
      <c r="U187" s="741"/>
      <c r="V187" s="741"/>
      <c r="W187" s="741"/>
    </row>
    <row r="188" spans="1:23" s="323" customFormat="1" ht="48" customHeight="1">
      <c r="A188" s="241">
        <v>128</v>
      </c>
      <c r="B188" s="273"/>
      <c r="C188" s="250"/>
      <c r="D188" s="431">
        <v>6060</v>
      </c>
      <c r="E188" s="228" t="s">
        <v>707</v>
      </c>
      <c r="F188" s="240">
        <f>5000+80000+10800</f>
        <v>95800</v>
      </c>
      <c r="G188" s="240"/>
      <c r="H188" s="230" t="s">
        <v>489</v>
      </c>
      <c r="I188" s="240">
        <f>5000+80000+10800</f>
        <v>95800</v>
      </c>
      <c r="J188" s="240"/>
      <c r="K188" s="211" t="s">
        <v>258</v>
      </c>
      <c r="L188" s="211">
        <v>2013</v>
      </c>
      <c r="N188" s="741"/>
      <c r="O188" s="741"/>
      <c r="P188" s="741"/>
      <c r="Q188" s="741"/>
      <c r="R188" s="741"/>
      <c r="S188" s="741"/>
      <c r="T188" s="741"/>
      <c r="U188" s="741"/>
      <c r="V188" s="741"/>
      <c r="W188" s="741"/>
    </row>
    <row r="189" spans="1:23" s="323" customFormat="1" ht="43.5" customHeight="1">
      <c r="A189" s="241">
        <v>129</v>
      </c>
      <c r="B189" s="273"/>
      <c r="C189" s="250"/>
      <c r="D189" s="431">
        <v>6060</v>
      </c>
      <c r="E189" s="228" t="s">
        <v>797</v>
      </c>
      <c r="F189" s="240">
        <f>19400</f>
        <v>19400</v>
      </c>
      <c r="G189" s="240"/>
      <c r="H189" s="230" t="s">
        <v>698</v>
      </c>
      <c r="I189" s="240">
        <v>19400</v>
      </c>
      <c r="J189" s="240"/>
      <c r="K189" s="211" t="s">
        <v>258</v>
      </c>
      <c r="L189" s="211">
        <v>2013</v>
      </c>
      <c r="N189" s="741"/>
      <c r="O189" s="741"/>
      <c r="P189" s="741"/>
      <c r="Q189" s="741"/>
      <c r="R189" s="741"/>
      <c r="S189" s="741"/>
      <c r="T189" s="741"/>
      <c r="U189" s="741"/>
      <c r="V189" s="741"/>
      <c r="W189" s="741"/>
    </row>
    <row r="190" spans="1:23" s="323" customFormat="1" ht="27.75" customHeight="1">
      <c r="A190" s="241">
        <v>130</v>
      </c>
      <c r="B190" s="273"/>
      <c r="C190" s="250"/>
      <c r="D190" s="431">
        <v>6060</v>
      </c>
      <c r="E190" s="228" t="s">
        <v>708</v>
      </c>
      <c r="F190" s="240">
        <f>70000-10800</f>
        <v>59200</v>
      </c>
      <c r="G190" s="240"/>
      <c r="H190" s="230" t="s">
        <v>176</v>
      </c>
      <c r="I190" s="240">
        <f>70000-10800</f>
        <v>59200</v>
      </c>
      <c r="J190" s="240"/>
      <c r="K190" s="211" t="s">
        <v>258</v>
      </c>
      <c r="L190" s="211">
        <v>2013</v>
      </c>
      <c r="N190" s="741"/>
      <c r="O190" s="741"/>
      <c r="P190" s="741"/>
      <c r="Q190" s="741"/>
      <c r="R190" s="741"/>
      <c r="S190" s="741"/>
      <c r="T190" s="741"/>
      <c r="U190" s="741"/>
      <c r="V190" s="741"/>
      <c r="W190" s="741"/>
    </row>
    <row r="191" spans="1:15" ht="30" customHeight="1">
      <c r="A191" s="241"/>
      <c r="B191" s="326" t="s">
        <v>259</v>
      </c>
      <c r="C191" s="327"/>
      <c r="D191" s="269"/>
      <c r="E191" s="290"/>
      <c r="F191" s="328">
        <f>F192+F207+F211+F214+F221+F231+F234+F244+F248</f>
        <v>36840582.269999996</v>
      </c>
      <c r="G191" s="328">
        <f>G192+G207+G211+G214+G221+G231+G234+G244+G248</f>
        <v>18810224.86</v>
      </c>
      <c r="H191" s="328"/>
      <c r="I191" s="328">
        <f>I192+I207+I211+I214+I221+I231+I234+I244+I248</f>
        <v>12904557.41</v>
      </c>
      <c r="J191" s="328">
        <f>J192+J207+J211+J214+J221+J231+J234+J244+J248</f>
        <v>369082.52</v>
      </c>
      <c r="K191" s="211"/>
      <c r="L191" s="211"/>
      <c r="N191" s="732"/>
      <c r="O191" s="731"/>
    </row>
    <row r="192" spans="1:15" ht="26.25" customHeight="1">
      <c r="A192" s="214"/>
      <c r="B192" s="301">
        <v>600</v>
      </c>
      <c r="C192" s="214"/>
      <c r="D192" s="215"/>
      <c r="E192" s="246" t="s">
        <v>848</v>
      </c>
      <c r="F192" s="247">
        <f>F193</f>
        <v>33560667.05</v>
      </c>
      <c r="G192" s="247">
        <f>G193</f>
        <v>18810224.86</v>
      </c>
      <c r="H192" s="329"/>
      <c r="I192" s="247">
        <f>I193</f>
        <v>10970442.19</v>
      </c>
      <c r="J192" s="247">
        <f>J193</f>
        <v>52582.52000000002</v>
      </c>
      <c r="K192" s="211"/>
      <c r="L192" s="211"/>
      <c r="N192" s="733"/>
      <c r="O192" s="733"/>
    </row>
    <row r="193" spans="1:14" ht="27" customHeight="1">
      <c r="A193" s="241"/>
      <c r="B193" s="248"/>
      <c r="C193" s="254">
        <v>60015</v>
      </c>
      <c r="D193" s="220"/>
      <c r="E193" s="221" t="s">
        <v>260</v>
      </c>
      <c r="F193" s="222">
        <f>SUM(F194:F206)</f>
        <v>33560667.05</v>
      </c>
      <c r="G193" s="222">
        <f>SUM(G194:G206)</f>
        <v>18810224.86</v>
      </c>
      <c r="H193" s="288"/>
      <c r="I193" s="222">
        <f>SUM(I194:I206)</f>
        <v>10970442.19</v>
      </c>
      <c r="J193" s="222">
        <f>SUM(J194:J206)</f>
        <v>52582.52000000002</v>
      </c>
      <c r="K193" s="223"/>
      <c r="L193" s="223"/>
      <c r="N193" s="747"/>
    </row>
    <row r="194" spans="1:14" ht="43.5" customHeight="1">
      <c r="A194" s="241">
        <v>131</v>
      </c>
      <c r="B194" s="306"/>
      <c r="C194" s="185"/>
      <c r="D194" s="243">
        <v>6050</v>
      </c>
      <c r="E194" s="302" t="s">
        <v>261</v>
      </c>
      <c r="F194" s="308">
        <f>27061100+125000+122352-28121-41605.95</f>
        <v>27238725.05</v>
      </c>
      <c r="G194" s="309">
        <f>23211100-3406101.69-1044773.45</f>
        <v>18760224.86</v>
      </c>
      <c r="H194" s="310" t="s">
        <v>262</v>
      </c>
      <c r="I194" s="311">
        <f>3850000+125000+122352+3406101.69+1044773.45-28121-41605.95</f>
        <v>8478500.19</v>
      </c>
      <c r="J194" s="311">
        <f>2141080-167000-1921497.48</f>
        <v>52582.52000000002</v>
      </c>
      <c r="K194" s="252" t="s">
        <v>263</v>
      </c>
      <c r="L194" s="252" t="s">
        <v>22</v>
      </c>
      <c r="N194" s="747"/>
    </row>
    <row r="195" spans="1:23" s="323" customFormat="1" ht="35.25" customHeight="1">
      <c r="A195" s="241">
        <v>132</v>
      </c>
      <c r="B195" s="306"/>
      <c r="C195" s="185"/>
      <c r="D195" s="243">
        <v>6050</v>
      </c>
      <c r="E195" s="302" t="s">
        <v>264</v>
      </c>
      <c r="F195" s="308">
        <f>5800000-530723-1000000</f>
        <v>4269277</v>
      </c>
      <c r="G195" s="309"/>
      <c r="H195" s="302" t="s">
        <v>265</v>
      </c>
      <c r="I195" s="311">
        <f>1100000-530723</f>
        <v>569277</v>
      </c>
      <c r="J195" s="311">
        <v>0</v>
      </c>
      <c r="K195" s="252" t="s">
        <v>45</v>
      </c>
      <c r="L195" s="252" t="s">
        <v>300</v>
      </c>
      <c r="N195" s="742"/>
      <c r="O195" s="742"/>
      <c r="P195" s="741"/>
      <c r="Q195" s="741"/>
      <c r="R195" s="741"/>
      <c r="S195" s="741"/>
      <c r="T195" s="741"/>
      <c r="U195" s="741"/>
      <c r="V195" s="741"/>
      <c r="W195" s="741"/>
    </row>
    <row r="196" spans="1:23" s="323" customFormat="1" ht="58.5" customHeight="1">
      <c r="A196" s="241">
        <v>133</v>
      </c>
      <c r="B196" s="306"/>
      <c r="C196" s="185"/>
      <c r="D196" s="243">
        <v>6050</v>
      </c>
      <c r="E196" s="302" t="s">
        <v>266</v>
      </c>
      <c r="F196" s="308">
        <v>260000</v>
      </c>
      <c r="G196" s="309"/>
      <c r="H196" s="230" t="s">
        <v>254</v>
      </c>
      <c r="I196" s="311">
        <v>260000</v>
      </c>
      <c r="J196" s="311"/>
      <c r="K196" s="252" t="s">
        <v>21</v>
      </c>
      <c r="L196" s="252">
        <v>2013</v>
      </c>
      <c r="N196" s="742"/>
      <c r="O196" s="742"/>
      <c r="P196" s="742"/>
      <c r="Q196" s="741"/>
      <c r="R196" s="741"/>
      <c r="S196" s="741"/>
      <c r="T196" s="741"/>
      <c r="U196" s="741"/>
      <c r="V196" s="741"/>
      <c r="W196" s="741"/>
    </row>
    <row r="197" spans="1:23" s="323" customFormat="1" ht="57.75" customHeight="1">
      <c r="A197" s="241">
        <v>134</v>
      </c>
      <c r="B197" s="306"/>
      <c r="C197" s="185"/>
      <c r="D197" s="243">
        <v>6050</v>
      </c>
      <c r="E197" s="302" t="s">
        <v>269</v>
      </c>
      <c r="F197" s="308">
        <v>30000</v>
      </c>
      <c r="G197" s="309"/>
      <c r="H197" s="230" t="s">
        <v>254</v>
      </c>
      <c r="I197" s="311">
        <v>30000</v>
      </c>
      <c r="J197" s="311"/>
      <c r="K197" s="252" t="s">
        <v>45</v>
      </c>
      <c r="L197" s="252">
        <v>2013</v>
      </c>
      <c r="N197" s="742"/>
      <c r="O197" s="742"/>
      <c r="P197" s="741"/>
      <c r="Q197" s="741"/>
      <c r="R197" s="741"/>
      <c r="S197" s="741"/>
      <c r="T197" s="741"/>
      <c r="U197" s="741"/>
      <c r="V197" s="741"/>
      <c r="W197" s="741"/>
    </row>
    <row r="198" spans="1:23" s="323" customFormat="1" ht="35.25" customHeight="1">
      <c r="A198" s="241">
        <v>135</v>
      </c>
      <c r="B198" s="306"/>
      <c r="C198" s="185"/>
      <c r="D198" s="243">
        <v>6050</v>
      </c>
      <c r="E198" s="302" t="s">
        <v>309</v>
      </c>
      <c r="F198" s="308">
        <v>45202</v>
      </c>
      <c r="G198" s="309"/>
      <c r="H198" s="230" t="s">
        <v>446</v>
      </c>
      <c r="I198" s="311">
        <f>2832000-828000-125000-130000-703798-1000000</f>
        <v>45202</v>
      </c>
      <c r="J198" s="311">
        <f>240000+753800-78000-828000-87800</f>
        <v>0</v>
      </c>
      <c r="K198" s="252" t="s">
        <v>21</v>
      </c>
      <c r="L198" s="252">
        <v>2013</v>
      </c>
      <c r="N198" s="741"/>
      <c r="O198" s="741"/>
      <c r="P198" s="741"/>
      <c r="Q198" s="741"/>
      <c r="R198" s="741"/>
      <c r="S198" s="741"/>
      <c r="T198" s="741"/>
      <c r="U198" s="741"/>
      <c r="V198" s="741"/>
      <c r="W198" s="741"/>
    </row>
    <row r="199" spans="1:23" s="323" customFormat="1" ht="35.25" customHeight="1">
      <c r="A199" s="241">
        <v>136</v>
      </c>
      <c r="B199" s="306"/>
      <c r="C199" s="185"/>
      <c r="D199" s="243">
        <v>6050</v>
      </c>
      <c r="E199" s="302" t="s">
        <v>569</v>
      </c>
      <c r="F199" s="308">
        <f>500000+165335</f>
        <v>665335</v>
      </c>
      <c r="G199" s="309"/>
      <c r="H199" s="230" t="s">
        <v>236</v>
      </c>
      <c r="I199" s="311">
        <f>500000+165335</f>
        <v>665335</v>
      </c>
      <c r="J199" s="311"/>
      <c r="K199" s="252" t="s">
        <v>45</v>
      </c>
      <c r="L199" s="252">
        <v>2013</v>
      </c>
      <c r="N199" s="741"/>
      <c r="O199" s="741"/>
      <c r="P199" s="741"/>
      <c r="Q199" s="741"/>
      <c r="R199" s="741"/>
      <c r="S199" s="741"/>
      <c r="T199" s="741"/>
      <c r="U199" s="741"/>
      <c r="V199" s="741"/>
      <c r="W199" s="741"/>
    </row>
    <row r="200" spans="1:23" s="323" customFormat="1" ht="66.75" customHeight="1">
      <c r="A200" s="241">
        <v>137</v>
      </c>
      <c r="B200" s="306"/>
      <c r="C200" s="185"/>
      <c r="D200" s="243">
        <v>6050</v>
      </c>
      <c r="E200" s="448" t="s">
        <v>810</v>
      </c>
      <c r="F200" s="308">
        <v>119400</v>
      </c>
      <c r="G200" s="309"/>
      <c r="H200" s="432" t="s">
        <v>811</v>
      </c>
      <c r="I200" s="311">
        <v>119400</v>
      </c>
      <c r="J200" s="311"/>
      <c r="K200" s="252" t="s">
        <v>45</v>
      </c>
      <c r="L200" s="252">
        <v>2013</v>
      </c>
      <c r="N200" s="741"/>
      <c r="O200" s="741"/>
      <c r="P200" s="741"/>
      <c r="Q200" s="741"/>
      <c r="R200" s="741"/>
      <c r="S200" s="741"/>
      <c r="T200" s="741"/>
      <c r="U200" s="741"/>
      <c r="V200" s="741"/>
      <c r="W200" s="741"/>
    </row>
    <row r="201" spans="1:23" s="323" customFormat="1" ht="54.75" customHeight="1">
      <c r="A201" s="241">
        <v>138</v>
      </c>
      <c r="B201" s="306"/>
      <c r="C201" s="185"/>
      <c r="D201" s="243">
        <v>6050</v>
      </c>
      <c r="E201" s="433" t="s">
        <v>468</v>
      </c>
      <c r="F201" s="308">
        <f>450000-60000+80000</f>
        <v>470000</v>
      </c>
      <c r="G201" s="309"/>
      <c r="H201" s="432" t="s">
        <v>177</v>
      </c>
      <c r="I201" s="311">
        <f>450000-60000</f>
        <v>390000</v>
      </c>
      <c r="J201" s="311"/>
      <c r="K201" s="252" t="s">
        <v>45</v>
      </c>
      <c r="L201" s="252" t="s">
        <v>300</v>
      </c>
      <c r="N201" s="741"/>
      <c r="O201" s="741"/>
      <c r="P201" s="741"/>
      <c r="Q201" s="741"/>
      <c r="R201" s="741"/>
      <c r="S201" s="741"/>
      <c r="T201" s="741"/>
      <c r="U201" s="741"/>
      <c r="V201" s="741"/>
      <c r="W201" s="741"/>
    </row>
    <row r="202" spans="1:23" s="323" customFormat="1" ht="51.75" customHeight="1">
      <c r="A202" s="241">
        <v>139</v>
      </c>
      <c r="B202" s="306"/>
      <c r="C202" s="185"/>
      <c r="D202" s="243">
        <v>6050</v>
      </c>
      <c r="E202" s="302" t="s">
        <v>469</v>
      </c>
      <c r="F202" s="308">
        <f>220000-23745</f>
        <v>196255</v>
      </c>
      <c r="G202" s="309"/>
      <c r="H202" s="302" t="s">
        <v>178</v>
      </c>
      <c r="I202" s="311">
        <f>220000-23745</f>
        <v>196255</v>
      </c>
      <c r="J202" s="311"/>
      <c r="K202" s="252" t="s">
        <v>45</v>
      </c>
      <c r="L202" s="252">
        <v>2013</v>
      </c>
      <c r="N202" s="741"/>
      <c r="O202" s="741"/>
      <c r="P202" s="741"/>
      <c r="Q202" s="741"/>
      <c r="R202" s="741"/>
      <c r="S202" s="741"/>
      <c r="T202" s="741"/>
      <c r="U202" s="741"/>
      <c r="V202" s="741"/>
      <c r="W202" s="741"/>
    </row>
    <row r="203" spans="1:23" s="323" customFormat="1" ht="59.25" customHeight="1">
      <c r="A203" s="241">
        <v>140</v>
      </c>
      <c r="B203" s="306"/>
      <c r="C203" s="185"/>
      <c r="D203" s="243">
        <v>6050</v>
      </c>
      <c r="E203" s="302" t="s">
        <v>216</v>
      </c>
      <c r="F203" s="308">
        <v>12000</v>
      </c>
      <c r="G203" s="309"/>
      <c r="H203" s="330" t="s">
        <v>271</v>
      </c>
      <c r="I203" s="311">
        <v>12000</v>
      </c>
      <c r="J203" s="311"/>
      <c r="K203" s="252" t="s">
        <v>45</v>
      </c>
      <c r="L203" s="252">
        <v>2013</v>
      </c>
      <c r="N203" s="741"/>
      <c r="O203" s="741"/>
      <c r="P203" s="741"/>
      <c r="Q203" s="741"/>
      <c r="R203" s="741"/>
      <c r="S203" s="741"/>
      <c r="T203" s="741"/>
      <c r="U203" s="741"/>
      <c r="V203" s="741"/>
      <c r="W203" s="741"/>
    </row>
    <row r="204" spans="1:23" s="323" customFormat="1" ht="133.5" customHeight="1">
      <c r="A204" s="177">
        <v>141</v>
      </c>
      <c r="B204" s="306"/>
      <c r="C204" s="185"/>
      <c r="D204" s="287">
        <v>6050</v>
      </c>
      <c r="E204" s="302" t="s">
        <v>270</v>
      </c>
      <c r="F204" s="308">
        <f>550000-350000-27597+69000-13650</f>
        <v>227753</v>
      </c>
      <c r="G204" s="309">
        <v>50000</v>
      </c>
      <c r="H204" s="330" t="s">
        <v>166</v>
      </c>
      <c r="I204" s="311">
        <f>500000-350000-27597+69000-13650</f>
        <v>177753</v>
      </c>
      <c r="J204" s="311">
        <v>0</v>
      </c>
      <c r="K204" s="252" t="s">
        <v>167</v>
      </c>
      <c r="L204" s="252" t="s">
        <v>22</v>
      </c>
      <c r="N204" s="742"/>
      <c r="O204" s="741"/>
      <c r="P204" s="741"/>
      <c r="Q204" s="741"/>
      <c r="R204" s="741"/>
      <c r="S204" s="741"/>
      <c r="T204" s="741"/>
      <c r="U204" s="741"/>
      <c r="V204" s="741"/>
      <c r="W204" s="741"/>
    </row>
    <row r="205" spans="1:23" s="323" customFormat="1" ht="60" customHeight="1">
      <c r="A205" s="177">
        <v>142</v>
      </c>
      <c r="B205" s="306"/>
      <c r="C205" s="185"/>
      <c r="D205" s="287">
        <v>6050</v>
      </c>
      <c r="E205" s="302" t="s">
        <v>157</v>
      </c>
      <c r="F205" s="311">
        <v>12000</v>
      </c>
      <c r="G205" s="309"/>
      <c r="H205" s="330" t="s">
        <v>154</v>
      </c>
      <c r="I205" s="311">
        <v>12000</v>
      </c>
      <c r="J205" s="311"/>
      <c r="K205" s="434" t="s">
        <v>45</v>
      </c>
      <c r="L205" s="434">
        <v>2013</v>
      </c>
      <c r="N205" s="742"/>
      <c r="O205" s="741"/>
      <c r="P205" s="741"/>
      <c r="Q205" s="741"/>
      <c r="R205" s="741"/>
      <c r="S205" s="741"/>
      <c r="T205" s="741"/>
      <c r="U205" s="741"/>
      <c r="V205" s="741"/>
      <c r="W205" s="741"/>
    </row>
    <row r="206" spans="1:23" s="323" customFormat="1" ht="80.25" customHeight="1">
      <c r="A206" s="177">
        <v>143</v>
      </c>
      <c r="B206" s="306"/>
      <c r="C206" s="185"/>
      <c r="D206" s="287">
        <v>6050</v>
      </c>
      <c r="E206" s="302" t="s">
        <v>153</v>
      </c>
      <c r="F206" s="311">
        <f>15000-280</f>
        <v>14720</v>
      </c>
      <c r="G206" s="309"/>
      <c r="H206" s="330" t="s">
        <v>459</v>
      </c>
      <c r="I206" s="311">
        <f>15000-280</f>
        <v>14720</v>
      </c>
      <c r="J206" s="311"/>
      <c r="K206" s="434" t="s">
        <v>45</v>
      </c>
      <c r="L206" s="434">
        <v>2013</v>
      </c>
      <c r="N206" s="742"/>
      <c r="O206" s="741"/>
      <c r="P206" s="741"/>
      <c r="Q206" s="741"/>
      <c r="R206" s="741"/>
      <c r="S206" s="741"/>
      <c r="T206" s="741"/>
      <c r="U206" s="741"/>
      <c r="V206" s="741"/>
      <c r="W206" s="741"/>
    </row>
    <row r="207" spans="1:23" s="441" customFormat="1" ht="28.5" customHeight="1">
      <c r="A207" s="214"/>
      <c r="B207" s="215">
        <v>630</v>
      </c>
      <c r="C207" s="214"/>
      <c r="D207" s="289"/>
      <c r="E207" s="439" t="s">
        <v>456</v>
      </c>
      <c r="F207" s="440">
        <f>F208</f>
        <v>131000</v>
      </c>
      <c r="G207" s="440">
        <f>G208</f>
        <v>0</v>
      </c>
      <c r="H207" s="440"/>
      <c r="I207" s="440">
        <f>I208</f>
        <v>130000</v>
      </c>
      <c r="J207" s="440">
        <f>J208</f>
        <v>0</v>
      </c>
      <c r="K207" s="402"/>
      <c r="L207" s="402"/>
      <c r="N207" s="748"/>
      <c r="O207" s="749"/>
      <c r="P207" s="749"/>
      <c r="Q207" s="749"/>
      <c r="R207" s="749"/>
      <c r="S207" s="749"/>
      <c r="T207" s="749"/>
      <c r="U207" s="749"/>
      <c r="V207" s="749"/>
      <c r="W207" s="749"/>
    </row>
    <row r="208" spans="1:23" s="438" customFormat="1" ht="29.25" customHeight="1">
      <c r="A208" s="253"/>
      <c r="B208" s="389"/>
      <c r="C208" s="254">
        <v>63095</v>
      </c>
      <c r="D208" s="341"/>
      <c r="E208" s="435" t="s">
        <v>58</v>
      </c>
      <c r="F208" s="436">
        <f>SUM(F209:F210)</f>
        <v>131000</v>
      </c>
      <c r="G208" s="436">
        <f>SUM(G209:G210)</f>
        <v>0</v>
      </c>
      <c r="H208" s="436"/>
      <c r="I208" s="436">
        <f>SUM(I209:I210)</f>
        <v>130000</v>
      </c>
      <c r="J208" s="436">
        <f>SUM(J209:J210)</f>
        <v>0</v>
      </c>
      <c r="K208" s="437"/>
      <c r="L208" s="437"/>
      <c r="N208" s="750"/>
      <c r="O208" s="751"/>
      <c r="P208" s="751"/>
      <c r="Q208" s="751"/>
      <c r="R208" s="751"/>
      <c r="S208" s="751"/>
      <c r="T208" s="751"/>
      <c r="U208" s="751"/>
      <c r="V208" s="751"/>
      <c r="W208" s="751"/>
    </row>
    <row r="209" spans="1:23" s="323" customFormat="1" ht="54" customHeight="1">
      <c r="A209" s="241">
        <v>144</v>
      </c>
      <c r="B209" s="306"/>
      <c r="C209" s="185"/>
      <c r="D209" s="243">
        <v>6050</v>
      </c>
      <c r="E209" s="302" t="s">
        <v>527</v>
      </c>
      <c r="F209" s="308">
        <f>60000+1000</f>
        <v>61000</v>
      </c>
      <c r="G209" s="309"/>
      <c r="H209" s="230" t="s">
        <v>254</v>
      </c>
      <c r="I209" s="311">
        <v>60000</v>
      </c>
      <c r="J209" s="311"/>
      <c r="K209" s="434" t="s">
        <v>21</v>
      </c>
      <c r="L209" s="434" t="s">
        <v>179</v>
      </c>
      <c r="N209" s="742"/>
      <c r="O209" s="741"/>
      <c r="P209" s="741"/>
      <c r="Q209" s="741"/>
      <c r="R209" s="741"/>
      <c r="S209" s="741"/>
      <c r="T209" s="741"/>
      <c r="U209" s="741"/>
      <c r="V209" s="741"/>
      <c r="W209" s="741"/>
    </row>
    <row r="210" spans="1:23" s="323" customFormat="1" ht="39.75" customHeight="1">
      <c r="A210" s="241">
        <v>145</v>
      </c>
      <c r="B210" s="306"/>
      <c r="C210" s="185"/>
      <c r="D210" s="243">
        <v>6050</v>
      </c>
      <c r="E210" s="302" t="s">
        <v>471</v>
      </c>
      <c r="F210" s="308">
        <v>70000</v>
      </c>
      <c r="G210" s="309"/>
      <c r="H210" s="330" t="s">
        <v>217</v>
      </c>
      <c r="I210" s="311">
        <v>70000</v>
      </c>
      <c r="J210" s="311"/>
      <c r="K210" s="434" t="s">
        <v>258</v>
      </c>
      <c r="L210" s="434">
        <v>2013</v>
      </c>
      <c r="N210" s="742"/>
      <c r="O210" s="741"/>
      <c r="P210" s="741"/>
      <c r="Q210" s="741"/>
      <c r="R210" s="741"/>
      <c r="S210" s="741"/>
      <c r="T210" s="741"/>
      <c r="U210" s="741"/>
      <c r="V210" s="741"/>
      <c r="W210" s="741"/>
    </row>
    <row r="211" spans="1:23" s="323" customFormat="1" ht="39.75" customHeight="1">
      <c r="A211" s="185"/>
      <c r="B211" s="214">
        <v>700</v>
      </c>
      <c r="C211" s="214"/>
      <c r="D211" s="215"/>
      <c r="E211" s="246" t="s">
        <v>53</v>
      </c>
      <c r="F211" s="440">
        <f>F212</f>
        <v>4305</v>
      </c>
      <c r="G211" s="440">
        <f aca="true" t="shared" si="1" ref="G211:L212">G212</f>
        <v>0</v>
      </c>
      <c r="H211" s="440"/>
      <c r="I211" s="440">
        <f t="shared" si="1"/>
        <v>4305</v>
      </c>
      <c r="J211" s="440">
        <f t="shared" si="1"/>
        <v>0</v>
      </c>
      <c r="K211" s="440">
        <f t="shared" si="1"/>
        <v>0</v>
      </c>
      <c r="L211" s="440">
        <f t="shared" si="1"/>
        <v>0</v>
      </c>
      <c r="N211" s="742"/>
      <c r="O211" s="741"/>
      <c r="P211" s="741"/>
      <c r="Q211" s="741"/>
      <c r="R211" s="741"/>
      <c r="S211" s="741"/>
      <c r="T211" s="741"/>
      <c r="U211" s="741"/>
      <c r="V211" s="741"/>
      <c r="W211" s="741"/>
    </row>
    <row r="212" spans="1:23" s="323" customFormat="1" ht="33" customHeight="1">
      <c r="A212" s="185"/>
      <c r="B212" s="248"/>
      <c r="C212" s="249">
        <v>70005</v>
      </c>
      <c r="D212" s="220"/>
      <c r="E212" s="221" t="s">
        <v>54</v>
      </c>
      <c r="F212" s="308">
        <f>F213</f>
        <v>4305</v>
      </c>
      <c r="G212" s="308">
        <f t="shared" si="1"/>
        <v>0</v>
      </c>
      <c r="H212" s="308"/>
      <c r="I212" s="308">
        <f t="shared" si="1"/>
        <v>4305</v>
      </c>
      <c r="J212" s="308">
        <f t="shared" si="1"/>
        <v>0</v>
      </c>
      <c r="K212" s="434"/>
      <c r="L212" s="434"/>
      <c r="N212" s="742"/>
      <c r="O212" s="741"/>
      <c r="P212" s="741"/>
      <c r="Q212" s="741"/>
      <c r="R212" s="741"/>
      <c r="S212" s="741"/>
      <c r="T212" s="741"/>
      <c r="U212" s="741"/>
      <c r="V212" s="741"/>
      <c r="W212" s="741"/>
    </row>
    <row r="213" spans="1:23" s="323" customFormat="1" ht="31.5" customHeight="1">
      <c r="A213" s="185">
        <v>146</v>
      </c>
      <c r="B213" s="306"/>
      <c r="C213" s="185"/>
      <c r="D213" s="243">
        <v>6060</v>
      </c>
      <c r="E213" s="302" t="s">
        <v>107</v>
      </c>
      <c r="F213" s="308">
        <v>4305</v>
      </c>
      <c r="G213" s="309"/>
      <c r="H213" s="330" t="s">
        <v>108</v>
      </c>
      <c r="I213" s="311">
        <v>4305</v>
      </c>
      <c r="J213" s="311"/>
      <c r="K213" s="434" t="s">
        <v>551</v>
      </c>
      <c r="L213" s="434">
        <v>2013</v>
      </c>
      <c r="N213" s="742"/>
      <c r="O213" s="741"/>
      <c r="P213" s="741"/>
      <c r="Q213" s="741"/>
      <c r="R213" s="741"/>
      <c r="S213" s="741"/>
      <c r="T213" s="741"/>
      <c r="U213" s="741"/>
      <c r="V213" s="741"/>
      <c r="W213" s="741"/>
    </row>
    <row r="214" spans="1:23" s="33" customFormat="1" ht="27" customHeight="1">
      <c r="A214" s="185"/>
      <c r="B214" s="214">
        <v>710</v>
      </c>
      <c r="C214" s="214"/>
      <c r="D214" s="214"/>
      <c r="E214" s="290" t="s">
        <v>272</v>
      </c>
      <c r="F214" s="272">
        <f>F215+F218</f>
        <v>55000</v>
      </c>
      <c r="G214" s="272">
        <f>G215+G218</f>
        <v>0</v>
      </c>
      <c r="H214" s="272"/>
      <c r="I214" s="272">
        <f>I215+I218</f>
        <v>55000</v>
      </c>
      <c r="J214" s="272">
        <f>J215+J218</f>
        <v>0</v>
      </c>
      <c r="K214" s="210"/>
      <c r="L214" s="210"/>
      <c r="N214" s="753"/>
      <c r="O214" s="753"/>
      <c r="P214" s="753"/>
      <c r="Q214" s="754"/>
      <c r="R214" s="319"/>
      <c r="S214" s="319"/>
      <c r="T214" s="319"/>
      <c r="U214" s="319"/>
      <c r="V214" s="319"/>
      <c r="W214" s="319"/>
    </row>
    <row r="215" spans="1:23" s="33" customFormat="1" ht="27" customHeight="1">
      <c r="A215" s="185"/>
      <c r="B215" s="276"/>
      <c r="C215" s="248">
        <v>71012</v>
      </c>
      <c r="D215" s="255"/>
      <c r="E215" s="261" t="s">
        <v>273</v>
      </c>
      <c r="F215" s="262">
        <f>F216+F217</f>
        <v>45000</v>
      </c>
      <c r="G215" s="262">
        <f>G216+G217</f>
        <v>0</v>
      </c>
      <c r="H215" s="262"/>
      <c r="I215" s="262">
        <f>I216+I217</f>
        <v>45000</v>
      </c>
      <c r="J215" s="262">
        <f>J216+J217</f>
        <v>0</v>
      </c>
      <c r="K215" s="331"/>
      <c r="L215" s="331"/>
      <c r="N215" s="753"/>
      <c r="O215" s="753"/>
      <c r="P215" s="753"/>
      <c r="Q215" s="754"/>
      <c r="R215" s="319"/>
      <c r="S215" s="319"/>
      <c r="T215" s="319"/>
      <c r="U215" s="319"/>
      <c r="V215" s="319"/>
      <c r="W215" s="319"/>
    </row>
    <row r="216" spans="1:23" s="33" customFormat="1" ht="52.5" customHeight="1">
      <c r="A216" s="241">
        <v>147</v>
      </c>
      <c r="B216" s="283"/>
      <c r="C216" s="177"/>
      <c r="D216" s="243">
        <v>6050</v>
      </c>
      <c r="E216" s="280" t="s">
        <v>454</v>
      </c>
      <c r="F216" s="281">
        <v>25000</v>
      </c>
      <c r="G216" s="281"/>
      <c r="H216" s="281" t="s">
        <v>218</v>
      </c>
      <c r="I216" s="281">
        <v>25000</v>
      </c>
      <c r="J216" s="281"/>
      <c r="K216" s="210" t="s">
        <v>276</v>
      </c>
      <c r="L216" s="210">
        <v>2013</v>
      </c>
      <c r="N216" s="753"/>
      <c r="O216" s="753"/>
      <c r="P216" s="753"/>
      <c r="Q216" s="754"/>
      <c r="R216" s="319"/>
      <c r="S216" s="319"/>
      <c r="T216" s="319"/>
      <c r="U216" s="319"/>
      <c r="V216" s="319"/>
      <c r="W216" s="319"/>
    </row>
    <row r="217" spans="1:23" s="33" customFormat="1" ht="54.75" customHeight="1">
      <c r="A217" s="241">
        <v>148</v>
      </c>
      <c r="B217" s="283"/>
      <c r="C217" s="245"/>
      <c r="D217" s="243">
        <v>6060</v>
      </c>
      <c r="E217" s="280" t="s">
        <v>274</v>
      </c>
      <c r="F217" s="281">
        <f>25000+20000-25000</f>
        <v>20000</v>
      </c>
      <c r="G217" s="281">
        <v>0</v>
      </c>
      <c r="H217" s="332" t="s">
        <v>275</v>
      </c>
      <c r="I217" s="281">
        <f>25000+20000-25000</f>
        <v>20000</v>
      </c>
      <c r="J217" s="281">
        <v>0</v>
      </c>
      <c r="K217" s="210" t="s">
        <v>276</v>
      </c>
      <c r="L217" s="210">
        <v>2013</v>
      </c>
      <c r="N217" s="753"/>
      <c r="O217" s="753"/>
      <c r="P217" s="753"/>
      <c r="Q217" s="754"/>
      <c r="R217" s="319"/>
      <c r="S217" s="319"/>
      <c r="T217" s="319"/>
      <c r="U217" s="319"/>
      <c r="V217" s="319"/>
      <c r="W217" s="319"/>
    </row>
    <row r="218" spans="1:23" s="33" customFormat="1" ht="21.75" customHeight="1">
      <c r="A218" s="195"/>
      <c r="B218" s="253"/>
      <c r="C218" s="219">
        <v>71015</v>
      </c>
      <c r="D218" s="255"/>
      <c r="E218" s="261" t="s">
        <v>277</v>
      </c>
      <c r="F218" s="262">
        <f>F219+F220</f>
        <v>10000</v>
      </c>
      <c r="G218" s="262">
        <f>G220</f>
        <v>0</v>
      </c>
      <c r="H218" s="262"/>
      <c r="I218" s="262">
        <f>I219+I220</f>
        <v>10000</v>
      </c>
      <c r="J218" s="262">
        <f>J220</f>
        <v>0</v>
      </c>
      <c r="K218" s="331"/>
      <c r="L218" s="331"/>
      <c r="N218" s="753"/>
      <c r="O218" s="753"/>
      <c r="P218" s="753"/>
      <c r="Q218" s="754"/>
      <c r="R218" s="319"/>
      <c r="S218" s="319"/>
      <c r="T218" s="319"/>
      <c r="U218" s="319"/>
      <c r="V218" s="319"/>
      <c r="W218" s="319"/>
    </row>
    <row r="219" spans="1:23" s="33" customFormat="1" ht="40.5" customHeight="1">
      <c r="A219" s="195">
        <v>149</v>
      </c>
      <c r="B219" s="253"/>
      <c r="C219" s="218"/>
      <c r="D219" s="269">
        <v>6060</v>
      </c>
      <c r="E219" s="280" t="s">
        <v>278</v>
      </c>
      <c r="F219" s="281">
        <v>5000</v>
      </c>
      <c r="G219" s="281">
        <v>0</v>
      </c>
      <c r="H219" s="332" t="s">
        <v>279</v>
      </c>
      <c r="I219" s="333">
        <v>5000</v>
      </c>
      <c r="J219" s="333">
        <v>0</v>
      </c>
      <c r="K219" s="252" t="s">
        <v>280</v>
      </c>
      <c r="L219" s="252">
        <v>2013</v>
      </c>
      <c r="N219" s="753"/>
      <c r="O219" s="753"/>
      <c r="P219" s="753"/>
      <c r="Q219" s="754"/>
      <c r="R219" s="319"/>
      <c r="S219" s="319"/>
      <c r="T219" s="319"/>
      <c r="U219" s="319"/>
      <c r="V219" s="319"/>
      <c r="W219" s="319"/>
    </row>
    <row r="220" spans="1:23" s="33" customFormat="1" ht="41.25" customHeight="1">
      <c r="A220" s="241">
        <v>150</v>
      </c>
      <c r="B220" s="185"/>
      <c r="C220" s="250"/>
      <c r="D220" s="269">
        <v>6060</v>
      </c>
      <c r="E220" s="280" t="s">
        <v>281</v>
      </c>
      <c r="F220" s="281">
        <v>5000</v>
      </c>
      <c r="G220" s="281">
        <v>0</v>
      </c>
      <c r="H220" s="332" t="s">
        <v>282</v>
      </c>
      <c r="I220" s="333">
        <v>5000</v>
      </c>
      <c r="J220" s="333">
        <v>0</v>
      </c>
      <c r="K220" s="252" t="s">
        <v>280</v>
      </c>
      <c r="L220" s="252">
        <v>2013</v>
      </c>
      <c r="N220" s="753"/>
      <c r="O220" s="753"/>
      <c r="P220" s="753"/>
      <c r="Q220" s="754"/>
      <c r="R220" s="319"/>
      <c r="S220" s="319"/>
      <c r="T220" s="319"/>
      <c r="U220" s="319"/>
      <c r="V220" s="319"/>
      <c r="W220" s="319"/>
    </row>
    <row r="221" spans="1:23" s="33" customFormat="1" ht="35.25" customHeight="1">
      <c r="A221" s="214"/>
      <c r="B221" s="214">
        <v>754</v>
      </c>
      <c r="C221" s="214"/>
      <c r="D221" s="214"/>
      <c r="E221" s="257" t="s">
        <v>71</v>
      </c>
      <c r="F221" s="334">
        <f>F222+F224</f>
        <v>929860</v>
      </c>
      <c r="G221" s="334">
        <f>G222+G224</f>
        <v>0</v>
      </c>
      <c r="H221" s="334"/>
      <c r="I221" s="334">
        <f>I222+I224</f>
        <v>929860</v>
      </c>
      <c r="J221" s="334">
        <f>J222+J224</f>
        <v>100000</v>
      </c>
      <c r="K221" s="252"/>
      <c r="L221" s="252"/>
      <c r="N221" s="753"/>
      <c r="O221" s="753"/>
      <c r="P221" s="753"/>
      <c r="Q221" s="754"/>
      <c r="R221" s="319"/>
      <c r="S221" s="319"/>
      <c r="T221" s="319"/>
      <c r="U221" s="319"/>
      <c r="V221" s="319"/>
      <c r="W221" s="319"/>
    </row>
    <row r="222" spans="1:23" s="33" customFormat="1" ht="35.25" customHeight="1">
      <c r="A222" s="241"/>
      <c r="B222" s="185"/>
      <c r="C222" s="241">
        <v>75405</v>
      </c>
      <c r="D222" s="361"/>
      <c r="E222" s="280" t="s">
        <v>559</v>
      </c>
      <c r="F222" s="251">
        <f>F223</f>
        <v>210000</v>
      </c>
      <c r="G222" s="251">
        <f>G223</f>
        <v>0</v>
      </c>
      <c r="H222" s="251"/>
      <c r="I222" s="251">
        <f>I223</f>
        <v>210000</v>
      </c>
      <c r="J222" s="251">
        <f>J223</f>
        <v>0</v>
      </c>
      <c r="K222" s="252"/>
      <c r="L222" s="252"/>
      <c r="N222" s="753"/>
      <c r="O222" s="753"/>
      <c r="P222" s="753"/>
      <c r="Q222" s="754"/>
      <c r="R222" s="319"/>
      <c r="S222" s="319"/>
      <c r="T222" s="319"/>
      <c r="U222" s="319"/>
      <c r="V222" s="319"/>
      <c r="W222" s="319"/>
    </row>
    <row r="223" spans="1:23" s="33" customFormat="1" ht="35.25" customHeight="1">
      <c r="A223" s="241">
        <v>151</v>
      </c>
      <c r="B223" s="185"/>
      <c r="C223" s="241"/>
      <c r="D223" s="361">
        <v>6170</v>
      </c>
      <c r="E223" s="280" t="s">
        <v>219</v>
      </c>
      <c r="F223" s="251">
        <f>150000+60000</f>
        <v>210000</v>
      </c>
      <c r="G223" s="251"/>
      <c r="H223" s="251" t="s">
        <v>220</v>
      </c>
      <c r="I223" s="251">
        <f>150000+60000</f>
        <v>210000</v>
      </c>
      <c r="J223" s="251"/>
      <c r="K223" s="252" t="s">
        <v>75</v>
      </c>
      <c r="L223" s="252">
        <v>2013</v>
      </c>
      <c r="N223" s="753"/>
      <c r="O223" s="753"/>
      <c r="P223" s="753"/>
      <c r="Q223" s="754"/>
      <c r="R223" s="319"/>
      <c r="S223" s="319"/>
      <c r="T223" s="319"/>
      <c r="U223" s="319"/>
      <c r="V223" s="319"/>
      <c r="W223" s="319"/>
    </row>
    <row r="224" spans="1:23" s="33" customFormat="1" ht="33" customHeight="1">
      <c r="A224" s="241"/>
      <c r="B224" s="253"/>
      <c r="C224" s="254">
        <v>75411</v>
      </c>
      <c r="D224" s="335"/>
      <c r="E224" s="261" t="s">
        <v>283</v>
      </c>
      <c r="F224" s="251">
        <f>SUM(F225:F230)</f>
        <v>719860</v>
      </c>
      <c r="G224" s="251">
        <f>SUM(G225:G230)</f>
        <v>0</v>
      </c>
      <c r="H224" s="251"/>
      <c r="I224" s="251">
        <f>SUM(I225:I230)</f>
        <v>719860</v>
      </c>
      <c r="J224" s="251">
        <f>SUM(J225:J230)</f>
        <v>100000</v>
      </c>
      <c r="K224" s="252"/>
      <c r="L224" s="252"/>
      <c r="N224" s="753"/>
      <c r="O224" s="753"/>
      <c r="P224" s="753"/>
      <c r="Q224" s="754"/>
      <c r="R224" s="319"/>
      <c r="S224" s="319"/>
      <c r="T224" s="319"/>
      <c r="U224" s="319"/>
      <c r="V224" s="319"/>
      <c r="W224" s="319"/>
    </row>
    <row r="225" spans="1:23" s="33" customFormat="1" ht="105.75" customHeight="1">
      <c r="A225" s="937">
        <v>152</v>
      </c>
      <c r="B225" s="185"/>
      <c r="C225" s="250"/>
      <c r="D225" s="321">
        <v>6050</v>
      </c>
      <c r="E225" s="239" t="s">
        <v>286</v>
      </c>
      <c r="F225" s="281">
        <f>100000+9860</f>
        <v>109860</v>
      </c>
      <c r="G225" s="281">
        <v>0</v>
      </c>
      <c r="H225" s="332" t="s">
        <v>287</v>
      </c>
      <c r="I225" s="251">
        <f>100000+9860</f>
        <v>109860</v>
      </c>
      <c r="J225" s="251"/>
      <c r="K225" s="252" t="s">
        <v>288</v>
      </c>
      <c r="L225" s="252">
        <v>2013</v>
      </c>
      <c r="N225" s="753"/>
      <c r="O225" s="753"/>
      <c r="P225" s="753"/>
      <c r="Q225" s="754"/>
      <c r="R225" s="319"/>
      <c r="S225" s="319"/>
      <c r="T225" s="319"/>
      <c r="U225" s="319"/>
      <c r="V225" s="319"/>
      <c r="W225" s="319"/>
    </row>
    <row r="226" spans="1:23" s="33" customFormat="1" ht="105.75" customHeight="1">
      <c r="A226" s="939"/>
      <c r="B226" s="185"/>
      <c r="C226" s="250"/>
      <c r="D226" s="321">
        <v>6050</v>
      </c>
      <c r="E226" s="239" t="s">
        <v>286</v>
      </c>
      <c r="F226" s="281">
        <f>100000+130000-9860</f>
        <v>220140</v>
      </c>
      <c r="G226" s="281"/>
      <c r="H226" s="332" t="s">
        <v>287</v>
      </c>
      <c r="I226" s="251">
        <f>130000+100000-9860</f>
        <v>220140</v>
      </c>
      <c r="J226" s="251"/>
      <c r="K226" s="252" t="s">
        <v>288</v>
      </c>
      <c r="L226" s="252">
        <v>2013</v>
      </c>
      <c r="N226" s="753"/>
      <c r="O226" s="753"/>
      <c r="P226" s="753"/>
      <c r="Q226" s="754"/>
      <c r="R226" s="319"/>
      <c r="S226" s="319"/>
      <c r="T226" s="319"/>
      <c r="U226" s="319"/>
      <c r="V226" s="319"/>
      <c r="W226" s="319"/>
    </row>
    <row r="227" spans="1:23" s="33" customFormat="1" ht="111.75" customHeight="1">
      <c r="A227" s="939"/>
      <c r="B227" s="185"/>
      <c r="C227" s="250"/>
      <c r="D227" s="321">
        <v>6170</v>
      </c>
      <c r="E227" s="239" t="s">
        <v>286</v>
      </c>
      <c r="F227" s="281">
        <f>100000+130000-9860</f>
        <v>220140</v>
      </c>
      <c r="G227" s="281"/>
      <c r="H227" s="332" t="s">
        <v>287</v>
      </c>
      <c r="I227" s="251">
        <f>130000+100000-9860</f>
        <v>220140</v>
      </c>
      <c r="J227" s="251">
        <v>100000</v>
      </c>
      <c r="K227" s="252" t="s">
        <v>75</v>
      </c>
      <c r="L227" s="252">
        <v>2013</v>
      </c>
      <c r="N227" s="753"/>
      <c r="O227" s="753"/>
      <c r="P227" s="753"/>
      <c r="Q227" s="754"/>
      <c r="R227" s="319"/>
      <c r="S227" s="319"/>
      <c r="T227" s="319"/>
      <c r="U227" s="319"/>
      <c r="V227" s="319"/>
      <c r="W227" s="319"/>
    </row>
    <row r="228" spans="1:23" s="33" customFormat="1" ht="105.75" customHeight="1">
      <c r="A228" s="185">
        <v>153</v>
      </c>
      <c r="B228" s="185"/>
      <c r="C228" s="250"/>
      <c r="D228" s="321">
        <v>6060</v>
      </c>
      <c r="E228" s="239" t="s">
        <v>794</v>
      </c>
      <c r="F228" s="281">
        <v>110000</v>
      </c>
      <c r="G228" s="281"/>
      <c r="H228" s="239" t="s">
        <v>700</v>
      </c>
      <c r="I228" s="251">
        <v>110000</v>
      </c>
      <c r="J228" s="251"/>
      <c r="K228" s="252" t="s">
        <v>288</v>
      </c>
      <c r="L228" s="252">
        <v>2013</v>
      </c>
      <c r="N228" s="753"/>
      <c r="O228" s="753"/>
      <c r="P228" s="753"/>
      <c r="Q228" s="754"/>
      <c r="R228" s="319"/>
      <c r="S228" s="319"/>
      <c r="T228" s="319"/>
      <c r="U228" s="319"/>
      <c r="V228" s="319"/>
      <c r="W228" s="319"/>
    </row>
    <row r="229" spans="1:23" s="33" customFormat="1" ht="111.75" customHeight="1">
      <c r="A229" s="937">
        <v>154</v>
      </c>
      <c r="B229" s="250"/>
      <c r="C229" s="250"/>
      <c r="D229" s="321">
        <v>6050</v>
      </c>
      <c r="E229" s="239" t="s">
        <v>529</v>
      </c>
      <c r="F229" s="281">
        <f>20000+9860</f>
        <v>29860</v>
      </c>
      <c r="G229" s="281"/>
      <c r="H229" s="332" t="s">
        <v>221</v>
      </c>
      <c r="I229" s="442">
        <f>20000+9860</f>
        <v>29860</v>
      </c>
      <c r="J229" s="442"/>
      <c r="K229" s="252" t="s">
        <v>288</v>
      </c>
      <c r="L229" s="252">
        <v>2013</v>
      </c>
      <c r="N229" s="753"/>
      <c r="O229" s="753"/>
      <c r="P229" s="753"/>
      <c r="Q229" s="754"/>
      <c r="R229" s="319"/>
      <c r="S229" s="319"/>
      <c r="T229" s="319"/>
      <c r="U229" s="319"/>
      <c r="V229" s="319"/>
      <c r="W229" s="319"/>
    </row>
    <row r="230" spans="1:23" s="33" customFormat="1" ht="87" customHeight="1">
      <c r="A230" s="936"/>
      <c r="B230" s="250"/>
      <c r="C230" s="250"/>
      <c r="D230" s="321">
        <v>6170</v>
      </c>
      <c r="E230" s="239" t="s">
        <v>529</v>
      </c>
      <c r="F230" s="281">
        <f>20000+9860</f>
        <v>29860</v>
      </c>
      <c r="G230" s="281"/>
      <c r="H230" s="332" t="s">
        <v>221</v>
      </c>
      <c r="I230" s="442">
        <f>20000+9860</f>
        <v>29860</v>
      </c>
      <c r="J230" s="442"/>
      <c r="K230" s="252" t="s">
        <v>75</v>
      </c>
      <c r="L230" s="252">
        <v>2013</v>
      </c>
      <c r="N230" s="753"/>
      <c r="O230" s="753"/>
      <c r="P230" s="753"/>
      <c r="Q230" s="754"/>
      <c r="R230" s="319"/>
      <c r="S230" s="319"/>
      <c r="T230" s="319"/>
      <c r="U230" s="319"/>
      <c r="V230" s="319"/>
      <c r="W230" s="319"/>
    </row>
    <row r="231" spans="1:12" ht="21.75" customHeight="1">
      <c r="A231" s="399"/>
      <c r="B231" s="214">
        <v>758</v>
      </c>
      <c r="C231" s="214"/>
      <c r="D231" s="215"/>
      <c r="E231" s="246" t="s">
        <v>533</v>
      </c>
      <c r="F231" s="247">
        <f>F232</f>
        <v>34338.21999999997</v>
      </c>
      <c r="G231" s="247">
        <f aca="true" t="shared" si="2" ref="G231:J232">G232</f>
        <v>0</v>
      </c>
      <c r="H231" s="247"/>
      <c r="I231" s="247">
        <f t="shared" si="2"/>
        <v>34338.21999999997</v>
      </c>
      <c r="J231" s="247">
        <f t="shared" si="2"/>
        <v>0</v>
      </c>
      <c r="K231" s="211"/>
      <c r="L231" s="211"/>
    </row>
    <row r="232" spans="1:12" ht="22.5" customHeight="1">
      <c r="A232" s="377"/>
      <c r="B232" s="279"/>
      <c r="C232" s="260">
        <v>75818</v>
      </c>
      <c r="D232" s="255"/>
      <c r="E232" s="261" t="s">
        <v>534</v>
      </c>
      <c r="F232" s="262">
        <f>F233</f>
        <v>34338.21999999997</v>
      </c>
      <c r="G232" s="262">
        <f t="shared" si="2"/>
        <v>0</v>
      </c>
      <c r="H232" s="262"/>
      <c r="I232" s="262">
        <f t="shared" si="2"/>
        <v>34338.21999999997</v>
      </c>
      <c r="J232" s="262">
        <f t="shared" si="2"/>
        <v>0</v>
      </c>
      <c r="K232" s="223"/>
      <c r="L232" s="223"/>
    </row>
    <row r="233" spans="1:14" ht="32.25" customHeight="1">
      <c r="A233" s="377"/>
      <c r="B233" s="276"/>
      <c r="C233" s="250"/>
      <c r="D233" s="269">
        <v>6800</v>
      </c>
      <c r="E233" s="280" t="s">
        <v>78</v>
      </c>
      <c r="F233" s="281">
        <f>185000-85000+140536.05-165335+159134.5-99997.33-80000-20000</f>
        <v>34338.21999999997</v>
      </c>
      <c r="G233" s="281"/>
      <c r="H233" s="230"/>
      <c r="I233" s="278">
        <f>185000-85000+140536.05-165335+159134.5-99997.33-80000-20000</f>
        <v>34338.21999999997</v>
      </c>
      <c r="J233" s="278">
        <f>500000-500000</f>
        <v>0</v>
      </c>
      <c r="K233" s="211"/>
      <c r="L233" s="211"/>
      <c r="N233" s="747"/>
    </row>
    <row r="234" spans="1:12" ht="26.25" customHeight="1">
      <c r="A234" s="177"/>
      <c r="B234" s="301">
        <v>801</v>
      </c>
      <c r="C234" s="214"/>
      <c r="D234" s="214"/>
      <c r="E234" s="271" t="s">
        <v>79</v>
      </c>
      <c r="F234" s="247">
        <f>F235+F237+F240+F242</f>
        <v>168491</v>
      </c>
      <c r="G234" s="247">
        <f>G235+G237+G240+G242</f>
        <v>0</v>
      </c>
      <c r="H234" s="247"/>
      <c r="I234" s="247">
        <f>I235+I237+I240+I242</f>
        <v>168491</v>
      </c>
      <c r="J234" s="247">
        <f>J235+J237+J240+J242</f>
        <v>116500</v>
      </c>
      <c r="K234" s="292"/>
      <c r="L234" s="292"/>
    </row>
    <row r="235" spans="1:23" s="342" customFormat="1" ht="26.25" customHeight="1">
      <c r="A235" s="389"/>
      <c r="B235" s="248"/>
      <c r="C235" s="249">
        <v>80120</v>
      </c>
      <c r="D235" s="254"/>
      <c r="E235" s="274" t="s">
        <v>543</v>
      </c>
      <c r="F235" s="222">
        <f>F236</f>
        <v>110000</v>
      </c>
      <c r="G235" s="222">
        <f>G236</f>
        <v>0</v>
      </c>
      <c r="H235" s="222"/>
      <c r="I235" s="222">
        <f>I236</f>
        <v>110000</v>
      </c>
      <c r="J235" s="222">
        <f>J236</f>
        <v>110000</v>
      </c>
      <c r="K235" s="223"/>
      <c r="L235" s="223"/>
      <c r="N235" s="735"/>
      <c r="O235" s="735"/>
      <c r="P235" s="735"/>
      <c r="Q235" s="735"/>
      <c r="R235" s="735"/>
      <c r="S235" s="735"/>
      <c r="T235" s="735"/>
      <c r="U235" s="735"/>
      <c r="V235" s="735"/>
      <c r="W235" s="735"/>
    </row>
    <row r="236" spans="1:23" s="736" customFormat="1" ht="35.25" customHeight="1">
      <c r="A236" s="241">
        <v>155</v>
      </c>
      <c r="B236" s="185"/>
      <c r="C236" s="307"/>
      <c r="D236" s="241">
        <v>6050</v>
      </c>
      <c r="E236" s="388" t="s">
        <v>570</v>
      </c>
      <c r="F236" s="240">
        <v>110000</v>
      </c>
      <c r="G236" s="240"/>
      <c r="H236" s="240" t="s">
        <v>577</v>
      </c>
      <c r="I236" s="240">
        <v>110000</v>
      </c>
      <c r="J236" s="240">
        <v>110000</v>
      </c>
      <c r="K236" s="211" t="s">
        <v>542</v>
      </c>
      <c r="L236" s="211">
        <v>2013</v>
      </c>
      <c r="N236" s="738"/>
      <c r="O236" s="738"/>
      <c r="P236" s="738"/>
      <c r="Q236" s="738"/>
      <c r="R236" s="738"/>
      <c r="S236" s="738"/>
      <c r="T236" s="738"/>
      <c r="U236" s="738"/>
      <c r="V236" s="738"/>
      <c r="W236" s="738"/>
    </row>
    <row r="237" spans="1:23" s="342" customFormat="1" ht="27.75" customHeight="1">
      <c r="A237" s="254"/>
      <c r="B237" s="253"/>
      <c r="C237" s="920">
        <v>80130</v>
      </c>
      <c r="D237" s="254"/>
      <c r="E237" s="274" t="s">
        <v>109</v>
      </c>
      <c r="F237" s="222">
        <f>F238+F239</f>
        <v>35386</v>
      </c>
      <c r="G237" s="222">
        <f>G238+G239</f>
        <v>0</v>
      </c>
      <c r="H237" s="222"/>
      <c r="I237" s="222">
        <f>I238+I239</f>
        <v>35386</v>
      </c>
      <c r="J237" s="222">
        <f>J238+J239</f>
        <v>0</v>
      </c>
      <c r="K237" s="223"/>
      <c r="L237" s="223"/>
      <c r="N237" s="735"/>
      <c r="O237" s="735"/>
      <c r="P237" s="735"/>
      <c r="Q237" s="735"/>
      <c r="R237" s="735"/>
      <c r="S237" s="735"/>
      <c r="T237" s="735"/>
      <c r="U237" s="735"/>
      <c r="V237" s="735"/>
      <c r="W237" s="735"/>
    </row>
    <row r="238" spans="1:23" s="921" customFormat="1" ht="42.75" customHeight="1">
      <c r="A238" s="241"/>
      <c r="B238" s="306"/>
      <c r="C238" s="177"/>
      <c r="D238" s="923">
        <v>6050</v>
      </c>
      <c r="E238" s="924" t="s">
        <v>422</v>
      </c>
      <c r="F238" s="759">
        <v>24506</v>
      </c>
      <c r="G238" s="759"/>
      <c r="H238" s="759"/>
      <c r="I238" s="759">
        <v>24506</v>
      </c>
      <c r="J238" s="759"/>
      <c r="K238" s="925" t="s">
        <v>111</v>
      </c>
      <c r="L238" s="762">
        <v>2013</v>
      </c>
      <c r="N238" s="922"/>
      <c r="O238" s="922"/>
      <c r="P238" s="922"/>
      <c r="Q238" s="922"/>
      <c r="R238" s="922"/>
      <c r="S238" s="922"/>
      <c r="T238" s="922"/>
      <c r="U238" s="922"/>
      <c r="V238" s="922"/>
      <c r="W238" s="922"/>
    </row>
    <row r="239" spans="1:23" s="736" customFormat="1" ht="55.5" customHeight="1">
      <c r="A239" s="241"/>
      <c r="B239" s="306"/>
      <c r="C239" s="195"/>
      <c r="D239" s="307">
        <v>6050</v>
      </c>
      <c r="E239" s="388" t="s">
        <v>110</v>
      </c>
      <c r="F239" s="240">
        <v>10880</v>
      </c>
      <c r="G239" s="240"/>
      <c r="H239" s="240" t="s">
        <v>112</v>
      </c>
      <c r="I239" s="240">
        <v>10880</v>
      </c>
      <c r="J239" s="240"/>
      <c r="K239" s="252" t="s">
        <v>111</v>
      </c>
      <c r="L239" s="211">
        <v>2013</v>
      </c>
      <c r="N239" s="738"/>
      <c r="O239" s="738"/>
      <c r="P239" s="738"/>
      <c r="Q239" s="738"/>
      <c r="R239" s="738"/>
      <c r="S239" s="738"/>
      <c r="T239" s="738"/>
      <c r="U239" s="738"/>
      <c r="V239" s="738"/>
      <c r="W239" s="738"/>
    </row>
    <row r="240" spans="1:23" s="736" customFormat="1" ht="45" customHeight="1">
      <c r="A240" s="241">
        <v>156</v>
      </c>
      <c r="B240" s="185"/>
      <c r="C240" s="277">
        <v>80140</v>
      </c>
      <c r="D240" s="241"/>
      <c r="E240" s="388" t="s">
        <v>578</v>
      </c>
      <c r="F240" s="240">
        <f>F241</f>
        <v>16605</v>
      </c>
      <c r="G240" s="240">
        <f>G241</f>
        <v>0</v>
      </c>
      <c r="H240" s="240"/>
      <c r="I240" s="240">
        <f>I241</f>
        <v>16605</v>
      </c>
      <c r="J240" s="240">
        <f>J241</f>
        <v>0</v>
      </c>
      <c r="K240" s="211"/>
      <c r="L240" s="211"/>
      <c r="N240" s="738"/>
      <c r="O240" s="738"/>
      <c r="P240" s="738"/>
      <c r="Q240" s="738"/>
      <c r="R240" s="738"/>
      <c r="S240" s="738"/>
      <c r="T240" s="738"/>
      <c r="U240" s="738"/>
      <c r="V240" s="738"/>
      <c r="W240" s="738"/>
    </row>
    <row r="241" spans="1:23" s="736" customFormat="1" ht="41.25" customHeight="1">
      <c r="A241" s="241">
        <v>157</v>
      </c>
      <c r="B241" s="185"/>
      <c r="C241" s="307"/>
      <c r="D241" s="241">
        <v>6050</v>
      </c>
      <c r="E241" s="388" t="s">
        <v>571</v>
      </c>
      <c r="F241" s="240">
        <f>200000-183395</f>
        <v>16605</v>
      </c>
      <c r="G241" s="240"/>
      <c r="H241" s="240" t="s">
        <v>2</v>
      </c>
      <c r="I241" s="240">
        <f>200000-183395</f>
        <v>16605</v>
      </c>
      <c r="J241" s="240"/>
      <c r="K241" s="211" t="s">
        <v>541</v>
      </c>
      <c r="L241" s="211">
        <v>2013</v>
      </c>
      <c r="N241" s="738"/>
      <c r="O241" s="738"/>
      <c r="P241" s="738"/>
      <c r="Q241" s="738"/>
      <c r="R241" s="738"/>
      <c r="S241" s="738"/>
      <c r="T241" s="738"/>
      <c r="U241" s="738"/>
      <c r="V241" s="738"/>
      <c r="W241" s="738"/>
    </row>
    <row r="242" spans="1:12" ht="32.25" customHeight="1">
      <c r="A242" s="177"/>
      <c r="B242" s="250"/>
      <c r="C242" s="249">
        <v>80146</v>
      </c>
      <c r="D242" s="254"/>
      <c r="E242" s="336" t="s">
        <v>289</v>
      </c>
      <c r="F242" s="222">
        <f>F243</f>
        <v>6500</v>
      </c>
      <c r="G242" s="222">
        <f>G243</f>
        <v>0</v>
      </c>
      <c r="H242" s="222"/>
      <c r="I242" s="222">
        <f>I243</f>
        <v>6500</v>
      </c>
      <c r="J242" s="222">
        <f>J243</f>
        <v>6500</v>
      </c>
      <c r="K242" s="223"/>
      <c r="L242" s="223"/>
    </row>
    <row r="243" spans="1:12" ht="53.25" customHeight="1">
      <c r="A243" s="241">
        <v>157</v>
      </c>
      <c r="B243" s="277"/>
      <c r="C243" s="287"/>
      <c r="D243" s="177">
        <v>6050</v>
      </c>
      <c r="E243" s="337" t="s">
        <v>290</v>
      </c>
      <c r="F243" s="338">
        <v>6500</v>
      </c>
      <c r="G243" s="339">
        <v>0</v>
      </c>
      <c r="H243" s="340" t="s">
        <v>291</v>
      </c>
      <c r="I243" s="278">
        <v>6500</v>
      </c>
      <c r="J243" s="278">
        <v>6500</v>
      </c>
      <c r="K243" s="211" t="s">
        <v>292</v>
      </c>
      <c r="L243" s="211">
        <v>2013</v>
      </c>
    </row>
    <row r="244" spans="1:23" s="293" customFormat="1" ht="28.5" customHeight="1">
      <c r="A244" s="245"/>
      <c r="B244" s="276">
        <v>852</v>
      </c>
      <c r="C244" s="214"/>
      <c r="D244" s="214"/>
      <c r="E244" s="290" t="s">
        <v>293</v>
      </c>
      <c r="F244" s="272">
        <f>F245</f>
        <v>84000</v>
      </c>
      <c r="G244" s="272">
        <f aca="true" t="shared" si="3" ref="G244:J245">G245</f>
        <v>0</v>
      </c>
      <c r="H244" s="272"/>
      <c r="I244" s="272">
        <f t="shared" si="3"/>
        <v>84000</v>
      </c>
      <c r="J244" s="272">
        <f t="shared" si="3"/>
        <v>0</v>
      </c>
      <c r="K244" s="292"/>
      <c r="L244" s="292"/>
      <c r="N244" s="745"/>
      <c r="O244" s="745"/>
      <c r="P244" s="745"/>
      <c r="Q244" s="745"/>
      <c r="R244" s="745"/>
      <c r="S244" s="745"/>
      <c r="T244" s="745"/>
      <c r="U244" s="745"/>
      <c r="V244" s="745"/>
      <c r="W244" s="745"/>
    </row>
    <row r="245" spans="1:23" s="342" customFormat="1" ht="24" customHeight="1">
      <c r="A245" s="621"/>
      <c r="B245" s="248"/>
      <c r="C245" s="341">
        <v>85202</v>
      </c>
      <c r="D245" s="254"/>
      <c r="E245" s="294" t="s">
        <v>294</v>
      </c>
      <c r="F245" s="275">
        <f>F246+F247</f>
        <v>84000</v>
      </c>
      <c r="G245" s="275">
        <f t="shared" si="3"/>
        <v>0</v>
      </c>
      <c r="H245" s="275"/>
      <c r="I245" s="275">
        <f>I246+I247</f>
        <v>84000</v>
      </c>
      <c r="J245" s="275">
        <f t="shared" si="3"/>
        <v>0</v>
      </c>
      <c r="K245" s="223"/>
      <c r="L245" s="223"/>
      <c r="N245" s="735"/>
      <c r="O245" s="735"/>
      <c r="P245" s="735"/>
      <c r="Q245" s="735"/>
      <c r="R245" s="735"/>
      <c r="S245" s="735"/>
      <c r="T245" s="735"/>
      <c r="U245" s="735"/>
      <c r="V245" s="735"/>
      <c r="W245" s="735"/>
    </row>
    <row r="246" spans="1:12" ht="42" customHeight="1">
      <c r="A246" s="241">
        <v>159</v>
      </c>
      <c r="B246" s="185"/>
      <c r="C246" s="243"/>
      <c r="D246" s="241">
        <v>6060</v>
      </c>
      <c r="E246" s="228" t="s">
        <v>295</v>
      </c>
      <c r="F246" s="339">
        <f>84000-3600</f>
        <v>80400</v>
      </c>
      <c r="G246" s="339"/>
      <c r="H246" s="230" t="s">
        <v>296</v>
      </c>
      <c r="I246" s="278">
        <f>84000-3600</f>
        <v>80400</v>
      </c>
      <c r="J246" s="244"/>
      <c r="K246" s="211" t="s">
        <v>297</v>
      </c>
      <c r="L246" s="211">
        <v>2013</v>
      </c>
    </row>
    <row r="247" spans="1:12" ht="42" customHeight="1">
      <c r="A247" s="241">
        <v>160</v>
      </c>
      <c r="B247" s="195"/>
      <c r="C247" s="243"/>
      <c r="D247" s="269">
        <v>6060</v>
      </c>
      <c r="E247" s="239" t="s">
        <v>544</v>
      </c>
      <c r="F247" s="240">
        <v>3600</v>
      </c>
      <c r="G247" s="240"/>
      <c r="H247" s="236" t="s">
        <v>545</v>
      </c>
      <c r="I247" s="244">
        <v>3600</v>
      </c>
      <c r="J247" s="244"/>
      <c r="K247" s="211" t="s">
        <v>297</v>
      </c>
      <c r="L247" s="211">
        <v>2013</v>
      </c>
    </row>
    <row r="248" spans="1:12" ht="24" customHeight="1">
      <c r="A248" s="214"/>
      <c r="B248" s="622">
        <v>926</v>
      </c>
      <c r="C248" s="214"/>
      <c r="D248" s="215"/>
      <c r="E248" s="246" t="s">
        <v>249</v>
      </c>
      <c r="F248" s="247">
        <f>F249</f>
        <v>1872921</v>
      </c>
      <c r="G248" s="247">
        <f>G249</f>
        <v>0</v>
      </c>
      <c r="H248" s="247"/>
      <c r="I248" s="247">
        <f>I249</f>
        <v>528121</v>
      </c>
      <c r="J248" s="247">
        <f>J249</f>
        <v>100000</v>
      </c>
      <c r="K248" s="211"/>
      <c r="L248" s="211"/>
    </row>
    <row r="249" spans="1:12" ht="24" customHeight="1">
      <c r="A249" s="283"/>
      <c r="B249" s="279"/>
      <c r="C249" s="260">
        <v>92601</v>
      </c>
      <c r="D249" s="255"/>
      <c r="E249" s="221" t="s">
        <v>250</v>
      </c>
      <c r="F249" s="222">
        <f>SUM(F250:F250)</f>
        <v>1872921</v>
      </c>
      <c r="G249" s="222">
        <f>SUM(G250:G250)</f>
        <v>0</v>
      </c>
      <c r="H249" s="222"/>
      <c r="I249" s="222">
        <f>SUM(I250:I250)</f>
        <v>528121</v>
      </c>
      <c r="J249" s="222">
        <f>SUM(J250:J250)</f>
        <v>100000</v>
      </c>
      <c r="K249" s="223"/>
      <c r="L249" s="223"/>
    </row>
    <row r="250" spans="1:12" ht="38.25" customHeight="1">
      <c r="A250" s="306">
        <v>161</v>
      </c>
      <c r="B250" s="273"/>
      <c r="C250" s="218"/>
      <c r="D250" s="321">
        <v>6050</v>
      </c>
      <c r="E250" s="234" t="s">
        <v>298</v>
      </c>
      <c r="F250" s="240">
        <f>50000+450000+1000000+28121+347300-2500</f>
        <v>1872921</v>
      </c>
      <c r="G250" s="240">
        <v>0</v>
      </c>
      <c r="H250" s="230" t="s">
        <v>299</v>
      </c>
      <c r="I250" s="240">
        <f>450000+50000+28121</f>
        <v>528121</v>
      </c>
      <c r="J250" s="240">
        <v>100000</v>
      </c>
      <c r="K250" s="211" t="s">
        <v>21</v>
      </c>
      <c r="L250" s="252" t="s">
        <v>300</v>
      </c>
    </row>
    <row r="251" spans="1:15" ht="28.5" customHeight="1">
      <c r="A251" s="214"/>
      <c r="B251" s="343" t="s">
        <v>721</v>
      </c>
      <c r="C251" s="344"/>
      <c r="D251" s="345"/>
      <c r="E251" s="346"/>
      <c r="F251" s="328">
        <f>F13+F191</f>
        <v>90197722.78999999</v>
      </c>
      <c r="G251" s="328">
        <f>G13+G191</f>
        <v>23804561.88</v>
      </c>
      <c r="H251" s="328"/>
      <c r="I251" s="328">
        <f>I13+I191</f>
        <v>47627686.08</v>
      </c>
      <c r="J251" s="328">
        <f>J13+J191</f>
        <v>5513303</v>
      </c>
      <c r="K251" s="347"/>
      <c r="L251" s="347"/>
      <c r="N251" s="732"/>
      <c r="O251" s="732"/>
    </row>
    <row r="252" spans="1:15" ht="21.75" customHeight="1">
      <c r="A252" s="154"/>
      <c r="B252" s="162"/>
      <c r="C252" s="162"/>
      <c r="D252" s="154"/>
      <c r="E252" s="156"/>
      <c r="F252" s="348"/>
      <c r="G252" s="348"/>
      <c r="H252" s="162"/>
      <c r="I252" s="3"/>
      <c r="J252" s="3"/>
      <c r="K252" s="158"/>
      <c r="L252" s="158"/>
      <c r="N252" s="733"/>
      <c r="O252" s="733"/>
    </row>
    <row r="253" spans="1:15" ht="22.5" customHeight="1">
      <c r="A253" s="154"/>
      <c r="B253" s="155"/>
      <c r="C253" s="155"/>
      <c r="D253" s="154"/>
      <c r="G253" s="156"/>
      <c r="H253" s="156"/>
      <c r="I253" s="4"/>
      <c r="J253" s="4"/>
      <c r="K253" s="169"/>
      <c r="L253" s="158"/>
      <c r="N253" s="747"/>
      <c r="O253" s="755"/>
    </row>
    <row r="254" spans="1:15" ht="12.75">
      <c r="A254" s="154"/>
      <c r="B254" s="155"/>
      <c r="C254" s="155"/>
      <c r="D254" s="154"/>
      <c r="G254" s="156"/>
      <c r="H254" s="156"/>
      <c r="I254" s="4"/>
      <c r="J254" s="4"/>
      <c r="K254" s="169"/>
      <c r="L254" s="158"/>
      <c r="M254" s="212"/>
      <c r="N254" s="747"/>
      <c r="O254" s="747"/>
    </row>
    <row r="255" spans="8:15" ht="12.75">
      <c r="H255" s="349"/>
      <c r="I255" s="231"/>
      <c r="J255" s="212"/>
      <c r="K255" s="212"/>
      <c r="N255" s="747"/>
      <c r="O255" s="747"/>
    </row>
    <row r="256" spans="8:15" ht="12.75">
      <c r="H256" s="231"/>
      <c r="I256" s="350"/>
      <c r="J256" s="212"/>
      <c r="K256" s="212"/>
      <c r="N256" s="747"/>
      <c r="O256" s="747"/>
    </row>
    <row r="257" spans="8:15" ht="12.75">
      <c r="H257" s="212"/>
      <c r="I257" s="212"/>
      <c r="J257" s="212"/>
      <c r="K257" s="212"/>
      <c r="N257" s="747"/>
      <c r="O257" s="747"/>
    </row>
    <row r="258" spans="8:15" ht="12.75">
      <c r="H258" s="212"/>
      <c r="I258" s="212"/>
      <c r="J258" s="212"/>
      <c r="K258" s="212"/>
      <c r="N258" s="747"/>
      <c r="O258" s="747"/>
    </row>
    <row r="259" spans="8:11" ht="12.75">
      <c r="H259" s="212"/>
      <c r="I259" s="212"/>
      <c r="J259" s="212"/>
      <c r="K259" s="212"/>
    </row>
    <row r="260" spans="8:11" ht="12.75">
      <c r="H260" s="212"/>
      <c r="I260" s="212"/>
      <c r="J260" s="212"/>
      <c r="K260" s="212"/>
    </row>
    <row r="261" spans="8:11" ht="12.75">
      <c r="H261" s="212"/>
      <c r="I261" s="212"/>
      <c r="J261" s="212"/>
      <c r="K261" s="212"/>
    </row>
    <row r="262" spans="8:11" ht="12.75">
      <c r="H262" s="212"/>
      <c r="I262" s="212"/>
      <c r="J262" s="212"/>
      <c r="K262" s="212"/>
    </row>
    <row r="263" spans="8:11" ht="12.75">
      <c r="H263" s="212"/>
      <c r="I263" s="212"/>
      <c r="J263" s="212"/>
      <c r="K263" s="212"/>
    </row>
    <row r="264" spans="8:11" ht="12.75">
      <c r="H264" s="212"/>
      <c r="I264" s="212"/>
      <c r="J264" s="212"/>
      <c r="K264" s="212"/>
    </row>
    <row r="265" spans="8:11" ht="12.75">
      <c r="H265" s="212"/>
      <c r="I265" s="212"/>
      <c r="J265" s="212"/>
      <c r="K265" s="212"/>
    </row>
    <row r="266" spans="8:11" ht="12.75">
      <c r="H266" s="212"/>
      <c r="I266" s="212"/>
      <c r="J266" s="212"/>
      <c r="K266" s="212"/>
    </row>
  </sheetData>
  <sheetProtection/>
  <mergeCells count="5">
    <mergeCell ref="A142:A143"/>
    <mergeCell ref="A173:A174"/>
    <mergeCell ref="A229:A230"/>
    <mergeCell ref="A144:A145"/>
    <mergeCell ref="A225:A227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14"/>
  <sheetViews>
    <sheetView zoomScalePageLayoutView="0" workbookViewId="0" topLeftCell="A1">
      <selection activeCell="B50" sqref="B50"/>
    </sheetView>
  </sheetViews>
  <sheetFormatPr defaultColWidth="9.140625" defaultRowHeight="12.75"/>
  <cols>
    <col min="1" max="1" width="5.7109375" style="2" customWidth="1"/>
    <col min="2" max="2" width="38.57421875" style="2" customWidth="1"/>
    <col min="3" max="3" width="18.00390625" style="2" customWidth="1"/>
    <col min="4" max="4" width="8.7109375" style="2" customWidth="1"/>
    <col min="5" max="5" width="13.57421875" style="2" customWidth="1"/>
    <col min="6" max="6" width="15.140625" style="2" customWidth="1"/>
    <col min="7" max="7" width="13.57421875" style="500" customWidth="1"/>
    <col min="8" max="8" width="18.140625" style="500" customWidth="1"/>
    <col min="9" max="9" width="23.00390625" style="500" customWidth="1"/>
    <col min="10" max="10" width="20.28125" style="449" customWidth="1"/>
    <col min="11" max="11" width="18.140625" style="67" customWidth="1"/>
    <col min="12" max="12" width="15.7109375" style="67" customWidth="1"/>
    <col min="13" max="13" width="10.140625" style="67" bestFit="1" customWidth="1"/>
    <col min="14" max="14" width="9.140625" style="67" customWidth="1"/>
    <col min="15" max="16384" width="9.140625" style="2" customWidth="1"/>
  </cols>
  <sheetData>
    <row r="1" spans="3:4" ht="20.25">
      <c r="C1" s="157" t="s">
        <v>204</v>
      </c>
      <c r="D1" s="499"/>
    </row>
    <row r="2" spans="3:4" ht="18.75">
      <c r="C2" s="159" t="s">
        <v>486</v>
      </c>
      <c r="D2" s="499"/>
    </row>
    <row r="3" spans="3:4" ht="18.75">
      <c r="C3" s="159" t="s">
        <v>822</v>
      </c>
      <c r="D3" s="499"/>
    </row>
    <row r="4" spans="3:4" ht="18.75">
      <c r="C4" s="159" t="s">
        <v>487</v>
      </c>
      <c r="D4" s="499"/>
    </row>
    <row r="5" spans="3:4" ht="18.75">
      <c r="C5" s="499"/>
      <c r="D5" s="499"/>
    </row>
    <row r="6" spans="1:13" ht="18.75">
      <c r="A6" s="499"/>
      <c r="B6" s="499"/>
      <c r="C6" s="499"/>
      <c r="D6" s="499"/>
      <c r="E6" s="499"/>
      <c r="F6" s="499"/>
      <c r="G6" s="501"/>
      <c r="H6" s="501"/>
      <c r="I6" s="501"/>
      <c r="J6" s="502"/>
      <c r="K6" s="503"/>
      <c r="L6" s="503"/>
      <c r="M6" s="503"/>
    </row>
    <row r="7" spans="1:13" ht="20.25">
      <c r="A7" s="499"/>
      <c r="B7" s="504" t="s">
        <v>637</v>
      </c>
      <c r="C7" s="499"/>
      <c r="D7" s="499"/>
      <c r="E7" s="499"/>
      <c r="F7" s="499"/>
      <c r="G7" s="501"/>
      <c r="H7" s="501"/>
      <c r="I7" s="501"/>
      <c r="J7" s="502"/>
      <c r="K7" s="503"/>
      <c r="L7" s="503"/>
      <c r="M7" s="503"/>
    </row>
    <row r="8" spans="1:13" ht="20.25">
      <c r="A8" s="505"/>
      <c r="B8" s="504" t="s">
        <v>638</v>
      </c>
      <c r="C8" s="5"/>
      <c r="D8" s="6"/>
      <c r="E8" s="5"/>
      <c r="F8" s="5"/>
      <c r="G8" s="506"/>
      <c r="H8" s="506"/>
      <c r="I8" s="506"/>
      <c r="J8" s="507"/>
      <c r="K8" s="7"/>
      <c r="L8" s="503"/>
      <c r="M8" s="503"/>
    </row>
    <row r="9" spans="1:13" ht="20.25">
      <c r="A9" s="505"/>
      <c r="B9" s="504" t="s">
        <v>639</v>
      </c>
      <c r="C9" s="5"/>
      <c r="D9" s="6"/>
      <c r="E9" s="5"/>
      <c r="F9" s="5"/>
      <c r="G9" s="506"/>
      <c r="H9" s="506"/>
      <c r="I9" s="506"/>
      <c r="J9" s="507"/>
      <c r="K9" s="7"/>
      <c r="L9" s="503"/>
      <c r="M9" s="503"/>
    </row>
    <row r="10" spans="1:13" ht="18.75">
      <c r="A10" s="505"/>
      <c r="B10" s="23"/>
      <c r="C10" s="23"/>
      <c r="D10" s="508"/>
      <c r="E10" s="5"/>
      <c r="F10" s="5"/>
      <c r="G10" s="506"/>
      <c r="H10" s="506"/>
      <c r="I10" s="506"/>
      <c r="J10" s="507"/>
      <c r="K10" s="7"/>
      <c r="L10" s="503"/>
      <c r="M10" s="503"/>
    </row>
    <row r="11" spans="1:13" ht="18.75">
      <c r="A11" s="505"/>
      <c r="B11" s="5"/>
      <c r="C11" s="5"/>
      <c r="D11" s="6"/>
      <c r="E11" s="5"/>
      <c r="F11" s="509" t="s">
        <v>831</v>
      </c>
      <c r="G11" s="506"/>
      <c r="H11" s="506"/>
      <c r="I11" s="506"/>
      <c r="J11" s="507"/>
      <c r="K11" s="7"/>
      <c r="L11" s="503"/>
      <c r="M11" s="503"/>
    </row>
    <row r="12" spans="1:13" ht="29.25" customHeight="1">
      <c r="A12" s="510"/>
      <c r="B12" s="511"/>
      <c r="C12" s="511"/>
      <c r="D12" s="512"/>
      <c r="E12" s="513" t="s">
        <v>640</v>
      </c>
      <c r="F12" s="514"/>
      <c r="G12" s="506"/>
      <c r="H12" s="506"/>
      <c r="I12" s="506"/>
      <c r="J12" s="507"/>
      <c r="K12" s="7"/>
      <c r="L12" s="503"/>
      <c r="M12" s="503"/>
    </row>
    <row r="13" spans="1:14" s="526" customFormat="1" ht="41.25" customHeight="1">
      <c r="A13" s="515" t="s">
        <v>462</v>
      </c>
      <c r="B13" s="516" t="s">
        <v>617</v>
      </c>
      <c r="C13" s="517" t="s">
        <v>618</v>
      </c>
      <c r="D13" s="517" t="s">
        <v>619</v>
      </c>
      <c r="E13" s="518" t="s">
        <v>620</v>
      </c>
      <c r="F13" s="519" t="s">
        <v>641</v>
      </c>
      <c r="G13" s="520"/>
      <c r="H13" s="521"/>
      <c r="I13" s="522"/>
      <c r="J13" s="523"/>
      <c r="K13" s="7"/>
      <c r="L13" s="524"/>
      <c r="M13" s="524"/>
      <c r="N13" s="525"/>
    </row>
    <row r="14" spans="1:14" s="526" customFormat="1" ht="27.75" customHeight="1">
      <c r="A14" s="527" t="s">
        <v>621</v>
      </c>
      <c r="B14" s="528"/>
      <c r="C14" s="529"/>
      <c r="D14" s="529"/>
      <c r="E14" s="530">
        <f>E17+E20+E23+E26+E29+E35+E38+E41+E44+E47+E50+E53+E56+E59+E68</f>
        <v>786567.128</v>
      </c>
      <c r="F14" s="531">
        <f>F17+F20+F23+F26+F29+F32+F35+F38+F41+F44+F47+F50+F53+F56+F59+F62+F65+F68+F71</f>
        <v>5708908.4399999995</v>
      </c>
      <c r="G14" s="520"/>
      <c r="H14" s="521">
        <f>E14+F14</f>
        <v>6495475.568</v>
      </c>
      <c r="I14" s="521"/>
      <c r="J14" s="532"/>
      <c r="K14" s="7"/>
      <c r="L14" s="524"/>
      <c r="M14" s="524"/>
      <c r="N14" s="525"/>
    </row>
    <row r="15" spans="1:11" ht="42" customHeight="1">
      <c r="A15" s="533">
        <v>1</v>
      </c>
      <c r="B15" s="477" t="s">
        <v>623</v>
      </c>
      <c r="C15" s="534" t="s">
        <v>642</v>
      </c>
      <c r="D15" s="472"/>
      <c r="E15" s="535"/>
      <c r="F15" s="536"/>
      <c r="H15" s="521"/>
      <c r="I15" s="537"/>
      <c r="J15" s="538"/>
      <c r="K15" s="362"/>
    </row>
    <row r="16" spans="1:11" ht="36.75" customHeight="1">
      <c r="A16" s="480"/>
      <c r="B16" s="539" t="s">
        <v>643</v>
      </c>
      <c r="C16" s="482"/>
      <c r="D16" s="474"/>
      <c r="E16" s="540"/>
      <c r="F16" s="452"/>
      <c r="H16" s="521"/>
      <c r="I16" s="541"/>
      <c r="J16" s="156"/>
      <c r="K16" s="362"/>
    </row>
    <row r="17" spans="1:11" ht="79.5" customHeight="1">
      <c r="A17" s="480"/>
      <c r="B17" s="450" t="s">
        <v>644</v>
      </c>
      <c r="C17" s="542"/>
      <c r="D17" s="486" t="s">
        <v>245</v>
      </c>
      <c r="E17" s="726">
        <f>33715.95-4974</f>
        <v>28741.949999999997</v>
      </c>
      <c r="F17" s="726">
        <f>250886+60195.44-33715.95-32031</f>
        <v>245334.49</v>
      </c>
      <c r="H17" s="713"/>
      <c r="I17" s="541"/>
      <c r="J17" s="156"/>
      <c r="K17" s="362"/>
    </row>
    <row r="18" spans="1:9" ht="41.25" customHeight="1">
      <c r="A18" s="471">
        <v>2</v>
      </c>
      <c r="B18" s="477" t="s">
        <v>623</v>
      </c>
      <c r="C18" s="543" t="s">
        <v>645</v>
      </c>
      <c r="D18" s="496"/>
      <c r="E18" s="451"/>
      <c r="F18" s="451"/>
      <c r="H18" s="713"/>
      <c r="I18" s="541"/>
    </row>
    <row r="19" spans="1:9" ht="37.5" customHeight="1">
      <c r="A19" s="480"/>
      <c r="B19" s="544" t="s">
        <v>646</v>
      </c>
      <c r="C19" s="473"/>
      <c r="D19" s="496"/>
      <c r="E19" s="452"/>
      <c r="F19" s="452"/>
      <c r="H19" s="521"/>
      <c r="I19" s="541"/>
    </row>
    <row r="20" spans="1:9" ht="72.75" customHeight="1">
      <c r="A20" s="475"/>
      <c r="B20" s="491" t="s">
        <v>647</v>
      </c>
      <c r="C20" s="476"/>
      <c r="D20" s="493" t="s">
        <v>245</v>
      </c>
      <c r="E20" s="360">
        <v>5382</v>
      </c>
      <c r="F20" s="360">
        <f>30498+19279.53</f>
        <v>49777.53</v>
      </c>
      <c r="H20" s="521"/>
      <c r="I20" s="545"/>
    </row>
    <row r="21" spans="1:13" s="33" customFormat="1" ht="56.25" customHeight="1">
      <c r="A21" s="471">
        <v>3</v>
      </c>
      <c r="B21" s="477" t="s">
        <v>623</v>
      </c>
      <c r="C21" s="546" t="s">
        <v>648</v>
      </c>
      <c r="D21" s="494"/>
      <c r="E21" s="479"/>
      <c r="F21" s="547"/>
      <c r="G21" s="483"/>
      <c r="H21" s="521"/>
      <c r="I21" s="545"/>
      <c r="J21" s="532"/>
      <c r="K21" s="548"/>
      <c r="L21" s="549"/>
      <c r="M21" s="549"/>
    </row>
    <row r="22" spans="1:13" s="33" customFormat="1" ht="39.75" customHeight="1">
      <c r="A22" s="480"/>
      <c r="B22" s="544" t="s">
        <v>646</v>
      </c>
      <c r="C22" s="542"/>
      <c r="D22" s="496"/>
      <c r="E22" s="484"/>
      <c r="F22" s="550"/>
      <c r="G22" s="483"/>
      <c r="H22" s="521"/>
      <c r="I22" s="545"/>
      <c r="J22" s="532"/>
      <c r="K22" s="548"/>
      <c r="L22" s="549"/>
      <c r="M22" s="549"/>
    </row>
    <row r="23" spans="1:13" s="33" customFormat="1" ht="56.25" customHeight="1">
      <c r="A23" s="480"/>
      <c r="B23" s="491" t="s">
        <v>654</v>
      </c>
      <c r="C23" s="542"/>
      <c r="D23" s="493" t="s">
        <v>628</v>
      </c>
      <c r="E23" s="487">
        <v>1540.61</v>
      </c>
      <c r="F23" s="551">
        <v>10459.39</v>
      </c>
      <c r="G23" s="483"/>
      <c r="H23" s="521"/>
      <c r="I23" s="545"/>
      <c r="J23" s="532"/>
      <c r="K23" s="548"/>
      <c r="L23" s="549"/>
      <c r="M23" s="549"/>
    </row>
    <row r="24" spans="1:13" s="33" customFormat="1" ht="44.25" customHeight="1">
      <c r="A24" s="471">
        <v>4</v>
      </c>
      <c r="B24" s="477" t="s">
        <v>623</v>
      </c>
      <c r="C24" s="488" t="s">
        <v>624</v>
      </c>
      <c r="D24" s="494"/>
      <c r="E24" s="495"/>
      <c r="F24" s="479"/>
      <c r="G24" s="483"/>
      <c r="H24" s="521"/>
      <c r="I24" s="545"/>
      <c r="J24" s="532"/>
      <c r="K24" s="548"/>
      <c r="L24" s="549"/>
      <c r="M24" s="549"/>
    </row>
    <row r="25" spans="1:13" s="33" customFormat="1" ht="77.25" customHeight="1">
      <c r="A25" s="480"/>
      <c r="B25" s="481" t="s">
        <v>627</v>
      </c>
      <c r="C25" s="482"/>
      <c r="D25" s="496"/>
      <c r="E25" s="497"/>
      <c r="F25" s="484"/>
      <c r="G25" s="483"/>
      <c r="H25" s="521"/>
      <c r="I25" s="545"/>
      <c r="J25" s="532"/>
      <c r="K25" s="548"/>
      <c r="L25" s="549"/>
      <c r="M25" s="549"/>
    </row>
    <row r="26" spans="1:13" s="33" customFormat="1" ht="39.75" customHeight="1">
      <c r="A26" s="480"/>
      <c r="B26" s="481" t="s">
        <v>655</v>
      </c>
      <c r="C26" s="498"/>
      <c r="D26" s="496" t="s">
        <v>628</v>
      </c>
      <c r="E26" s="497">
        <f>60546.79+9148.1-10308.9</f>
        <v>59385.99</v>
      </c>
      <c r="F26" s="484">
        <f>343098.46+51839.22-58417.15</f>
        <v>336520.53</v>
      </c>
      <c r="G26" s="483"/>
      <c r="H26" s="521"/>
      <c r="I26" s="545"/>
      <c r="J26" s="532"/>
      <c r="K26" s="548"/>
      <c r="L26" s="549"/>
      <c r="M26" s="549"/>
    </row>
    <row r="27" spans="1:13" s="33" customFormat="1" ht="39" customHeight="1">
      <c r="A27" s="471">
        <v>5</v>
      </c>
      <c r="B27" s="477" t="s">
        <v>623</v>
      </c>
      <c r="C27" s="478" t="s">
        <v>624</v>
      </c>
      <c r="D27" s="494"/>
      <c r="E27" s="495"/>
      <c r="F27" s="479"/>
      <c r="G27" s="483"/>
      <c r="H27" s="521"/>
      <c r="I27" s="545"/>
      <c r="J27" s="532"/>
      <c r="K27" s="548"/>
      <c r="L27" s="549"/>
      <c r="M27" s="549"/>
    </row>
    <row r="28" spans="1:13" s="33" customFormat="1" ht="54.75" customHeight="1">
      <c r="A28" s="480"/>
      <c r="B28" s="481" t="s">
        <v>656</v>
      </c>
      <c r="C28" s="482"/>
      <c r="D28" s="496"/>
      <c r="E28" s="497"/>
      <c r="F28" s="484"/>
      <c r="G28" s="483"/>
      <c r="H28" s="521"/>
      <c r="I28" s="545"/>
      <c r="J28" s="532"/>
      <c r="K28" s="548"/>
      <c r="L28" s="549"/>
      <c r="M28" s="549"/>
    </row>
    <row r="29" spans="1:13" s="33" customFormat="1" ht="50.25" customHeight="1">
      <c r="A29" s="475"/>
      <c r="B29" s="481" t="s">
        <v>657</v>
      </c>
      <c r="C29" s="498"/>
      <c r="D29" s="493" t="s">
        <v>68</v>
      </c>
      <c r="E29" s="727">
        <f>32377.98+3176.74-12030.222+2325</f>
        <v>25849.498</v>
      </c>
      <c r="F29" s="487">
        <f>183475.22+18001.53-68171.25+13175</f>
        <v>146480.5</v>
      </c>
      <c r="G29" s="483"/>
      <c r="H29" s="521">
        <f>E29+F29</f>
        <v>172329.998</v>
      </c>
      <c r="I29" s="545"/>
      <c r="J29" s="532"/>
      <c r="K29" s="548"/>
      <c r="L29" s="549"/>
      <c r="M29" s="549"/>
    </row>
    <row r="30" spans="1:13" s="33" customFormat="1" ht="50.25" customHeight="1">
      <c r="A30" s="533">
        <v>6</v>
      </c>
      <c r="B30" s="477" t="s">
        <v>623</v>
      </c>
      <c r="C30" s="552" t="s">
        <v>658</v>
      </c>
      <c r="D30" s="490"/>
      <c r="E30" s="479"/>
      <c r="F30" s="479"/>
      <c r="G30" s="483"/>
      <c r="H30" s="521"/>
      <c r="I30" s="545"/>
      <c r="J30" s="532"/>
      <c r="K30" s="548"/>
      <c r="L30" s="549"/>
      <c r="M30" s="549"/>
    </row>
    <row r="31" spans="1:13" s="33" customFormat="1" ht="42.75" customHeight="1">
      <c r="A31" s="480"/>
      <c r="B31" s="491" t="s">
        <v>646</v>
      </c>
      <c r="C31" s="473"/>
      <c r="D31" s="492"/>
      <c r="E31" s="484"/>
      <c r="F31" s="484"/>
      <c r="G31" s="483"/>
      <c r="H31" s="521"/>
      <c r="I31" s="545"/>
      <c r="J31" s="532"/>
      <c r="K31" s="548"/>
      <c r="L31" s="549"/>
      <c r="M31" s="549"/>
    </row>
    <row r="32" spans="1:13" s="33" customFormat="1" ht="57" customHeight="1">
      <c r="A32" s="475"/>
      <c r="B32" s="491" t="s">
        <v>659</v>
      </c>
      <c r="C32" s="476"/>
      <c r="D32" s="493" t="s">
        <v>68</v>
      </c>
      <c r="E32" s="487" t="s">
        <v>660</v>
      </c>
      <c r="F32" s="644">
        <f>71940+5590.02-1500</f>
        <v>76030.02</v>
      </c>
      <c r="G32" s="483"/>
      <c r="H32" s="521"/>
      <c r="I32" s="545"/>
      <c r="J32" s="532"/>
      <c r="K32" s="548"/>
      <c r="L32" s="549"/>
      <c r="M32" s="549"/>
    </row>
    <row r="33" spans="1:13" s="33" customFormat="1" ht="44.25" customHeight="1">
      <c r="A33" s="533">
        <v>7</v>
      </c>
      <c r="B33" s="477" t="s">
        <v>623</v>
      </c>
      <c r="C33" s="552" t="s">
        <v>629</v>
      </c>
      <c r="D33" s="490"/>
      <c r="E33" s="479"/>
      <c r="F33" s="479"/>
      <c r="G33" s="483"/>
      <c r="H33" s="521"/>
      <c r="I33" s="545"/>
      <c r="J33" s="532"/>
      <c r="K33" s="548"/>
      <c r="L33" s="549"/>
      <c r="M33" s="549"/>
    </row>
    <row r="34" spans="1:13" s="33" customFormat="1" ht="35.25" customHeight="1">
      <c r="A34" s="480"/>
      <c r="B34" s="491" t="s">
        <v>661</v>
      </c>
      <c r="C34" s="473"/>
      <c r="D34" s="492"/>
      <c r="E34" s="484"/>
      <c r="F34" s="484"/>
      <c r="G34" s="483"/>
      <c r="H34" s="521"/>
      <c r="I34" s="545"/>
      <c r="J34" s="532"/>
      <c r="K34" s="548"/>
      <c r="L34" s="549"/>
      <c r="M34" s="549"/>
    </row>
    <row r="35" spans="1:13" s="33" customFormat="1" ht="48" customHeight="1">
      <c r="A35" s="475"/>
      <c r="B35" s="491" t="s">
        <v>662</v>
      </c>
      <c r="C35" s="476"/>
      <c r="D35" s="496" t="s">
        <v>68</v>
      </c>
      <c r="E35" s="553">
        <v>400</v>
      </c>
      <c r="F35" s="484">
        <f>105742+1372.24</f>
        <v>107114.24</v>
      </c>
      <c r="G35" s="483"/>
      <c r="H35" s="521"/>
      <c r="I35" s="545"/>
      <c r="J35" s="532"/>
      <c r="K35" s="548"/>
      <c r="L35" s="549"/>
      <c r="M35" s="549"/>
    </row>
    <row r="36" spans="1:13" s="33" customFormat="1" ht="40.5" customHeight="1">
      <c r="A36" s="533">
        <v>8</v>
      </c>
      <c r="B36" s="477" t="s">
        <v>623</v>
      </c>
      <c r="C36" s="478" t="s">
        <v>624</v>
      </c>
      <c r="D36" s="490"/>
      <c r="E36" s="479"/>
      <c r="F36" s="479"/>
      <c r="G36" s="483"/>
      <c r="H36" s="521"/>
      <c r="I36" s="545"/>
      <c r="J36" s="532"/>
      <c r="K36" s="548"/>
      <c r="L36" s="549"/>
      <c r="M36" s="549"/>
    </row>
    <row r="37" spans="1:13" s="33" customFormat="1" ht="35.25" customHeight="1">
      <c r="A37" s="480"/>
      <c r="B37" s="491" t="s">
        <v>646</v>
      </c>
      <c r="C37" s="473"/>
      <c r="D37" s="492"/>
      <c r="E37" s="484"/>
      <c r="F37" s="484"/>
      <c r="G37" s="483"/>
      <c r="H37" s="521"/>
      <c r="I37" s="545"/>
      <c r="J37" s="532"/>
      <c r="K37" s="548"/>
      <c r="L37" s="549"/>
      <c r="M37" s="549"/>
    </row>
    <row r="38" spans="1:13" s="33" customFormat="1" ht="74.25" customHeight="1">
      <c r="A38" s="475"/>
      <c r="B38" s="491" t="s">
        <v>663</v>
      </c>
      <c r="C38" s="476"/>
      <c r="D38" s="496" t="s">
        <v>628</v>
      </c>
      <c r="E38" s="484">
        <f>68355+32313.86</f>
        <v>100668.86</v>
      </c>
      <c r="F38" s="484">
        <f>387345+183111.9</f>
        <v>570456.9</v>
      </c>
      <c r="G38" s="483"/>
      <c r="H38" s="521"/>
      <c r="I38" s="545"/>
      <c r="J38" s="532"/>
      <c r="K38" s="548"/>
      <c r="L38" s="549"/>
      <c r="M38" s="549"/>
    </row>
    <row r="39" spans="1:13" s="33" customFormat="1" ht="45" customHeight="1">
      <c r="A39" s="471">
        <v>9</v>
      </c>
      <c r="B39" s="477" t="s">
        <v>623</v>
      </c>
      <c r="C39" s="478" t="s">
        <v>624</v>
      </c>
      <c r="D39" s="472"/>
      <c r="E39" s="479"/>
      <c r="F39" s="479"/>
      <c r="G39" s="483"/>
      <c r="H39" s="521"/>
      <c r="I39" s="545"/>
      <c r="J39" s="532"/>
      <c r="K39" s="548"/>
      <c r="L39" s="549"/>
      <c r="M39" s="549"/>
    </row>
    <row r="40" spans="1:13" s="33" customFormat="1" ht="51" customHeight="1">
      <c r="A40" s="480"/>
      <c r="B40" s="481" t="s">
        <v>664</v>
      </c>
      <c r="C40" s="482"/>
      <c r="D40" s="474"/>
      <c r="E40" s="484"/>
      <c r="F40" s="484"/>
      <c r="G40" s="483"/>
      <c r="H40" s="521"/>
      <c r="I40" s="545"/>
      <c r="J40" s="532"/>
      <c r="K40" s="548"/>
      <c r="L40" s="549"/>
      <c r="M40" s="549"/>
    </row>
    <row r="41" spans="1:13" s="33" customFormat="1" ht="42" customHeight="1">
      <c r="A41" s="480"/>
      <c r="B41" s="481" t="s">
        <v>665</v>
      </c>
      <c r="C41" s="498"/>
      <c r="D41" s="486" t="s">
        <v>68</v>
      </c>
      <c r="E41" s="644">
        <f>89935.11+754.55-12291.55</f>
        <v>78398.11</v>
      </c>
      <c r="F41" s="644">
        <f>509632.28+4275.76-69652.09</f>
        <v>444255.95000000007</v>
      </c>
      <c r="G41" s="483"/>
      <c r="H41" s="521"/>
      <c r="I41" s="545"/>
      <c r="J41" s="532"/>
      <c r="K41" s="548"/>
      <c r="L41" s="549"/>
      <c r="M41" s="549"/>
    </row>
    <row r="42" spans="1:13" s="33" customFormat="1" ht="41.25" customHeight="1">
      <c r="A42" s="471">
        <v>10</v>
      </c>
      <c r="B42" s="477" t="s">
        <v>623</v>
      </c>
      <c r="C42" s="478" t="s">
        <v>624</v>
      </c>
      <c r="D42" s="472"/>
      <c r="E42" s="479"/>
      <c r="F42" s="479"/>
      <c r="G42" s="483"/>
      <c r="H42" s="521"/>
      <c r="I42" s="545"/>
      <c r="J42" s="532"/>
      <c r="K42" s="548"/>
      <c r="L42" s="549"/>
      <c r="M42" s="549"/>
    </row>
    <row r="43" spans="1:13" s="33" customFormat="1" ht="74.25" customHeight="1">
      <c r="A43" s="480"/>
      <c r="B43" s="481" t="s">
        <v>625</v>
      </c>
      <c r="C43" s="482"/>
      <c r="D43" s="474"/>
      <c r="E43" s="484"/>
      <c r="F43" s="484"/>
      <c r="G43" s="483"/>
      <c r="H43" s="521"/>
      <c r="I43" s="545"/>
      <c r="J43" s="532"/>
      <c r="K43" s="548"/>
      <c r="L43" s="549"/>
      <c r="M43" s="549"/>
    </row>
    <row r="44" spans="1:13" s="33" customFormat="1" ht="42" customHeight="1">
      <c r="A44" s="480"/>
      <c r="B44" s="481" t="s">
        <v>626</v>
      </c>
      <c r="C44" s="498"/>
      <c r="D44" s="486" t="s">
        <v>68</v>
      </c>
      <c r="E44" s="644">
        <f>130298.25+3685.52-6000-900-15345.77</f>
        <v>111737.99999999999</v>
      </c>
      <c r="F44" s="644">
        <f>738356.75+20884.58-34000-5100-86959.33</f>
        <v>633182</v>
      </c>
      <c r="G44" s="483"/>
      <c r="H44" s="521"/>
      <c r="I44" s="545"/>
      <c r="J44" s="532"/>
      <c r="K44" s="548"/>
      <c r="L44" s="549"/>
      <c r="M44" s="549"/>
    </row>
    <row r="45" spans="1:13" s="33" customFormat="1" ht="39" customHeight="1">
      <c r="A45" s="471">
        <v>11</v>
      </c>
      <c r="B45" s="477" t="s">
        <v>623</v>
      </c>
      <c r="C45" s="488" t="s">
        <v>624</v>
      </c>
      <c r="D45" s="474"/>
      <c r="E45" s="484"/>
      <c r="F45" s="484"/>
      <c r="G45" s="483"/>
      <c r="H45" s="521"/>
      <c r="I45" s="545"/>
      <c r="J45" s="532"/>
      <c r="K45" s="548"/>
      <c r="L45" s="549"/>
      <c r="M45" s="549"/>
    </row>
    <row r="46" spans="1:13" s="33" customFormat="1" ht="42" customHeight="1">
      <c r="A46" s="480"/>
      <c r="B46" s="481" t="s">
        <v>666</v>
      </c>
      <c r="C46" s="542"/>
      <c r="D46" s="474"/>
      <c r="E46" s="484"/>
      <c r="F46" s="484"/>
      <c r="G46" s="483"/>
      <c r="H46" s="521"/>
      <c r="I46" s="545"/>
      <c r="J46" s="532"/>
      <c r="K46" s="548"/>
      <c r="L46" s="549"/>
      <c r="M46" s="549"/>
    </row>
    <row r="47" spans="1:13" s="33" customFormat="1" ht="39" customHeight="1">
      <c r="A47" s="480"/>
      <c r="B47" s="554" t="s">
        <v>667</v>
      </c>
      <c r="C47" s="542"/>
      <c r="D47" s="486" t="s">
        <v>668</v>
      </c>
      <c r="E47" s="643">
        <f>25172.76-2325</f>
        <v>22847.76</v>
      </c>
      <c r="F47" s="643">
        <f>142645.62-13175</f>
        <v>129470.62</v>
      </c>
      <c r="G47" s="483"/>
      <c r="H47" s="521"/>
      <c r="I47" s="545"/>
      <c r="J47" s="532"/>
      <c r="K47" s="548"/>
      <c r="L47" s="549"/>
      <c r="M47" s="549"/>
    </row>
    <row r="48" spans="1:13" s="33" customFormat="1" ht="42" customHeight="1">
      <c r="A48" s="471">
        <v>12</v>
      </c>
      <c r="B48" s="477" t="s">
        <v>623</v>
      </c>
      <c r="C48" s="555" t="s">
        <v>624</v>
      </c>
      <c r="D48" s="494"/>
      <c r="E48" s="479"/>
      <c r="F48" s="556"/>
      <c r="G48" s="483"/>
      <c r="H48" s="521"/>
      <c r="I48" s="545"/>
      <c r="J48" s="532"/>
      <c r="K48" s="548"/>
      <c r="L48" s="549"/>
      <c r="M48" s="549"/>
    </row>
    <row r="49" spans="1:13" s="33" customFormat="1" ht="42" customHeight="1">
      <c r="A49" s="480"/>
      <c r="B49" s="481" t="s">
        <v>669</v>
      </c>
      <c r="C49" s="482"/>
      <c r="D49" s="496"/>
      <c r="E49" s="484"/>
      <c r="F49" s="557"/>
      <c r="G49" s="483"/>
      <c r="H49" s="521"/>
      <c r="I49" s="545"/>
      <c r="J49" s="532"/>
      <c r="K49" s="548"/>
      <c r="L49" s="549"/>
      <c r="M49" s="549"/>
    </row>
    <row r="50" spans="1:13" s="33" customFormat="1" ht="42" customHeight="1">
      <c r="A50" s="475"/>
      <c r="B50" s="481" t="s">
        <v>670</v>
      </c>
      <c r="C50" s="498"/>
      <c r="D50" s="486" t="s">
        <v>68</v>
      </c>
      <c r="E50" s="644">
        <f>133415.64-17767.11</f>
        <v>115648.53000000001</v>
      </c>
      <c r="F50" s="756">
        <f>756021.95-116185.96</f>
        <v>639835.99</v>
      </c>
      <c r="G50" s="483"/>
      <c r="H50" s="521"/>
      <c r="I50" s="545"/>
      <c r="J50" s="532"/>
      <c r="K50" s="548"/>
      <c r="L50" s="549"/>
      <c r="M50" s="549"/>
    </row>
    <row r="51" spans="1:13" s="33" customFormat="1" ht="42.75" customHeight="1">
      <c r="A51" s="533">
        <v>13</v>
      </c>
      <c r="B51" s="477" t="s">
        <v>623</v>
      </c>
      <c r="C51" s="558" t="s">
        <v>671</v>
      </c>
      <c r="D51" s="474"/>
      <c r="E51" s="484"/>
      <c r="F51" s="484"/>
      <c r="G51" s="483"/>
      <c r="H51" s="521"/>
      <c r="I51" s="545"/>
      <c r="J51" s="532"/>
      <c r="K51" s="548"/>
      <c r="L51" s="549"/>
      <c r="M51" s="549"/>
    </row>
    <row r="52" spans="1:13" s="33" customFormat="1" ht="35.25" customHeight="1">
      <c r="A52" s="480"/>
      <c r="B52" s="485" t="s">
        <v>672</v>
      </c>
      <c r="C52" s="473"/>
      <c r="D52" s="559"/>
      <c r="E52" s="484"/>
      <c r="F52" s="484"/>
      <c r="G52" s="483"/>
      <c r="H52" s="521"/>
      <c r="I52" s="545"/>
      <c r="J52" s="532"/>
      <c r="K52" s="548"/>
      <c r="L52" s="549"/>
      <c r="M52" s="549"/>
    </row>
    <row r="53" spans="1:13" s="33" customFormat="1" ht="86.25" customHeight="1">
      <c r="A53" s="475"/>
      <c r="B53" s="485" t="s">
        <v>673</v>
      </c>
      <c r="C53" s="476"/>
      <c r="D53" s="560" t="s">
        <v>68</v>
      </c>
      <c r="E53" s="487">
        <f>1980.96+4.22</f>
        <v>1985.18</v>
      </c>
      <c r="F53" s="487">
        <f>298488.76+2979.61</f>
        <v>301468.37</v>
      </c>
      <c r="G53" s="483"/>
      <c r="H53" s="521"/>
      <c r="I53" s="545"/>
      <c r="J53" s="532"/>
      <c r="K53" s="548"/>
      <c r="L53" s="549"/>
      <c r="M53" s="549"/>
    </row>
    <row r="54" spans="1:13" s="33" customFormat="1" ht="54" customHeight="1">
      <c r="A54" s="471">
        <v>14</v>
      </c>
      <c r="B54" s="561" t="s">
        <v>674</v>
      </c>
      <c r="C54" s="552" t="s">
        <v>629</v>
      </c>
      <c r="D54" s="472"/>
      <c r="E54" s="479"/>
      <c r="F54" s="479"/>
      <c r="G54" s="483"/>
      <c r="H54" s="521"/>
      <c r="I54" s="545"/>
      <c r="J54" s="532"/>
      <c r="K54" s="548"/>
      <c r="L54" s="549"/>
      <c r="M54" s="549"/>
    </row>
    <row r="55" spans="1:13" s="33" customFormat="1" ht="52.5" customHeight="1">
      <c r="A55" s="480"/>
      <c r="B55" s="485" t="s">
        <v>675</v>
      </c>
      <c r="C55" s="473"/>
      <c r="D55" s="559"/>
      <c r="E55" s="484"/>
      <c r="F55" s="484"/>
      <c r="G55" s="483"/>
      <c r="H55" s="521"/>
      <c r="I55" s="545"/>
      <c r="J55" s="532"/>
      <c r="K55" s="548"/>
      <c r="L55" s="549"/>
      <c r="M55" s="549"/>
    </row>
    <row r="56" spans="1:13" s="33" customFormat="1" ht="58.5" customHeight="1">
      <c r="A56" s="475"/>
      <c r="B56" s="485" t="s">
        <v>676</v>
      </c>
      <c r="C56" s="476"/>
      <c r="D56" s="560" t="s">
        <v>68</v>
      </c>
      <c r="E56" s="487"/>
      <c r="F56" s="487">
        <f>45885+7262.01</f>
        <v>53147.01</v>
      </c>
      <c r="G56" s="483"/>
      <c r="H56" s="521"/>
      <c r="I56" s="562"/>
      <c r="J56" s="532"/>
      <c r="K56" s="548"/>
      <c r="L56" s="549"/>
      <c r="M56" s="549"/>
    </row>
    <row r="57" spans="1:13" s="33" customFormat="1" ht="39" customHeight="1">
      <c r="A57" s="533">
        <v>15</v>
      </c>
      <c r="B57" s="477" t="s">
        <v>623</v>
      </c>
      <c r="C57" s="552" t="s">
        <v>629</v>
      </c>
      <c r="D57" s="490"/>
      <c r="E57" s="479"/>
      <c r="F57" s="479"/>
      <c r="G57" s="483"/>
      <c r="H57" s="521"/>
      <c r="I57" s="562"/>
      <c r="J57" s="532"/>
      <c r="K57" s="548"/>
      <c r="L57" s="549"/>
      <c r="M57" s="549"/>
    </row>
    <row r="58" spans="1:13" s="33" customFormat="1" ht="75" customHeight="1">
      <c r="A58" s="480"/>
      <c r="B58" s="491" t="s">
        <v>630</v>
      </c>
      <c r="C58" s="473"/>
      <c r="D58" s="492"/>
      <c r="E58" s="484"/>
      <c r="F58" s="484"/>
      <c r="G58" s="483"/>
      <c r="H58" s="521"/>
      <c r="I58" s="562"/>
      <c r="J58" s="532"/>
      <c r="K58" s="548"/>
      <c r="L58" s="549"/>
      <c r="M58" s="549"/>
    </row>
    <row r="59" spans="1:13" s="33" customFormat="1" ht="35.25" customHeight="1">
      <c r="A59" s="475"/>
      <c r="B59" s="491" t="s">
        <v>631</v>
      </c>
      <c r="C59" s="476"/>
      <c r="D59" s="493" t="s">
        <v>68</v>
      </c>
      <c r="E59" s="487">
        <f>26400+40.04</f>
        <v>26440.04</v>
      </c>
      <c r="F59" s="644">
        <f>77240+107215-14400+600</f>
        <v>170655</v>
      </c>
      <c r="G59" s="483"/>
      <c r="H59" s="521"/>
      <c r="I59" s="562"/>
      <c r="J59" s="532"/>
      <c r="K59" s="548"/>
      <c r="L59" s="549"/>
      <c r="M59" s="549"/>
    </row>
    <row r="60" spans="1:13" s="33" customFormat="1" ht="56.25" customHeight="1">
      <c r="A60" s="471">
        <v>16</v>
      </c>
      <c r="B60" s="477" t="s">
        <v>623</v>
      </c>
      <c r="C60" s="489" t="s">
        <v>634</v>
      </c>
      <c r="D60" s="494"/>
      <c r="E60" s="479"/>
      <c r="F60" s="479"/>
      <c r="G60" s="483"/>
      <c r="H60" s="521"/>
      <c r="I60" s="562"/>
      <c r="J60" s="532"/>
      <c r="K60" s="548"/>
      <c r="L60" s="549"/>
      <c r="M60" s="549"/>
    </row>
    <row r="61" spans="1:13" s="33" customFormat="1" ht="60.75" customHeight="1">
      <c r="A61" s="480"/>
      <c r="B61" s="491" t="s">
        <v>635</v>
      </c>
      <c r="C61" s="482"/>
      <c r="D61" s="496"/>
      <c r="E61" s="484"/>
      <c r="F61" s="484"/>
      <c r="G61" s="483"/>
      <c r="H61" s="521"/>
      <c r="I61" s="562"/>
      <c r="J61" s="532"/>
      <c r="K61" s="548"/>
      <c r="L61" s="549"/>
      <c r="M61" s="549"/>
    </row>
    <row r="62" spans="1:13" s="33" customFormat="1" ht="38.25" customHeight="1">
      <c r="A62" s="475"/>
      <c r="B62" s="491" t="s">
        <v>482</v>
      </c>
      <c r="C62" s="498"/>
      <c r="D62" s="496" t="s">
        <v>636</v>
      </c>
      <c r="E62" s="484" t="s">
        <v>660</v>
      </c>
      <c r="F62" s="484">
        <f>392366.5-3500-31000-10240</f>
        <v>347626.5</v>
      </c>
      <c r="G62" s="483"/>
      <c r="H62" s="521"/>
      <c r="I62" s="562"/>
      <c r="J62" s="532"/>
      <c r="K62" s="548"/>
      <c r="L62" s="549"/>
      <c r="M62" s="549"/>
    </row>
    <row r="63" spans="1:13" s="33" customFormat="1" ht="38.25" customHeight="1">
      <c r="A63" s="471">
        <v>17</v>
      </c>
      <c r="B63" s="477" t="s">
        <v>623</v>
      </c>
      <c r="C63" s="489" t="s">
        <v>632</v>
      </c>
      <c r="D63" s="494"/>
      <c r="E63" s="495"/>
      <c r="F63" s="479"/>
      <c r="G63" s="483"/>
      <c r="H63" s="521"/>
      <c r="I63" s="562"/>
      <c r="J63" s="532"/>
      <c r="K63" s="548"/>
      <c r="L63" s="549"/>
      <c r="M63" s="549"/>
    </row>
    <row r="64" spans="1:13" s="33" customFormat="1" ht="91.5" customHeight="1">
      <c r="A64" s="480"/>
      <c r="B64" s="491" t="s">
        <v>481</v>
      </c>
      <c r="C64" s="482"/>
      <c r="D64" s="496"/>
      <c r="E64" s="497"/>
      <c r="F64" s="484"/>
      <c r="G64" s="483"/>
      <c r="H64" s="521"/>
      <c r="I64" s="562"/>
      <c r="J64" s="532"/>
      <c r="K64" s="548"/>
      <c r="L64" s="549"/>
      <c r="M64" s="549"/>
    </row>
    <row r="65" spans="1:13" s="33" customFormat="1" ht="38.25" customHeight="1">
      <c r="A65" s="475"/>
      <c r="B65" s="491" t="s">
        <v>633</v>
      </c>
      <c r="C65" s="498"/>
      <c r="D65" s="493" t="s">
        <v>233</v>
      </c>
      <c r="E65" s="487" t="s">
        <v>660</v>
      </c>
      <c r="F65" s="633">
        <f>253578-7848+300</f>
        <v>246030</v>
      </c>
      <c r="G65" s="483"/>
      <c r="H65" s="521"/>
      <c r="I65" s="562"/>
      <c r="J65" s="532"/>
      <c r="K65" s="548"/>
      <c r="L65" s="549"/>
      <c r="M65" s="549"/>
    </row>
    <row r="66" spans="1:13" s="33" customFormat="1" ht="56.25" customHeight="1">
      <c r="A66" s="471">
        <v>18</v>
      </c>
      <c r="B66" s="563" t="s">
        <v>623</v>
      </c>
      <c r="C66" s="555" t="s">
        <v>677</v>
      </c>
      <c r="D66" s="494"/>
      <c r="E66" s="495"/>
      <c r="F66" s="479"/>
      <c r="G66" s="483"/>
      <c r="H66" s="521"/>
      <c r="I66" s="545"/>
      <c r="J66" s="532"/>
      <c r="K66" s="548"/>
      <c r="L66" s="549"/>
      <c r="M66" s="549"/>
    </row>
    <row r="67" spans="1:13" s="33" customFormat="1" ht="42" customHeight="1">
      <c r="A67" s="480"/>
      <c r="B67" s="491" t="s">
        <v>678</v>
      </c>
      <c r="C67" s="482"/>
      <c r="D67" s="496"/>
      <c r="E67" s="497"/>
      <c r="F67" s="484"/>
      <c r="G67" s="483"/>
      <c r="H67" s="521"/>
      <c r="I67" s="545"/>
      <c r="J67" s="532"/>
      <c r="K67" s="548"/>
      <c r="L67" s="549"/>
      <c r="M67" s="549"/>
    </row>
    <row r="68" spans="1:13" s="33" customFormat="1" ht="66" customHeight="1">
      <c r="A68" s="480"/>
      <c r="B68" s="564" t="s">
        <v>679</v>
      </c>
      <c r="C68" s="542"/>
      <c r="D68" s="496">
        <v>2013</v>
      </c>
      <c r="E68" s="497">
        <f>62262.18+145278.42</f>
        <v>207540.6</v>
      </c>
      <c r="F68" s="484">
        <v>1176063.4</v>
      </c>
      <c r="G68" s="483"/>
      <c r="H68" s="521"/>
      <c r="I68" s="545"/>
      <c r="J68" s="532"/>
      <c r="K68" s="548"/>
      <c r="L68" s="549"/>
      <c r="M68" s="549"/>
    </row>
    <row r="69" spans="1:13" s="33" customFormat="1" ht="55.5" customHeight="1">
      <c r="A69" s="471">
        <v>19</v>
      </c>
      <c r="B69" s="590" t="s">
        <v>674</v>
      </c>
      <c r="C69" s="488" t="s">
        <v>705</v>
      </c>
      <c r="D69" s="494"/>
      <c r="E69" s="479"/>
      <c r="F69" s="479"/>
      <c r="G69" s="483"/>
      <c r="H69" s="521"/>
      <c r="I69" s="545"/>
      <c r="J69" s="532"/>
      <c r="K69" s="548"/>
      <c r="L69" s="549"/>
      <c r="M69" s="549"/>
    </row>
    <row r="70" spans="1:13" s="33" customFormat="1" ht="39.75" customHeight="1">
      <c r="A70" s="480"/>
      <c r="B70" s="491" t="s">
        <v>706</v>
      </c>
      <c r="C70" s="542"/>
      <c r="D70" s="496"/>
      <c r="E70" s="484"/>
      <c r="F70" s="484"/>
      <c r="G70" s="483"/>
      <c r="H70" s="521"/>
      <c r="I70" s="545"/>
      <c r="J70" s="532"/>
      <c r="K70" s="548"/>
      <c r="L70" s="549"/>
      <c r="M70" s="549"/>
    </row>
    <row r="71" spans="1:13" s="33" customFormat="1" ht="38.25" customHeight="1">
      <c r="A71" s="475"/>
      <c r="B71" s="491" t="s">
        <v>16</v>
      </c>
      <c r="C71" s="498"/>
      <c r="D71" s="493" t="s">
        <v>233</v>
      </c>
      <c r="E71" s="487"/>
      <c r="F71" s="487">
        <v>25000</v>
      </c>
      <c r="G71" s="483"/>
      <c r="H71" s="521"/>
      <c r="I71" s="545"/>
      <c r="J71" s="532"/>
      <c r="K71" s="548"/>
      <c r="L71" s="549"/>
      <c r="M71" s="549"/>
    </row>
    <row r="72" spans="1:11" ht="32.25" customHeight="1">
      <c r="A72" s="603" t="s">
        <v>680</v>
      </c>
      <c r="B72" s="565"/>
      <c r="C72" s="566"/>
      <c r="D72" s="567"/>
      <c r="E72" s="366">
        <f>E75+E78+E81+E84+E87+E90+E93</f>
        <v>68485.56</v>
      </c>
      <c r="F72" s="366">
        <f>F75+F78+F81+F84+F87+F90+F93</f>
        <v>1460669.78</v>
      </c>
      <c r="H72" s="521"/>
      <c r="I72" s="568">
        <f>E72+F72</f>
        <v>1529155.34</v>
      </c>
      <c r="J72" s="348"/>
      <c r="K72" s="569"/>
    </row>
    <row r="73" spans="1:10" ht="51">
      <c r="A73" s="471">
        <v>1</v>
      </c>
      <c r="B73" s="477" t="s">
        <v>681</v>
      </c>
      <c r="C73" s="546" t="s">
        <v>682</v>
      </c>
      <c r="D73" s="570"/>
      <c r="E73" s="571"/>
      <c r="F73" s="571"/>
      <c r="H73" s="521"/>
      <c r="I73" s="572"/>
      <c r="J73" s="573"/>
    </row>
    <row r="74" spans="1:10" ht="34.5" customHeight="1">
      <c r="A74" s="480"/>
      <c r="B74" s="574" t="s">
        <v>646</v>
      </c>
      <c r="C74" s="363"/>
      <c r="D74" s="575"/>
      <c r="E74" s="576"/>
      <c r="F74" s="577"/>
      <c r="H74" s="521"/>
      <c r="I74" s="545"/>
      <c r="J74" s="156"/>
    </row>
    <row r="75" spans="1:10" ht="60" customHeight="1">
      <c r="A75" s="475"/>
      <c r="B75" s="578" t="s">
        <v>683</v>
      </c>
      <c r="C75" s="364"/>
      <c r="D75" s="579" t="s">
        <v>245</v>
      </c>
      <c r="E75" s="728">
        <f>35403.08+4568.71+4543.43-8284.48</f>
        <v>36230.740000000005</v>
      </c>
      <c r="F75" s="729">
        <f>200617.54+30295.19+25883.66-4543.43-46945.44</f>
        <v>205307.52000000002</v>
      </c>
      <c r="H75" s="521"/>
      <c r="I75" s="545"/>
      <c r="J75" s="156"/>
    </row>
    <row r="76" spans="1:8" ht="36.75" customHeight="1">
      <c r="A76" s="533">
        <v>2</v>
      </c>
      <c r="B76" s="477" t="s">
        <v>681</v>
      </c>
      <c r="C76" s="582" t="s">
        <v>684</v>
      </c>
      <c r="D76" s="583" t="s">
        <v>22</v>
      </c>
      <c r="E76" s="451"/>
      <c r="F76" s="584"/>
      <c r="H76" s="521"/>
    </row>
    <row r="77" spans="1:9" ht="37.5" customHeight="1">
      <c r="A77" s="480"/>
      <c r="B77" s="574" t="s">
        <v>646</v>
      </c>
      <c r="C77" s="264"/>
      <c r="D77" s="585"/>
      <c r="E77" s="452"/>
      <c r="F77" s="586"/>
      <c r="H77" s="521"/>
      <c r="I77" s="587"/>
    </row>
    <row r="78" spans="1:8" ht="27" customHeight="1">
      <c r="A78" s="475"/>
      <c r="B78" s="588" t="s">
        <v>685</v>
      </c>
      <c r="C78" s="367"/>
      <c r="D78" s="589"/>
      <c r="E78" s="360"/>
      <c r="F78" s="360">
        <f>673470-48000+7466.42</f>
        <v>632936.42</v>
      </c>
      <c r="H78" s="521"/>
    </row>
    <row r="79" spans="1:9" ht="45" customHeight="1">
      <c r="A79" s="533">
        <v>3</v>
      </c>
      <c r="B79" s="590" t="s">
        <v>674</v>
      </c>
      <c r="C79" s="591" t="s">
        <v>686</v>
      </c>
      <c r="D79" s="472"/>
      <c r="E79" s="536"/>
      <c r="F79" s="535"/>
      <c r="H79" s="521"/>
      <c r="I79" s="545"/>
    </row>
    <row r="80" spans="1:9" ht="45" customHeight="1">
      <c r="A80" s="480"/>
      <c r="B80" s="491" t="s">
        <v>687</v>
      </c>
      <c r="C80" s="473"/>
      <c r="D80" s="474"/>
      <c r="E80" s="592"/>
      <c r="F80" s="540"/>
      <c r="H80" s="521"/>
      <c r="I80" s="545"/>
    </row>
    <row r="81" spans="1:10" ht="36" customHeight="1">
      <c r="A81" s="475"/>
      <c r="B81" s="491" t="s">
        <v>688</v>
      </c>
      <c r="C81" s="476"/>
      <c r="D81" s="486" t="s">
        <v>28</v>
      </c>
      <c r="E81" s="580"/>
      <c r="F81" s="593">
        <f>62610.4-2148.8+306.52</f>
        <v>60768.119999999995</v>
      </c>
      <c r="H81" s="521"/>
      <c r="I81" s="545"/>
      <c r="J81" s="594"/>
    </row>
    <row r="82" spans="1:8" ht="42" customHeight="1">
      <c r="A82" s="533">
        <v>4</v>
      </c>
      <c r="B82" s="477" t="s">
        <v>681</v>
      </c>
      <c r="C82" s="582" t="s">
        <v>684</v>
      </c>
      <c r="D82" s="583"/>
      <c r="E82" s="451"/>
      <c r="F82" s="584"/>
      <c r="H82" s="521"/>
    </row>
    <row r="83" spans="1:9" ht="36.75" customHeight="1">
      <c r="A83" s="480"/>
      <c r="B83" s="574" t="s">
        <v>689</v>
      </c>
      <c r="C83" s="264"/>
      <c r="D83" s="585"/>
      <c r="E83" s="452"/>
      <c r="F83" s="586"/>
      <c r="H83" s="521"/>
      <c r="I83" s="587"/>
    </row>
    <row r="84" spans="1:9" ht="36" customHeight="1">
      <c r="A84" s="475"/>
      <c r="B84" s="588" t="s">
        <v>690</v>
      </c>
      <c r="C84" s="367"/>
      <c r="D84" s="486" t="s">
        <v>28</v>
      </c>
      <c r="E84" s="360">
        <f>12190.75+170.31-10106.28+0.04</f>
        <v>2254.819999999999</v>
      </c>
      <c r="F84" s="360">
        <f>7029.69+397439.25+2913.82-0.04</f>
        <v>407382.72000000003</v>
      </c>
      <c r="H84" s="521"/>
      <c r="I84" s="587"/>
    </row>
    <row r="85" spans="1:10" ht="39" customHeight="1">
      <c r="A85" s="533">
        <v>5</v>
      </c>
      <c r="B85" s="477" t="s">
        <v>691</v>
      </c>
      <c r="C85" s="488" t="s">
        <v>624</v>
      </c>
      <c r="D85" s="583"/>
      <c r="E85" s="451"/>
      <c r="F85" s="584"/>
      <c r="H85" s="521"/>
      <c r="I85" s="587"/>
      <c r="J85" s="594"/>
    </row>
    <row r="86" spans="1:8" ht="60.75" customHeight="1">
      <c r="A86" s="480"/>
      <c r="B86" s="574" t="s">
        <v>692</v>
      </c>
      <c r="C86" s="264"/>
      <c r="D86" s="585"/>
      <c r="E86" s="452"/>
      <c r="F86" s="586"/>
      <c r="H86" s="521"/>
    </row>
    <row r="87" spans="1:8" ht="46.5" customHeight="1">
      <c r="A87" s="475"/>
      <c r="B87" s="574" t="s">
        <v>693</v>
      </c>
      <c r="C87" s="367"/>
      <c r="D87" s="486" t="s">
        <v>28</v>
      </c>
      <c r="E87" s="360">
        <v>30000</v>
      </c>
      <c r="F87" s="360"/>
      <c r="H87" s="521"/>
    </row>
    <row r="88" spans="1:11" ht="51">
      <c r="A88" s="301">
        <v>6</v>
      </c>
      <c r="B88" s="477" t="s">
        <v>681</v>
      </c>
      <c r="C88" s="546" t="s">
        <v>682</v>
      </c>
      <c r="D88" s="570"/>
      <c r="E88" s="571"/>
      <c r="F88" s="571"/>
      <c r="H88" s="521"/>
      <c r="I88" s="587"/>
      <c r="K88" s="595"/>
    </row>
    <row r="89" spans="1:11" ht="34.5" customHeight="1">
      <c r="A89" s="365"/>
      <c r="B89" s="574" t="s">
        <v>646</v>
      </c>
      <c r="C89" s="363"/>
      <c r="D89" s="575"/>
      <c r="E89" s="576"/>
      <c r="F89" s="577"/>
      <c r="H89" s="521"/>
      <c r="I89" s="596"/>
      <c r="K89" s="569"/>
    </row>
    <row r="90" spans="1:11" ht="51" customHeight="1">
      <c r="A90" s="364"/>
      <c r="B90" s="578" t="s">
        <v>694</v>
      </c>
      <c r="C90" s="364"/>
      <c r="D90" s="579" t="s">
        <v>245</v>
      </c>
      <c r="E90" s="580"/>
      <c r="F90" s="581">
        <v>1075</v>
      </c>
      <c r="H90" s="521"/>
      <c r="K90" s="597"/>
    </row>
    <row r="91" spans="1:8" ht="40.5" customHeight="1">
      <c r="A91" s="533">
        <v>7</v>
      </c>
      <c r="B91" s="598" t="s">
        <v>695</v>
      </c>
      <c r="C91" s="599" t="s">
        <v>701</v>
      </c>
      <c r="D91" s="583" t="s">
        <v>300</v>
      </c>
      <c r="E91" s="451"/>
      <c r="F91" s="584"/>
      <c r="H91" s="521"/>
    </row>
    <row r="92" spans="1:11" ht="34.5" customHeight="1">
      <c r="A92" s="480"/>
      <c r="B92" s="588" t="s">
        <v>702</v>
      </c>
      <c r="C92" s="264"/>
      <c r="D92" s="585"/>
      <c r="E92" s="452"/>
      <c r="F92" s="586"/>
      <c r="H92" s="521"/>
      <c r="K92" s="597"/>
    </row>
    <row r="93" spans="1:8" ht="35.25" customHeight="1">
      <c r="A93" s="475"/>
      <c r="B93" s="588" t="s">
        <v>703</v>
      </c>
      <c r="C93" s="367"/>
      <c r="D93" s="589"/>
      <c r="E93" s="360"/>
      <c r="F93" s="360">
        <v>153200</v>
      </c>
      <c r="H93" s="521"/>
    </row>
    <row r="94" spans="4:8" ht="18.75">
      <c r="D94" s="600"/>
      <c r="E94" s="28"/>
      <c r="F94" s="1"/>
      <c r="H94" s="521"/>
    </row>
    <row r="95" spans="4:6" ht="18.75">
      <c r="D95" s="600"/>
      <c r="E95" s="1"/>
      <c r="F95" s="1"/>
    </row>
    <row r="96" spans="4:6" ht="18.75">
      <c r="D96" s="600"/>
      <c r="E96" s="1"/>
      <c r="F96" s="1"/>
    </row>
    <row r="97" spans="4:6" ht="18.75">
      <c r="D97" s="600"/>
      <c r="E97" s="1"/>
      <c r="F97" s="1"/>
    </row>
    <row r="98" spans="4:6" ht="18.75">
      <c r="D98" s="600"/>
      <c r="E98" s="1"/>
      <c r="F98" s="1"/>
    </row>
    <row r="99" spans="4:6" ht="18.75">
      <c r="D99" s="600"/>
      <c r="E99" s="1"/>
      <c r="F99" s="1"/>
    </row>
    <row r="100" spans="4:11" ht="18.75">
      <c r="D100" s="600"/>
      <c r="E100" s="28"/>
      <c r="F100" s="1"/>
      <c r="K100" s="597"/>
    </row>
    <row r="101" spans="4:6" ht="18.75">
      <c r="D101" s="600"/>
      <c r="E101" s="28"/>
      <c r="F101" s="1"/>
    </row>
    <row r="102" spans="4:6" ht="18.75">
      <c r="D102" s="600"/>
      <c r="E102" s="28"/>
      <c r="F102" s="1"/>
    </row>
    <row r="103" spans="4:6" ht="18.75">
      <c r="D103" s="600"/>
      <c r="E103" s="28"/>
      <c r="F103" s="1"/>
    </row>
    <row r="104" spans="5:6" ht="18.75">
      <c r="E104" s="464"/>
      <c r="F104" s="1"/>
    </row>
    <row r="105" spans="4:6" ht="18.75">
      <c r="D105" s="601"/>
      <c r="E105" s="1"/>
      <c r="F105" s="28"/>
    </row>
    <row r="106" spans="5:6" ht="18.75">
      <c r="E106" s="1"/>
      <c r="F106" s="28"/>
    </row>
    <row r="107" spans="3:6" ht="18.75">
      <c r="C107" s="4"/>
      <c r="D107" s="4"/>
      <c r="E107" s="464"/>
      <c r="F107" s="28"/>
    </row>
    <row r="108" spans="3:6" ht="18.75">
      <c r="C108" s="4"/>
      <c r="D108" s="4"/>
      <c r="E108" s="464"/>
      <c r="F108" s="28"/>
    </row>
    <row r="109" spans="3:11" ht="18.75">
      <c r="C109" s="4"/>
      <c r="D109" s="4"/>
      <c r="E109" s="464"/>
      <c r="F109" s="28"/>
      <c r="K109" s="597"/>
    </row>
    <row r="110" spans="3:6" ht="18.75">
      <c r="C110" s="4"/>
      <c r="D110" s="4"/>
      <c r="E110" s="51"/>
      <c r="F110" s="602"/>
    </row>
    <row r="111" spans="3:6" ht="18.75">
      <c r="C111" s="4"/>
      <c r="D111" s="4"/>
      <c r="E111" s="51"/>
      <c r="F111" s="602"/>
    </row>
    <row r="112" spans="3:6" ht="18.75">
      <c r="C112" s="4"/>
      <c r="D112" s="4"/>
      <c r="E112" s="28"/>
      <c r="F112" s="28"/>
    </row>
    <row r="113" spans="3:6" ht="18.75">
      <c r="C113" s="4"/>
      <c r="D113" s="4"/>
      <c r="E113" s="51"/>
      <c r="F113" s="602"/>
    </row>
    <row r="114" spans="3:6" ht="18.75">
      <c r="C114" s="4"/>
      <c r="D114" s="4"/>
      <c r="E114" s="28"/>
      <c r="F114" s="28"/>
    </row>
    <row r="115" spans="3:6" ht="18.75">
      <c r="C115" s="4"/>
      <c r="D115" s="4"/>
      <c r="E115" s="28"/>
      <c r="F115" s="28"/>
    </row>
    <row r="116" spans="3:6" ht="18.75">
      <c r="C116" s="4"/>
      <c r="D116" s="4"/>
      <c r="E116" s="28"/>
      <c r="F116" s="28"/>
    </row>
    <row r="117" spans="3:6" ht="18.75">
      <c r="C117" s="4"/>
      <c r="D117" s="4"/>
      <c r="E117" s="28"/>
      <c r="F117" s="28"/>
    </row>
    <row r="118" spans="3:6" ht="18.75">
      <c r="C118" s="4"/>
      <c r="D118" s="4"/>
      <c r="E118" s="28"/>
      <c r="F118" s="28"/>
    </row>
    <row r="119" spans="3:6" ht="18.75">
      <c r="C119" s="4"/>
      <c r="D119" s="4"/>
      <c r="E119" s="28"/>
      <c r="F119" s="28"/>
    </row>
    <row r="120" spans="3:6" ht="18.75">
      <c r="C120" s="4"/>
      <c r="D120" s="4"/>
      <c r="E120" s="28"/>
      <c r="F120" s="28"/>
    </row>
    <row r="121" spans="3:6" ht="18.75">
      <c r="C121" s="4"/>
      <c r="D121" s="4"/>
      <c r="E121" s="28"/>
      <c r="F121" s="28"/>
    </row>
    <row r="122" spans="5:6" ht="18.75">
      <c r="E122" s="28"/>
      <c r="F122" s="28"/>
    </row>
    <row r="123" spans="5:6" ht="18.75">
      <c r="E123" s="28"/>
      <c r="F123" s="28"/>
    </row>
    <row r="124" spans="5:6" ht="18.75">
      <c r="E124" s="28"/>
      <c r="F124" s="28"/>
    </row>
    <row r="125" spans="5:6" ht="18.75">
      <c r="E125" s="28"/>
      <c r="F125" s="28"/>
    </row>
    <row r="126" spans="5:6" ht="18.75">
      <c r="E126" s="28"/>
      <c r="F126" s="28"/>
    </row>
    <row r="127" spans="5:6" ht="18.75">
      <c r="E127" s="28"/>
      <c r="F127" s="28"/>
    </row>
    <row r="128" spans="5:6" ht="18.75">
      <c r="E128" s="28"/>
      <c r="F128" s="28"/>
    </row>
    <row r="129" spans="5:6" ht="18.75">
      <c r="E129" s="28"/>
      <c r="F129" s="28"/>
    </row>
    <row r="130" spans="5:6" ht="18.75">
      <c r="E130" s="28"/>
      <c r="F130" s="28"/>
    </row>
    <row r="131" spans="5:6" ht="18.75">
      <c r="E131" s="28"/>
      <c r="F131" s="28"/>
    </row>
    <row r="132" spans="5:6" ht="18.75">
      <c r="E132" s="28"/>
      <c r="F132" s="28"/>
    </row>
    <row r="133" spans="5:6" ht="18.75">
      <c r="E133" s="28"/>
      <c r="F133" s="28"/>
    </row>
    <row r="134" spans="5:6" ht="18.75">
      <c r="E134" s="28"/>
      <c r="F134" s="28"/>
    </row>
    <row r="135" spans="5:6" ht="18.75">
      <c r="E135" s="28"/>
      <c r="F135" s="28"/>
    </row>
    <row r="136" spans="5:6" ht="18.75">
      <c r="E136" s="28"/>
      <c r="F136" s="28"/>
    </row>
    <row r="137" spans="5:6" ht="18.75">
      <c r="E137" s="28"/>
      <c r="F137" s="28"/>
    </row>
    <row r="138" spans="5:6" ht="18.75">
      <c r="E138" s="28"/>
      <c r="F138" s="28"/>
    </row>
    <row r="139" spans="5:6" ht="18.75">
      <c r="E139" s="28"/>
      <c r="F139" s="28"/>
    </row>
    <row r="140" spans="5:6" ht="18.75">
      <c r="E140" s="28"/>
      <c r="F140" s="28"/>
    </row>
    <row r="141" spans="5:6" ht="18.75">
      <c r="E141" s="28"/>
      <c r="F141" s="28"/>
    </row>
    <row r="142" spans="5:6" ht="18.75">
      <c r="E142" s="28"/>
      <c r="F142" s="28"/>
    </row>
    <row r="143" spans="5:6" ht="18.75">
      <c r="E143" s="28"/>
      <c r="F143" s="28"/>
    </row>
    <row r="144" spans="5:6" ht="18.75">
      <c r="E144" s="28"/>
      <c r="F144" s="28"/>
    </row>
    <row r="145" spans="5:6" ht="18.75">
      <c r="E145" s="28"/>
      <c r="F145" s="28"/>
    </row>
    <row r="146" spans="5:6" ht="18.75">
      <c r="E146" s="28"/>
      <c r="F146" s="28"/>
    </row>
    <row r="147" spans="5:6" ht="18.75">
      <c r="E147" s="28"/>
      <c r="F147" s="28"/>
    </row>
    <row r="148" spans="5:6" ht="18.75">
      <c r="E148" s="28"/>
      <c r="F148" s="28"/>
    </row>
    <row r="149" spans="5:6" ht="18.75">
      <c r="E149" s="28"/>
      <c r="F149" s="28"/>
    </row>
    <row r="150" spans="5:6" ht="18.75">
      <c r="E150" s="28"/>
      <c r="F150" s="28"/>
    </row>
    <row r="151" spans="5:6" ht="18.75">
      <c r="E151" s="28"/>
      <c r="F151" s="28"/>
    </row>
    <row r="152" spans="5:6" ht="18.75">
      <c r="E152" s="28"/>
      <c r="F152" s="28"/>
    </row>
    <row r="153" spans="5:6" ht="18.75">
      <c r="E153" s="28"/>
      <c r="F153" s="28"/>
    </row>
    <row r="154" spans="5:6" ht="18.75">
      <c r="E154" s="28"/>
      <c r="F154" s="28"/>
    </row>
    <row r="155" spans="5:6" ht="18.75">
      <c r="E155" s="28"/>
      <c r="F155" s="28"/>
    </row>
    <row r="156" spans="5:6" ht="18.75">
      <c r="E156" s="28"/>
      <c r="F156" s="28"/>
    </row>
    <row r="157" spans="5:6" ht="18.75">
      <c r="E157" s="28"/>
      <c r="F157" s="28"/>
    </row>
    <row r="158" spans="5:6" ht="18.75">
      <c r="E158" s="28"/>
      <c r="F158" s="28"/>
    </row>
    <row r="159" spans="5:6" ht="18.75">
      <c r="E159" s="28"/>
      <c r="F159" s="28"/>
    </row>
    <row r="160" spans="5:6" ht="18.75">
      <c r="E160" s="28"/>
      <c r="F160" s="28"/>
    </row>
    <row r="161" spans="5:6" ht="18.75">
      <c r="E161" s="28"/>
      <c r="F161" s="28"/>
    </row>
    <row r="162" spans="5:6" ht="18.75">
      <c r="E162" s="28"/>
      <c r="F162" s="28"/>
    </row>
    <row r="163" spans="5:6" ht="18.75">
      <c r="E163" s="28"/>
      <c r="F163" s="28"/>
    </row>
    <row r="164" spans="5:6" ht="18.75">
      <c r="E164" s="28"/>
      <c r="F164" s="28"/>
    </row>
    <row r="165" spans="5:6" ht="18.75">
      <c r="E165" s="28"/>
      <c r="F165" s="28"/>
    </row>
    <row r="166" spans="5:6" ht="18.75">
      <c r="E166" s="28"/>
      <c r="F166" s="28"/>
    </row>
    <row r="167" spans="5:6" ht="18.75">
      <c r="E167" s="28"/>
      <c r="F167" s="28"/>
    </row>
    <row r="168" spans="5:6" ht="18.75">
      <c r="E168" s="28"/>
      <c r="F168" s="28"/>
    </row>
    <row r="169" spans="5:6" ht="18.75">
      <c r="E169" s="28"/>
      <c r="F169" s="28"/>
    </row>
    <row r="170" spans="5:6" ht="18.75">
      <c r="E170" s="28"/>
      <c r="F170" s="28"/>
    </row>
    <row r="171" spans="5:6" ht="18.75">
      <c r="E171" s="28"/>
      <c r="F171" s="28"/>
    </row>
    <row r="172" spans="5:6" ht="18.75">
      <c r="E172" s="28"/>
      <c r="F172" s="28"/>
    </row>
    <row r="173" spans="5:6" ht="18.75">
      <c r="E173" s="28"/>
      <c r="F173" s="28"/>
    </row>
    <row r="174" spans="5:6" ht="18.75">
      <c r="E174" s="28"/>
      <c r="F174" s="28"/>
    </row>
    <row r="175" spans="5:6" ht="18.75">
      <c r="E175" s="28"/>
      <c r="F175" s="28"/>
    </row>
    <row r="176" spans="5:6" ht="18.75">
      <c r="E176" s="28"/>
      <c r="F176" s="28"/>
    </row>
    <row r="177" spans="5:6" ht="18.75">
      <c r="E177" s="28"/>
      <c r="F177" s="28"/>
    </row>
    <row r="178" spans="5:6" ht="18.75">
      <c r="E178" s="28"/>
      <c r="F178" s="28"/>
    </row>
    <row r="179" spans="5:6" ht="18.75">
      <c r="E179" s="28"/>
      <c r="F179" s="28"/>
    </row>
    <row r="180" spans="5:6" ht="18.75">
      <c r="E180" s="28"/>
      <c r="F180" s="28"/>
    </row>
    <row r="181" spans="5:6" ht="18.75">
      <c r="E181" s="28"/>
      <c r="F181" s="28"/>
    </row>
    <row r="182" spans="5:6" ht="18.75">
      <c r="E182" s="28"/>
      <c r="F182" s="28"/>
    </row>
    <row r="183" spans="5:6" ht="18.75">
      <c r="E183" s="28"/>
      <c r="F183" s="28"/>
    </row>
    <row r="184" spans="5:6" ht="18.75">
      <c r="E184" s="28"/>
      <c r="F184" s="28"/>
    </row>
    <row r="185" spans="5:6" ht="18.75">
      <c r="E185" s="28"/>
      <c r="F185" s="28"/>
    </row>
    <row r="186" spans="5:6" ht="18.75">
      <c r="E186" s="28"/>
      <c r="F186" s="28"/>
    </row>
    <row r="187" spans="5:6" ht="18.75">
      <c r="E187" s="28"/>
      <c r="F187" s="28"/>
    </row>
    <row r="188" spans="5:6" ht="18.75">
      <c r="E188" s="28"/>
      <c r="F188" s="28"/>
    </row>
    <row r="189" spans="5:6" ht="18.75">
      <c r="E189" s="28"/>
      <c r="F189" s="28"/>
    </row>
    <row r="190" spans="5:6" ht="18.75">
      <c r="E190" s="28"/>
      <c r="F190" s="28"/>
    </row>
    <row r="191" spans="5:6" ht="18.75">
      <c r="E191" s="28"/>
      <c r="F191" s="28"/>
    </row>
    <row r="192" spans="5:6" ht="18.75">
      <c r="E192" s="28"/>
      <c r="F192" s="28"/>
    </row>
    <row r="193" spans="5:6" ht="18.75">
      <c r="E193" s="28"/>
      <c r="F193" s="28"/>
    </row>
    <row r="194" spans="5:6" ht="18.75">
      <c r="E194" s="28"/>
      <c r="F194" s="28"/>
    </row>
    <row r="195" spans="5:6" ht="18.75">
      <c r="E195" s="28"/>
      <c r="F195" s="28"/>
    </row>
    <row r="196" spans="5:6" ht="18.75">
      <c r="E196" s="28"/>
      <c r="F196" s="28"/>
    </row>
    <row r="197" spans="5:6" ht="18.75">
      <c r="E197" s="28"/>
      <c r="F197" s="28"/>
    </row>
    <row r="198" spans="5:6" ht="18.75">
      <c r="E198" s="28"/>
      <c r="F198" s="28"/>
    </row>
    <row r="199" spans="5:6" ht="18.75">
      <c r="E199" s="28"/>
      <c r="F199" s="28"/>
    </row>
    <row r="200" spans="5:6" ht="18.75">
      <c r="E200" s="28"/>
      <c r="F200" s="28"/>
    </row>
    <row r="201" spans="5:6" ht="18.75">
      <c r="E201" s="28"/>
      <c r="F201" s="28"/>
    </row>
    <row r="202" spans="5:6" ht="18.75">
      <c r="E202" s="28"/>
      <c r="F202" s="28"/>
    </row>
    <row r="203" spans="5:6" ht="18.75">
      <c r="E203" s="28"/>
      <c r="F203" s="28"/>
    </row>
    <row r="204" spans="5:6" ht="18.75">
      <c r="E204" s="28"/>
      <c r="F204" s="28"/>
    </row>
    <row r="205" spans="5:6" ht="18.75">
      <c r="E205" s="28"/>
      <c r="F205" s="28"/>
    </row>
    <row r="206" spans="5:6" ht="18.75">
      <c r="E206" s="28"/>
      <c r="F206" s="28"/>
    </row>
    <row r="207" spans="5:6" ht="18.75">
      <c r="E207" s="28"/>
      <c r="F207" s="28"/>
    </row>
    <row r="208" spans="5:6" ht="18.75">
      <c r="E208" s="28"/>
      <c r="F208" s="28"/>
    </row>
    <row r="209" spans="5:6" ht="18.75">
      <c r="E209" s="28"/>
      <c r="F209" s="28"/>
    </row>
    <row r="210" spans="5:6" ht="18.75">
      <c r="E210" s="28"/>
      <c r="F210" s="28"/>
    </row>
    <row r="211" spans="5:6" ht="18.75">
      <c r="E211" s="28"/>
      <c r="F211" s="28"/>
    </row>
    <row r="212" spans="5:6" ht="18.75">
      <c r="E212" s="28"/>
      <c r="F212" s="28"/>
    </row>
    <row r="213" spans="5:6" ht="18.75">
      <c r="E213" s="28"/>
      <c r="F213" s="28"/>
    </row>
    <row r="214" spans="5:6" ht="18.75">
      <c r="E214" s="28"/>
      <c r="F214" s="28"/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.57421875" style="2" customWidth="1"/>
    <col min="2" max="2" width="24.7109375" style="2" customWidth="1"/>
    <col min="3" max="3" width="45.8515625" style="449" customWidth="1"/>
    <col min="4" max="4" width="20.57421875" style="2" customWidth="1"/>
    <col min="5" max="5" width="21.57421875" style="4" customWidth="1"/>
    <col min="6" max="6" width="19.7109375" style="4" customWidth="1"/>
    <col min="7" max="7" width="18.00390625" style="2" customWidth="1"/>
    <col min="8" max="8" width="28.140625" style="2" customWidth="1"/>
    <col min="9" max="16384" width="9.140625" style="2" customWidth="1"/>
  </cols>
  <sheetData>
    <row r="1" ht="19.5" customHeight="1">
      <c r="C1" s="157" t="s">
        <v>393</v>
      </c>
    </row>
    <row r="2" ht="19.5" customHeight="1">
      <c r="C2" s="159" t="s">
        <v>394</v>
      </c>
    </row>
    <row r="3" ht="19.5" customHeight="1">
      <c r="C3" s="159" t="s">
        <v>822</v>
      </c>
    </row>
    <row r="4" ht="19.5" customHeight="1">
      <c r="C4" s="159" t="s">
        <v>487</v>
      </c>
    </row>
    <row r="5" ht="15" customHeight="1"/>
    <row r="6" ht="14.25" customHeight="1"/>
    <row r="7" spans="1:6" s="26" customFormat="1" ht="19.5" customHeight="1">
      <c r="A7" s="765" t="s">
        <v>323</v>
      </c>
      <c r="B7" s="766"/>
      <c r="C7" s="156"/>
      <c r="D7" s="2"/>
      <c r="E7" s="4"/>
      <c r="F7" s="767"/>
    </row>
    <row r="8" spans="1:6" s="26" customFormat="1" ht="19.5" customHeight="1">
      <c r="A8" s="765" t="s">
        <v>324</v>
      </c>
      <c r="B8" s="766"/>
      <c r="C8" s="156"/>
      <c r="D8" s="2"/>
      <c r="E8" s="4"/>
      <c r="F8" s="767"/>
    </row>
    <row r="9" spans="1:3" ht="18.75" customHeight="1">
      <c r="A9" s="765"/>
      <c r="B9" s="33"/>
      <c r="C9" s="156"/>
    </row>
    <row r="10" spans="1:2" ht="13.5">
      <c r="A10" s="87" t="s">
        <v>712</v>
      </c>
      <c r="B10" s="768"/>
    </row>
    <row r="11" spans="3:4" ht="11.25" customHeight="1">
      <c r="C11" s="769"/>
      <c r="D11" s="770" t="s">
        <v>831</v>
      </c>
    </row>
    <row r="12" spans="1:6" ht="42.75" customHeight="1">
      <c r="A12" s="241" t="s">
        <v>834</v>
      </c>
      <c r="B12" s="241" t="s">
        <v>186</v>
      </c>
      <c r="C12" s="224" t="s">
        <v>325</v>
      </c>
      <c r="D12" s="771" t="s">
        <v>326</v>
      </c>
      <c r="F12" s="772"/>
    </row>
    <row r="13" spans="1:7" s="33" customFormat="1" ht="22.5" customHeight="1">
      <c r="A13" s="773" t="s">
        <v>327</v>
      </c>
      <c r="B13" s="774"/>
      <c r="C13" s="775"/>
      <c r="D13" s="776">
        <f>D14+D25</f>
        <v>9547908.56</v>
      </c>
      <c r="E13" s="3"/>
      <c r="F13" s="772">
        <v>9633908.56</v>
      </c>
      <c r="G13" s="3">
        <f>D13-F13</f>
        <v>-86000</v>
      </c>
    </row>
    <row r="14" spans="1:7" s="33" customFormat="1" ht="24.75" customHeight="1">
      <c r="A14" s="777" t="s">
        <v>328</v>
      </c>
      <c r="B14" s="778"/>
      <c r="C14" s="779"/>
      <c r="D14" s="776">
        <f>D15</f>
        <v>2226734</v>
      </c>
      <c r="E14" s="780"/>
      <c r="F14" s="3">
        <v>2229734</v>
      </c>
      <c r="G14" s="3"/>
    </row>
    <row r="15" spans="1:7" s="33" customFormat="1" ht="30" customHeight="1">
      <c r="A15" s="781">
        <v>801</v>
      </c>
      <c r="B15" s="782" t="s">
        <v>79</v>
      </c>
      <c r="C15" s="450"/>
      <c r="D15" s="783">
        <f>SUM(D16:D24)</f>
        <v>2226734</v>
      </c>
      <c r="E15" s="784"/>
      <c r="F15" s="3">
        <f>D15-F14</f>
        <v>-3000</v>
      </c>
      <c r="G15" s="3"/>
    </row>
    <row r="16" spans="1:6" s="33" customFormat="1" ht="17.25" customHeight="1">
      <c r="A16" s="786"/>
      <c r="B16" s="787"/>
      <c r="C16" s="228" t="s">
        <v>329</v>
      </c>
      <c r="D16" s="788">
        <f>325260-20000+22604</f>
        <v>327864</v>
      </c>
      <c r="E16" s="3"/>
      <c r="F16" s="3"/>
    </row>
    <row r="17" spans="1:6" s="33" customFormat="1" ht="18.75" customHeight="1">
      <c r="A17" s="786"/>
      <c r="B17" s="789"/>
      <c r="C17" s="228" t="s">
        <v>330</v>
      </c>
      <c r="D17" s="790">
        <f>587136-20000-20848</f>
        <v>546288</v>
      </c>
      <c r="E17" s="3"/>
      <c r="F17" s="3"/>
    </row>
    <row r="18" spans="1:6" s="33" customFormat="1" ht="18.75" customHeight="1">
      <c r="A18" s="786"/>
      <c r="B18" s="789"/>
      <c r="C18" s="228" t="s">
        <v>331</v>
      </c>
      <c r="D18" s="863">
        <f>108982-90000-11000-3000</f>
        <v>4982</v>
      </c>
      <c r="E18" s="3"/>
      <c r="F18" s="3"/>
    </row>
    <row r="19" spans="1:6" s="33" customFormat="1" ht="18.75" customHeight="1">
      <c r="A19" s="786"/>
      <c r="B19" s="789"/>
      <c r="C19" s="228" t="s">
        <v>332</v>
      </c>
      <c r="D19" s="863">
        <f>570172+94000+242000+7680</f>
        <v>913852</v>
      </c>
      <c r="E19" s="3"/>
      <c r="F19" s="3"/>
    </row>
    <row r="20" spans="1:6" s="33" customFormat="1" ht="21.75" customHeight="1">
      <c r="A20" s="786"/>
      <c r="B20" s="789"/>
      <c r="C20" s="228" t="s">
        <v>333</v>
      </c>
      <c r="D20" s="790">
        <f>80880-30000+43000+5000</f>
        <v>98880</v>
      </c>
      <c r="E20" s="3"/>
      <c r="F20" s="3"/>
    </row>
    <row r="21" spans="1:6" s="33" customFormat="1" ht="18.75" customHeight="1">
      <c r="A21" s="786"/>
      <c r="B21" s="789"/>
      <c r="C21" s="228" t="s">
        <v>334</v>
      </c>
      <c r="D21" s="863">
        <f>133548-16000-2950</f>
        <v>114598</v>
      </c>
      <c r="E21" s="3"/>
      <c r="F21" s="3"/>
    </row>
    <row r="22" spans="1:6" s="33" customFormat="1" ht="21" customHeight="1">
      <c r="A22" s="786"/>
      <c r="B22" s="789"/>
      <c r="C22" s="228" t="s">
        <v>335</v>
      </c>
      <c r="D22" s="863">
        <f>60312+9600-2150</f>
        <v>67762</v>
      </c>
      <c r="E22" s="3"/>
      <c r="F22" s="3"/>
    </row>
    <row r="23" spans="1:6" s="33" customFormat="1" ht="21" customHeight="1">
      <c r="A23" s="786"/>
      <c r="B23" s="789"/>
      <c r="C23" s="228" t="s">
        <v>336</v>
      </c>
      <c r="D23" s="864">
        <f>103392-550</f>
        <v>102842</v>
      </c>
      <c r="E23" s="3"/>
      <c r="F23" s="3"/>
    </row>
    <row r="24" spans="1:6" s="33" customFormat="1" ht="21" customHeight="1">
      <c r="A24" s="786"/>
      <c r="B24" s="789"/>
      <c r="C24" s="233" t="s">
        <v>337</v>
      </c>
      <c r="D24" s="864">
        <f>51696-2030</f>
        <v>49666</v>
      </c>
      <c r="E24" s="3"/>
      <c r="F24" s="3"/>
    </row>
    <row r="25" spans="1:6" s="33" customFormat="1" ht="24.75" customHeight="1">
      <c r="A25" s="777" t="s">
        <v>338</v>
      </c>
      <c r="B25" s="778"/>
      <c r="C25" s="779"/>
      <c r="D25" s="791">
        <f>D26+D28+D39+D43+D49+D53+D57</f>
        <v>7321174.5600000005</v>
      </c>
      <c r="E25" s="3"/>
      <c r="F25" s="3"/>
    </row>
    <row r="26" spans="1:6" s="33" customFormat="1" ht="33.75" customHeight="1">
      <c r="A26" s="792">
        <v>754</v>
      </c>
      <c r="B26" s="782" t="s">
        <v>71</v>
      </c>
      <c r="C26" s="793"/>
      <c r="D26" s="791">
        <f>D27</f>
        <v>10962</v>
      </c>
      <c r="E26" s="3"/>
      <c r="F26" s="3"/>
    </row>
    <row r="27" spans="1:6" s="33" customFormat="1" ht="55.5" customHeight="1">
      <c r="A27" s="777"/>
      <c r="B27" s="794"/>
      <c r="C27" s="228" t="s">
        <v>339</v>
      </c>
      <c r="D27" s="795">
        <f>15000-4038</f>
        <v>10962</v>
      </c>
      <c r="E27" s="3"/>
      <c r="F27" s="3"/>
    </row>
    <row r="28" spans="1:6" s="33" customFormat="1" ht="21.75" customHeight="1">
      <c r="A28" s="245">
        <v>851</v>
      </c>
      <c r="B28" s="796" t="s">
        <v>119</v>
      </c>
      <c r="C28" s="797"/>
      <c r="D28" s="798">
        <f>SUM(D29:D38)</f>
        <v>970100</v>
      </c>
      <c r="E28" s="784"/>
      <c r="F28" s="3"/>
    </row>
    <row r="29" spans="1:6" s="33" customFormat="1" ht="35.25" customHeight="1">
      <c r="A29" s="301"/>
      <c r="B29" s="799"/>
      <c r="C29" s="228" t="s">
        <v>340</v>
      </c>
      <c r="D29" s="788">
        <v>95000</v>
      </c>
      <c r="E29" s="3"/>
      <c r="F29" s="3"/>
    </row>
    <row r="30" spans="1:6" s="33" customFormat="1" ht="27.75" customHeight="1">
      <c r="A30" s="276"/>
      <c r="B30" s="800"/>
      <c r="C30" s="228" t="s">
        <v>341</v>
      </c>
      <c r="D30" s="788">
        <v>440000</v>
      </c>
      <c r="E30" s="3"/>
      <c r="F30" s="3"/>
    </row>
    <row r="31" spans="1:6" s="33" customFormat="1" ht="52.5" customHeight="1">
      <c r="A31" s="276"/>
      <c r="B31" s="800"/>
      <c r="C31" s="228" t="s">
        <v>342</v>
      </c>
      <c r="D31" s="788">
        <v>50000</v>
      </c>
      <c r="E31" s="3"/>
      <c r="F31" s="3"/>
    </row>
    <row r="32" spans="1:6" s="33" customFormat="1" ht="27.75" customHeight="1">
      <c r="A32" s="276"/>
      <c r="B32" s="800"/>
      <c r="C32" s="228" t="s">
        <v>343</v>
      </c>
      <c r="D32" s="788">
        <v>10000</v>
      </c>
      <c r="E32" s="3"/>
      <c r="F32" s="3"/>
    </row>
    <row r="33" spans="1:6" s="33" customFormat="1" ht="48.75" customHeight="1">
      <c r="A33" s="276"/>
      <c r="B33" s="800"/>
      <c r="C33" s="228" t="s">
        <v>344</v>
      </c>
      <c r="D33" s="788">
        <f>35000+67000-8900</f>
        <v>93100</v>
      </c>
      <c r="E33" s="3"/>
      <c r="F33" s="3"/>
    </row>
    <row r="34" spans="1:6" s="33" customFormat="1" ht="30.75" customHeight="1">
      <c r="A34" s="276"/>
      <c r="B34" s="800"/>
      <c r="C34" s="228" t="s">
        <v>345</v>
      </c>
      <c r="D34" s="788">
        <v>60000</v>
      </c>
      <c r="E34" s="3"/>
      <c r="F34" s="3"/>
    </row>
    <row r="35" spans="1:6" s="33" customFormat="1" ht="27.75" customHeight="1">
      <c r="A35" s="276"/>
      <c r="B35" s="800"/>
      <c r="C35" s="228" t="s">
        <v>346</v>
      </c>
      <c r="D35" s="788">
        <v>101000</v>
      </c>
      <c r="E35" s="3"/>
      <c r="F35" s="3"/>
    </row>
    <row r="36" spans="1:6" s="33" customFormat="1" ht="31.5" customHeight="1">
      <c r="A36" s="276"/>
      <c r="B36" s="800"/>
      <c r="C36" s="228" t="s">
        <v>347</v>
      </c>
      <c r="D36" s="788">
        <v>90000</v>
      </c>
      <c r="E36" s="3"/>
      <c r="F36" s="3"/>
    </row>
    <row r="37" spans="1:6" s="33" customFormat="1" ht="25.5" customHeight="1">
      <c r="A37" s="276"/>
      <c r="B37" s="800"/>
      <c r="C37" s="228" t="s">
        <v>348</v>
      </c>
      <c r="D37" s="788">
        <v>25000</v>
      </c>
      <c r="E37" s="3"/>
      <c r="F37" s="3"/>
    </row>
    <row r="38" spans="1:6" s="33" customFormat="1" ht="26.25" customHeight="1">
      <c r="A38" s="276"/>
      <c r="B38" s="800"/>
      <c r="C38" s="801" t="s">
        <v>349</v>
      </c>
      <c r="D38" s="360">
        <v>6000</v>
      </c>
      <c r="E38" s="3"/>
      <c r="F38" s="3"/>
    </row>
    <row r="39" spans="1:6" s="33" customFormat="1" ht="21" customHeight="1">
      <c r="A39" s="301">
        <v>852</v>
      </c>
      <c r="B39" s="802" t="s">
        <v>293</v>
      </c>
      <c r="C39" s="797"/>
      <c r="D39" s="803">
        <f>SUM(D40:D42)</f>
        <v>1485000</v>
      </c>
      <c r="E39" s="3"/>
      <c r="F39" s="3"/>
    </row>
    <row r="40" spans="1:6" s="33" customFormat="1" ht="34.5" customHeight="1">
      <c r="A40" s="804"/>
      <c r="B40" s="802"/>
      <c r="C40" s="805" t="s">
        <v>350</v>
      </c>
      <c r="D40" s="788">
        <v>1200000</v>
      </c>
      <c r="E40" s="3"/>
      <c r="F40" s="3"/>
    </row>
    <row r="41" spans="1:6" s="33" customFormat="1" ht="26.25" customHeight="1">
      <c r="A41" s="283"/>
      <c r="B41" s="806"/>
      <c r="C41" s="807" t="s">
        <v>351</v>
      </c>
      <c r="D41" s="788">
        <f>200000</f>
        <v>200000</v>
      </c>
      <c r="E41" s="3"/>
      <c r="F41" s="3"/>
    </row>
    <row r="42" spans="1:6" s="33" customFormat="1" ht="32.25" customHeight="1">
      <c r="A42" s="283"/>
      <c r="B42" s="806"/>
      <c r="C42" s="807" t="s">
        <v>352</v>
      </c>
      <c r="D42" s="788">
        <v>85000</v>
      </c>
      <c r="E42" s="3"/>
      <c r="F42" s="3"/>
    </row>
    <row r="43" spans="1:6" s="33" customFormat="1" ht="39" customHeight="1">
      <c r="A43" s="214">
        <v>853</v>
      </c>
      <c r="B43" s="808" t="s">
        <v>124</v>
      </c>
      <c r="C43" s="809"/>
      <c r="D43" s="783">
        <f>SUM(D44:D48)</f>
        <v>1986112.56</v>
      </c>
      <c r="E43" s="3"/>
      <c r="F43" s="3"/>
    </row>
    <row r="44" spans="1:8" s="33" customFormat="1" ht="28.5" customHeight="1">
      <c r="A44" s="283"/>
      <c r="B44" s="806"/>
      <c r="C44" s="809" t="s">
        <v>353</v>
      </c>
      <c r="D44" s="863">
        <f>168000-10400-15000-20000-83000</f>
        <v>39600</v>
      </c>
      <c r="E44" s="3"/>
      <c r="F44" s="3"/>
      <c r="G44" s="319"/>
      <c r="H44" s="319"/>
    </row>
    <row r="45" spans="1:8" s="33" customFormat="1" ht="36" customHeight="1">
      <c r="A45" s="283"/>
      <c r="B45" s="806"/>
      <c r="C45" s="807" t="s">
        <v>354</v>
      </c>
      <c r="D45" s="788">
        <f>9000+40000</f>
        <v>49000</v>
      </c>
      <c r="E45" s="3"/>
      <c r="F45" s="3"/>
      <c r="G45" s="319"/>
      <c r="H45" s="810"/>
    </row>
    <row r="46" spans="1:8" s="33" customFormat="1" ht="40.5" customHeight="1">
      <c r="A46" s="283"/>
      <c r="B46" s="806"/>
      <c r="C46" s="807" t="s">
        <v>355</v>
      </c>
      <c r="D46" s="788">
        <f>1360000+240000+40000</f>
        <v>1640000</v>
      </c>
      <c r="E46" s="3"/>
      <c r="F46" s="3"/>
      <c r="G46" s="319"/>
      <c r="H46" s="319"/>
    </row>
    <row r="47" spans="1:6" s="33" customFormat="1" ht="40.5" customHeight="1">
      <c r="A47" s="283"/>
      <c r="B47" s="806"/>
      <c r="C47" s="807" t="s">
        <v>356</v>
      </c>
      <c r="D47" s="788">
        <f>221000-15239.17-2689.27</f>
        <v>203071.56</v>
      </c>
      <c r="E47" s="3"/>
      <c r="F47" s="3"/>
    </row>
    <row r="48" spans="1:6" s="33" customFormat="1" ht="42.75" customHeight="1">
      <c r="A48" s="283"/>
      <c r="B48" s="806"/>
      <c r="C48" s="807" t="s">
        <v>357</v>
      </c>
      <c r="D48" s="788">
        <f>58174.85+10266.15+5833.61+1029.46-17733.61-3129.46</f>
        <v>54441.00000000001</v>
      </c>
      <c r="E48" s="3"/>
      <c r="F48" s="3"/>
    </row>
    <row r="49" spans="1:6" s="33" customFormat="1" ht="37.5" customHeight="1">
      <c r="A49" s="301">
        <v>900</v>
      </c>
      <c r="B49" s="811" t="s">
        <v>358</v>
      </c>
      <c r="C49" s="812"/>
      <c r="D49" s="776">
        <f>SUM(D50:D52)</f>
        <v>750000</v>
      </c>
      <c r="E49" s="3"/>
      <c r="F49" s="3"/>
    </row>
    <row r="50" spans="1:6" s="33" customFormat="1" ht="62.25" customHeight="1">
      <c r="A50" s="321"/>
      <c r="B50" s="813"/>
      <c r="C50" s="814" t="s">
        <v>359</v>
      </c>
      <c r="D50" s="788">
        <v>270000</v>
      </c>
      <c r="E50" s="3"/>
      <c r="F50" s="3"/>
    </row>
    <row r="51" spans="1:6" s="818" customFormat="1" ht="42.75" customHeight="1">
      <c r="A51" s="306"/>
      <c r="B51" s="815"/>
      <c r="C51" s="816" t="s">
        <v>360</v>
      </c>
      <c r="D51" s="817">
        <v>30000</v>
      </c>
      <c r="E51" s="784"/>
      <c r="F51" s="784"/>
    </row>
    <row r="52" spans="1:6" s="33" customFormat="1" ht="37.5" customHeight="1">
      <c r="A52" s="361"/>
      <c r="B52" s="819"/>
      <c r="C52" s="816" t="s">
        <v>361</v>
      </c>
      <c r="D52" s="788">
        <f>50000+100000+300000</f>
        <v>450000</v>
      </c>
      <c r="E52" s="3"/>
      <c r="F52" s="3"/>
    </row>
    <row r="53" spans="1:6" s="33" customFormat="1" ht="39" customHeight="1">
      <c r="A53" s="214">
        <v>921</v>
      </c>
      <c r="B53" s="820" t="s">
        <v>455</v>
      </c>
      <c r="C53" s="808"/>
      <c r="D53" s="776">
        <f>SUM(D54:D56)</f>
        <v>173000</v>
      </c>
      <c r="E53" s="3"/>
      <c r="F53" s="3"/>
    </row>
    <row r="54" spans="1:6" s="33" customFormat="1" ht="31.5" customHeight="1">
      <c r="A54" s="306"/>
      <c r="B54" s="815"/>
      <c r="C54" s="821" t="s">
        <v>362</v>
      </c>
      <c r="D54" s="790">
        <f>60000+40000</f>
        <v>100000</v>
      </c>
      <c r="E54" s="3"/>
      <c r="F54" s="3"/>
    </row>
    <row r="55" spans="1:6" s="33" customFormat="1" ht="35.25" customHeight="1">
      <c r="A55" s="306"/>
      <c r="B55" s="815"/>
      <c r="C55" s="395" t="s">
        <v>363</v>
      </c>
      <c r="D55" s="790">
        <v>45000</v>
      </c>
      <c r="E55" s="3"/>
      <c r="F55" s="3"/>
    </row>
    <row r="56" spans="1:6" s="33" customFormat="1" ht="28.5" customHeight="1">
      <c r="A56" s="361"/>
      <c r="B56" s="819"/>
      <c r="C56" s="822" t="s">
        <v>364</v>
      </c>
      <c r="D56" s="790">
        <v>28000</v>
      </c>
      <c r="E56" s="3"/>
      <c r="F56" s="3"/>
    </row>
    <row r="57" spans="1:10" s="33" customFormat="1" ht="29.25" customHeight="1">
      <c r="A57" s="245">
        <v>926</v>
      </c>
      <c r="B57" s="823" t="s">
        <v>365</v>
      </c>
      <c r="C57" s="812"/>
      <c r="D57" s="776">
        <f>SUM(D58:D63)</f>
        <v>1946000</v>
      </c>
      <c r="E57" s="3"/>
      <c r="F57" s="824"/>
      <c r="G57" s="323"/>
      <c r="H57" s="323"/>
      <c r="I57" s="323"/>
      <c r="J57" s="323"/>
    </row>
    <row r="58" spans="1:10" s="353" customFormat="1" ht="69.75" customHeight="1">
      <c r="A58" s="321"/>
      <c r="B58" s="177"/>
      <c r="C58" s="822" t="s">
        <v>366</v>
      </c>
      <c r="D58" s="825">
        <v>1700000</v>
      </c>
      <c r="E58" s="3"/>
      <c r="F58" s="826"/>
      <c r="G58" s="827"/>
      <c r="H58" s="827"/>
      <c r="I58" s="827"/>
      <c r="J58" s="827"/>
    </row>
    <row r="59" spans="1:10" s="353" customFormat="1" ht="37.5" customHeight="1">
      <c r="A59" s="306"/>
      <c r="B59" s="185"/>
      <c r="C59" s="822" t="s">
        <v>367</v>
      </c>
      <c r="D59" s="825">
        <v>100000</v>
      </c>
      <c r="E59" s="3"/>
      <c r="F59" s="826"/>
      <c r="G59" s="827"/>
      <c r="H59" s="827"/>
      <c r="I59" s="827"/>
      <c r="J59" s="827"/>
    </row>
    <row r="60" spans="1:10" s="353" customFormat="1" ht="32.25" customHeight="1">
      <c r="A60" s="306"/>
      <c r="B60" s="185"/>
      <c r="C60" s="822" t="s">
        <v>368</v>
      </c>
      <c r="D60" s="825">
        <v>15000</v>
      </c>
      <c r="E60" s="3"/>
      <c r="F60" s="826"/>
      <c r="G60" s="827"/>
      <c r="H60" s="827"/>
      <c r="I60" s="827"/>
      <c r="J60" s="827"/>
    </row>
    <row r="61" spans="1:10" s="353" customFormat="1" ht="40.5" customHeight="1">
      <c r="A61" s="306"/>
      <c r="B61" s="185"/>
      <c r="C61" s="822" t="s">
        <v>369</v>
      </c>
      <c r="D61" s="825">
        <v>10000</v>
      </c>
      <c r="E61" s="3"/>
      <c r="F61" s="826"/>
      <c r="G61" s="827"/>
      <c r="H61" s="827"/>
      <c r="I61" s="827"/>
      <c r="J61" s="827"/>
    </row>
    <row r="62" spans="1:10" s="353" customFormat="1" ht="33" customHeight="1">
      <c r="A62" s="828"/>
      <c r="B62" s="264"/>
      <c r="C62" s="829" t="s">
        <v>370</v>
      </c>
      <c r="D62" s="825">
        <f>115000-19000</f>
        <v>96000</v>
      </c>
      <c r="E62" s="3"/>
      <c r="F62" s="826"/>
      <c r="G62" s="827"/>
      <c r="H62" s="827"/>
      <c r="I62" s="827"/>
      <c r="J62" s="827"/>
    </row>
    <row r="63" spans="1:10" s="33" customFormat="1" ht="39" customHeight="1">
      <c r="A63" s="828"/>
      <c r="B63" s="264"/>
      <c r="C63" s="822" t="s">
        <v>371</v>
      </c>
      <c r="D63" s="788">
        <v>25000</v>
      </c>
      <c r="E63" s="3"/>
      <c r="F63" s="772"/>
      <c r="G63" s="824"/>
      <c r="H63" s="323"/>
      <c r="I63" s="323"/>
      <c r="J63" s="323"/>
    </row>
    <row r="64" spans="1:10" s="33" customFormat="1" ht="36.75" customHeight="1">
      <c r="A64" s="830" t="s">
        <v>372</v>
      </c>
      <c r="B64" s="831"/>
      <c r="C64" s="832"/>
      <c r="D64" s="803">
        <f>D65+D84</f>
        <v>7811677</v>
      </c>
      <c r="E64" s="3"/>
      <c r="F64" s="833">
        <v>8041634</v>
      </c>
      <c r="G64" s="824"/>
      <c r="H64" s="323"/>
      <c r="I64" s="323"/>
      <c r="J64" s="323"/>
    </row>
    <row r="65" spans="1:10" s="33" customFormat="1" ht="27" customHeight="1">
      <c r="A65" s="834" t="s">
        <v>328</v>
      </c>
      <c r="B65" s="835"/>
      <c r="C65" s="836"/>
      <c r="D65" s="837">
        <f>D66+D80+D82</f>
        <v>7046592</v>
      </c>
      <c r="E65" s="3"/>
      <c r="F65" s="824"/>
      <c r="G65" s="824"/>
      <c r="H65" s="323"/>
      <c r="I65" s="323"/>
      <c r="J65" s="323"/>
    </row>
    <row r="66" spans="1:10" s="33" customFormat="1" ht="19.5" customHeight="1">
      <c r="A66" s="781">
        <v>801</v>
      </c>
      <c r="B66" s="838" t="s">
        <v>79</v>
      </c>
      <c r="C66" s="228"/>
      <c r="D66" s="783">
        <f>SUM(D67:D79)</f>
        <v>5354151</v>
      </c>
      <c r="E66" s="3"/>
      <c r="F66" s="824">
        <v>5586108</v>
      </c>
      <c r="G66" s="824"/>
      <c r="H66" s="323"/>
      <c r="I66" s="323"/>
      <c r="J66" s="323"/>
    </row>
    <row r="67" spans="1:10" s="33" customFormat="1" ht="30" customHeight="1">
      <c r="A67" s="839"/>
      <c r="B67" s="279"/>
      <c r="C67" s="840" t="s">
        <v>373</v>
      </c>
      <c r="D67" s="863">
        <f>460000+956468-174000+155000+42350-100000</f>
        <v>1339818</v>
      </c>
      <c r="E67" s="3"/>
      <c r="F67" s="824">
        <f>D66-F66</f>
        <v>-231957</v>
      </c>
      <c r="G67" s="323"/>
      <c r="H67" s="323"/>
      <c r="I67" s="323"/>
      <c r="J67" s="323"/>
    </row>
    <row r="68" spans="1:10" s="33" customFormat="1" ht="26.25" customHeight="1">
      <c r="A68" s="841"/>
      <c r="B68" s="273"/>
      <c r="C68" s="228" t="s">
        <v>374</v>
      </c>
      <c r="D68" s="790">
        <f>200000+400000-183350-137000-40611-202016</f>
        <v>37023</v>
      </c>
      <c r="E68" s="3"/>
      <c r="F68" s="824">
        <f>F15+F67</f>
        <v>-234957</v>
      </c>
      <c r="G68" s="323">
        <v>801</v>
      </c>
      <c r="H68" s="323"/>
      <c r="I68" s="323"/>
      <c r="J68" s="323"/>
    </row>
    <row r="69" spans="1:10" s="33" customFormat="1" ht="25.5" customHeight="1">
      <c r="A69" s="841"/>
      <c r="B69" s="273"/>
      <c r="C69" s="840" t="s">
        <v>375</v>
      </c>
      <c r="D69" s="790">
        <f>400000-258000</f>
        <v>142000</v>
      </c>
      <c r="E69" s="3"/>
      <c r="F69" s="824">
        <v>2000</v>
      </c>
      <c r="G69" s="323">
        <v>854</v>
      </c>
      <c r="H69" s="323"/>
      <c r="I69" s="323"/>
      <c r="J69" s="323"/>
    </row>
    <row r="70" spans="1:10" s="33" customFormat="1" ht="25.5" customHeight="1">
      <c r="A70" s="841"/>
      <c r="B70" s="273"/>
      <c r="C70" s="842" t="s">
        <v>376</v>
      </c>
      <c r="D70" s="863">
        <f>670000-215800-8000</f>
        <v>446200</v>
      </c>
      <c r="E70" s="3"/>
      <c r="F70" s="824">
        <f>SUM(F68:F69)</f>
        <v>-232957</v>
      </c>
      <c r="G70" s="323"/>
      <c r="H70" s="323"/>
      <c r="I70" s="323"/>
      <c r="J70" s="323"/>
    </row>
    <row r="71" spans="1:10" s="33" customFormat="1" ht="25.5" customHeight="1">
      <c r="A71" s="841"/>
      <c r="B71" s="273"/>
      <c r="C71" s="842" t="s">
        <v>329</v>
      </c>
      <c r="D71" s="863">
        <f>350000+175000+300000-131000-139000-22300+17900</f>
        <v>550600</v>
      </c>
      <c r="E71" s="3"/>
      <c r="F71" s="824"/>
      <c r="G71" s="323"/>
      <c r="H71" s="323"/>
      <c r="I71" s="323"/>
      <c r="J71" s="323"/>
    </row>
    <row r="72" spans="1:10" s="33" customFormat="1" ht="29.25" customHeight="1">
      <c r="A72" s="841"/>
      <c r="B72" s="273"/>
      <c r="C72" s="842" t="s">
        <v>377</v>
      </c>
      <c r="D72" s="863">
        <f>700000+200000-208500-125800-19000</f>
        <v>546700</v>
      </c>
      <c r="E72" s="3"/>
      <c r="F72" s="824"/>
      <c r="G72" s="323"/>
      <c r="H72" s="323"/>
      <c r="I72" s="323"/>
      <c r="J72" s="323"/>
    </row>
    <row r="73" spans="1:10" s="33" customFormat="1" ht="24.75" customHeight="1">
      <c r="A73" s="841"/>
      <c r="B73" s="273"/>
      <c r="C73" s="843" t="s">
        <v>378</v>
      </c>
      <c r="D73" s="863">
        <f>350000+800000+70000-50000-30000-50000</f>
        <v>1090000</v>
      </c>
      <c r="E73" s="3"/>
      <c r="F73" s="824"/>
      <c r="G73" s="323"/>
      <c r="H73" s="323"/>
      <c r="I73" s="323"/>
      <c r="J73" s="323"/>
    </row>
    <row r="74" spans="1:10" s="33" customFormat="1" ht="30.75" customHeight="1">
      <c r="A74" s="841"/>
      <c r="B74" s="273"/>
      <c r="C74" s="842" t="s">
        <v>379</v>
      </c>
      <c r="D74" s="863">
        <f>170000-83995-3900</f>
        <v>82105</v>
      </c>
      <c r="E74" s="3"/>
      <c r="F74" s="824"/>
      <c r="G74" s="323"/>
      <c r="H74" s="323"/>
      <c r="I74" s="323"/>
      <c r="J74" s="323"/>
    </row>
    <row r="75" spans="1:10" s="33" customFormat="1" ht="23.25" customHeight="1">
      <c r="A75" s="841"/>
      <c r="B75" s="273"/>
      <c r="C75" s="843" t="s">
        <v>380</v>
      </c>
      <c r="D75" s="863">
        <f>200000+500000-110100-327000-9000-20000</f>
        <v>233900</v>
      </c>
      <c r="E75" s="3"/>
      <c r="F75" s="824"/>
      <c r="G75" s="323"/>
      <c r="H75" s="323"/>
      <c r="I75" s="323"/>
      <c r="J75" s="323"/>
    </row>
    <row r="76" spans="1:10" s="33" customFormat="1" ht="24" customHeight="1">
      <c r="A76" s="841"/>
      <c r="B76" s="273"/>
      <c r="C76" s="843" t="s">
        <v>381</v>
      </c>
      <c r="D76" s="790">
        <f>100000+90000</f>
        <v>190000</v>
      </c>
      <c r="E76" s="3"/>
      <c r="F76" s="824"/>
      <c r="G76" s="323"/>
      <c r="H76" s="323"/>
      <c r="I76" s="323"/>
      <c r="J76" s="323"/>
    </row>
    <row r="77" spans="1:10" s="33" customFormat="1" ht="28.5" customHeight="1">
      <c r="A77" s="841"/>
      <c r="B77" s="273"/>
      <c r="C77" s="842" t="s">
        <v>382</v>
      </c>
      <c r="D77" s="866">
        <f>130000-32000+1830</f>
        <v>99830</v>
      </c>
      <c r="E77" s="3"/>
      <c r="F77" s="824"/>
      <c r="G77" s="323"/>
      <c r="H77" s="323"/>
      <c r="I77" s="323"/>
      <c r="J77" s="323"/>
    </row>
    <row r="78" spans="1:10" s="33" customFormat="1" ht="24.75" customHeight="1">
      <c r="A78" s="841"/>
      <c r="B78" s="273"/>
      <c r="C78" s="844" t="s">
        <v>383</v>
      </c>
      <c r="D78" s="863">
        <f>600000-172188+463</f>
        <v>428275</v>
      </c>
      <c r="E78" s="3"/>
      <c r="F78" s="824"/>
      <c r="G78" s="323"/>
      <c r="H78" s="323"/>
      <c r="I78" s="323"/>
      <c r="J78" s="323"/>
    </row>
    <row r="79" spans="1:10" s="33" customFormat="1" ht="28.5" customHeight="1">
      <c r="A79" s="845"/>
      <c r="B79" s="846"/>
      <c r="C79" s="842" t="s">
        <v>384</v>
      </c>
      <c r="D79" s="865">
        <f>250000-50000-32300</f>
        <v>167700</v>
      </c>
      <c r="E79" s="3"/>
      <c r="F79" s="824"/>
      <c r="G79" s="323"/>
      <c r="H79" s="323"/>
      <c r="I79" s="323"/>
      <c r="J79" s="323"/>
    </row>
    <row r="80" spans="1:10" s="33" customFormat="1" ht="33.75" customHeight="1">
      <c r="A80" s="301">
        <v>853</v>
      </c>
      <c r="B80" s="838" t="s">
        <v>124</v>
      </c>
      <c r="C80" s="829"/>
      <c r="D80" s="776">
        <f>SUM(D81:D81)</f>
        <v>308105</v>
      </c>
      <c r="E80" s="3"/>
      <c r="F80" s="824"/>
      <c r="G80" s="323"/>
      <c r="H80" s="323"/>
      <c r="I80" s="323"/>
      <c r="J80" s="323"/>
    </row>
    <row r="81" spans="1:10" s="159" customFormat="1" ht="36" customHeight="1">
      <c r="A81" s="804"/>
      <c r="B81" s="838"/>
      <c r="C81" s="847" t="s">
        <v>385</v>
      </c>
      <c r="D81" s="817">
        <v>308105</v>
      </c>
      <c r="E81" s="3"/>
      <c r="F81" s="848"/>
      <c r="G81" s="849"/>
      <c r="H81" s="849"/>
      <c r="I81" s="849"/>
      <c r="J81" s="849"/>
    </row>
    <row r="82" spans="1:10" s="33" customFormat="1" ht="33.75" customHeight="1">
      <c r="A82" s="850">
        <v>854</v>
      </c>
      <c r="B82" s="782" t="s">
        <v>386</v>
      </c>
      <c r="C82" s="228"/>
      <c r="D82" s="783">
        <f>D83</f>
        <v>1384336</v>
      </c>
      <c r="E82" s="784"/>
      <c r="F82" s="824"/>
      <c r="G82" s="323"/>
      <c r="H82" s="323"/>
      <c r="I82" s="323"/>
      <c r="J82" s="323"/>
    </row>
    <row r="83" spans="1:10" s="33" customFormat="1" ht="37.5" customHeight="1">
      <c r="A83" s="851"/>
      <c r="B83" s="852"/>
      <c r="C83" s="228" t="s">
        <v>387</v>
      </c>
      <c r="D83" s="863">
        <f>1350000+32336+2000</f>
        <v>1384336</v>
      </c>
      <c r="E83" s="3"/>
      <c r="F83" s="824"/>
      <c r="G83" s="323"/>
      <c r="H83" s="323"/>
      <c r="I83" s="323"/>
      <c r="J83" s="323"/>
    </row>
    <row r="84" spans="1:10" s="33" customFormat="1" ht="26.25" customHeight="1">
      <c r="A84" s="777" t="s">
        <v>338</v>
      </c>
      <c r="B84" s="853"/>
      <c r="C84" s="854"/>
      <c r="D84" s="855">
        <f>D85+D88+D90</f>
        <v>765085</v>
      </c>
      <c r="E84" s="3"/>
      <c r="F84" s="824"/>
      <c r="G84" s="323"/>
      <c r="H84" s="323"/>
      <c r="I84" s="323"/>
      <c r="J84" s="323"/>
    </row>
    <row r="85" spans="1:10" s="33" customFormat="1" ht="28.5" customHeight="1">
      <c r="A85" s="276">
        <v>630</v>
      </c>
      <c r="B85" s="856" t="s">
        <v>456</v>
      </c>
      <c r="C85" s="840" t="s">
        <v>712</v>
      </c>
      <c r="D85" s="776">
        <f>SUM(D86:D87)</f>
        <v>90000</v>
      </c>
      <c r="E85" s="3"/>
      <c r="F85" s="824"/>
      <c r="G85" s="323"/>
      <c r="H85" s="323"/>
      <c r="I85" s="323"/>
      <c r="J85" s="323"/>
    </row>
    <row r="86" spans="1:10" s="33" customFormat="1" ht="35.25" customHeight="1">
      <c r="A86" s="804"/>
      <c r="B86" s="857"/>
      <c r="C86" s="858" t="s">
        <v>388</v>
      </c>
      <c r="D86" s="817">
        <f>30000+30000</f>
        <v>60000</v>
      </c>
      <c r="E86" s="3"/>
      <c r="F86" s="824"/>
      <c r="G86" s="323"/>
      <c r="H86" s="323"/>
      <c r="I86" s="323"/>
      <c r="J86" s="323"/>
    </row>
    <row r="87" spans="1:10" s="33" customFormat="1" ht="30" customHeight="1">
      <c r="A87" s="306"/>
      <c r="B87" s="859"/>
      <c r="C87" s="814" t="s">
        <v>389</v>
      </c>
      <c r="D87" s="788">
        <v>30000</v>
      </c>
      <c r="E87" s="3"/>
      <c r="F87" s="824"/>
      <c r="G87" s="323"/>
      <c r="H87" s="323"/>
      <c r="I87" s="323"/>
      <c r="J87" s="323"/>
    </row>
    <row r="88" spans="1:10" s="33" customFormat="1" ht="26.25" customHeight="1">
      <c r="A88" s="214">
        <v>852</v>
      </c>
      <c r="B88" s="860" t="s">
        <v>293</v>
      </c>
      <c r="C88" s="829"/>
      <c r="D88" s="776">
        <f>SUM(D89:D89)</f>
        <v>200000</v>
      </c>
      <c r="E88" s="3"/>
      <c r="F88" s="824"/>
      <c r="G88" s="323"/>
      <c r="H88" s="323"/>
      <c r="I88" s="323"/>
      <c r="J88" s="323"/>
    </row>
    <row r="89" spans="1:6" s="33" customFormat="1" ht="29.25" customHeight="1">
      <c r="A89" s="264"/>
      <c r="B89" s="264"/>
      <c r="C89" s="847" t="s">
        <v>390</v>
      </c>
      <c r="D89" s="788">
        <v>200000</v>
      </c>
      <c r="E89" s="780"/>
      <c r="F89" s="3"/>
    </row>
    <row r="90" spans="1:6" s="33" customFormat="1" ht="32.25" customHeight="1">
      <c r="A90" s="301">
        <v>853</v>
      </c>
      <c r="B90" s="838" t="s">
        <v>124</v>
      </c>
      <c r="C90" s="847"/>
      <c r="D90" s="783">
        <f>D91</f>
        <v>475085</v>
      </c>
      <c r="E90" s="780"/>
      <c r="F90" s="3"/>
    </row>
    <row r="91" spans="1:6" s="33" customFormat="1" ht="33.75" customHeight="1">
      <c r="A91" s="861"/>
      <c r="B91" s="861"/>
      <c r="C91" s="847" t="s">
        <v>391</v>
      </c>
      <c r="D91" s="788">
        <f>1000000-524915</f>
        <v>475085</v>
      </c>
      <c r="E91" s="780"/>
      <c r="F91" s="772"/>
    </row>
    <row r="92" spans="1:6" s="33" customFormat="1" ht="29.25" customHeight="1">
      <c r="A92" s="940" t="s">
        <v>392</v>
      </c>
      <c r="B92" s="941"/>
      <c r="C92" s="942"/>
      <c r="D92" s="862">
        <f>D13+D64</f>
        <v>17359585.560000002</v>
      </c>
      <c r="E92" s="780"/>
      <c r="F92" s="772"/>
    </row>
    <row r="93" spans="3:7" s="33" customFormat="1" ht="12.75">
      <c r="C93" s="156"/>
      <c r="E93" s="780"/>
      <c r="F93" s="3"/>
      <c r="G93" s="3"/>
    </row>
    <row r="94" spans="3:6" s="33" customFormat="1" ht="12.75">
      <c r="C94" s="156"/>
      <c r="E94" s="3"/>
      <c r="F94" s="3"/>
    </row>
    <row r="95" spans="3:6" s="33" customFormat="1" ht="12.75">
      <c r="C95" s="156"/>
      <c r="E95" s="3"/>
      <c r="F95" s="3"/>
    </row>
    <row r="96" spans="3:6" s="33" customFormat="1" ht="12.75">
      <c r="C96" s="156"/>
      <c r="E96" s="3"/>
      <c r="F96" s="3"/>
    </row>
    <row r="97" spans="3:7" s="33" customFormat="1" ht="12.75">
      <c r="C97" s="156"/>
      <c r="E97" s="3"/>
      <c r="F97" s="3"/>
      <c r="G97" s="3"/>
    </row>
    <row r="98" spans="3:6" s="33" customFormat="1" ht="12.75">
      <c r="C98" s="156"/>
      <c r="E98" s="3"/>
      <c r="F98" s="3"/>
    </row>
    <row r="99" spans="3:6" s="33" customFormat="1" ht="12.75">
      <c r="C99" s="156"/>
      <c r="E99" s="3"/>
      <c r="F99" s="3"/>
    </row>
    <row r="100" spans="3:6" s="33" customFormat="1" ht="12.75">
      <c r="C100" s="156"/>
      <c r="E100" s="3"/>
      <c r="F100" s="3"/>
    </row>
    <row r="101" spans="3:6" s="33" customFormat="1" ht="12.75">
      <c r="C101" s="156"/>
      <c r="E101" s="3"/>
      <c r="F101" s="3"/>
    </row>
    <row r="102" spans="3:6" s="33" customFormat="1" ht="12.75">
      <c r="C102" s="156"/>
      <c r="E102" s="3"/>
      <c r="F102" s="3"/>
    </row>
    <row r="103" spans="3:6" s="33" customFormat="1" ht="12.75">
      <c r="C103" s="156"/>
      <c r="E103" s="3"/>
      <c r="F103" s="3"/>
    </row>
    <row r="104" spans="3:6" s="33" customFormat="1" ht="12.75">
      <c r="C104" s="156"/>
      <c r="E104" s="3"/>
      <c r="F104" s="3"/>
    </row>
    <row r="105" spans="3:6" s="33" customFormat="1" ht="12.75">
      <c r="C105" s="156"/>
      <c r="E105" s="3"/>
      <c r="F105" s="3"/>
    </row>
    <row r="106" spans="3:6" s="33" customFormat="1" ht="12.75">
      <c r="C106" s="156"/>
      <c r="E106" s="3"/>
      <c r="F106" s="3"/>
    </row>
    <row r="107" spans="3:6" s="33" customFormat="1" ht="12.75">
      <c r="C107" s="156"/>
      <c r="E107" s="3"/>
      <c r="F107" s="3"/>
    </row>
    <row r="108" spans="3:6" s="33" customFormat="1" ht="12.75">
      <c r="C108" s="156"/>
      <c r="E108" s="3"/>
      <c r="F108" s="3"/>
    </row>
    <row r="109" spans="3:6" s="33" customFormat="1" ht="12.75">
      <c r="C109" s="156"/>
      <c r="E109" s="3"/>
      <c r="F109" s="3"/>
    </row>
    <row r="110" spans="3:6" s="33" customFormat="1" ht="12.75">
      <c r="C110" s="156"/>
      <c r="E110" s="3"/>
      <c r="F110" s="3"/>
    </row>
    <row r="111" spans="3:6" s="33" customFormat="1" ht="12.75">
      <c r="C111" s="156"/>
      <c r="E111" s="3"/>
      <c r="F111" s="3"/>
    </row>
    <row r="133" ht="12.75">
      <c r="G133" s="4"/>
    </row>
  </sheetData>
  <sheetProtection/>
  <mergeCells count="1">
    <mergeCell ref="A92:C92"/>
  </mergeCells>
  <printOptions/>
  <pageMargins left="0.1968503937007874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37">
      <selection activeCell="D21" sqref="D21"/>
    </sheetView>
  </sheetViews>
  <sheetFormatPr defaultColWidth="9.140625" defaultRowHeight="12.75"/>
  <cols>
    <col min="1" max="1" width="5.421875" style="2" customWidth="1"/>
    <col min="2" max="2" width="30.7109375" style="2" customWidth="1"/>
    <col min="3" max="3" width="33.57421875" style="2" customWidth="1"/>
    <col min="4" max="4" width="19.7109375" style="2" customWidth="1"/>
    <col min="5" max="5" width="17.8515625" style="4" customWidth="1"/>
    <col min="6" max="6" width="24.7109375" style="2" customWidth="1"/>
    <col min="7" max="7" width="9.140625" style="2" customWidth="1"/>
    <col min="8" max="8" width="8.8515625" style="2" customWidth="1"/>
    <col min="9" max="16384" width="9.140625" style="2" customWidth="1"/>
  </cols>
  <sheetData>
    <row r="1" spans="3:6" ht="19.5" customHeight="1">
      <c r="C1" s="867" t="s">
        <v>412</v>
      </c>
      <c r="F1" s="867"/>
    </row>
    <row r="2" spans="3:6" ht="23.25" customHeight="1">
      <c r="C2" s="362" t="s">
        <v>394</v>
      </c>
      <c r="F2" s="362"/>
    </row>
    <row r="3" spans="3:6" ht="21.75" customHeight="1">
      <c r="C3" s="362" t="s">
        <v>822</v>
      </c>
      <c r="F3" s="362"/>
    </row>
    <row r="4" spans="3:6" ht="21" customHeight="1">
      <c r="C4" s="362" t="s">
        <v>413</v>
      </c>
      <c r="F4" s="362"/>
    </row>
    <row r="5" spans="3:6" ht="21" customHeight="1">
      <c r="C5" s="362"/>
      <c r="F5" s="362"/>
    </row>
    <row r="6" ht="18" customHeight="1">
      <c r="C6" s="868"/>
    </row>
    <row r="7" spans="1:5" s="26" customFormat="1" ht="17.25" customHeight="1">
      <c r="A7" s="765" t="s">
        <v>395</v>
      </c>
      <c r="B7" s="765"/>
      <c r="C7" s="869"/>
      <c r="D7" s="2"/>
      <c r="E7" s="767"/>
    </row>
    <row r="8" spans="1:5" s="26" customFormat="1" ht="17.25" customHeight="1">
      <c r="A8" s="765" t="s">
        <v>396</v>
      </c>
      <c r="B8" s="765"/>
      <c r="C8" s="869"/>
      <c r="D8" s="2"/>
      <c r="E8" s="767"/>
    </row>
    <row r="9" spans="1:3" ht="17.25" customHeight="1">
      <c r="A9" s="765" t="s">
        <v>397</v>
      </c>
      <c r="B9" s="765"/>
      <c r="C9" s="869"/>
    </row>
    <row r="10" spans="1:3" ht="17.25" customHeight="1">
      <c r="A10" s="765"/>
      <c r="B10" s="765"/>
      <c r="C10" s="869"/>
    </row>
    <row r="11" spans="1:2" ht="13.5">
      <c r="A11" s="87" t="s">
        <v>712</v>
      </c>
      <c r="B11" s="768"/>
    </row>
    <row r="12" spans="3:4" ht="11.25" customHeight="1">
      <c r="C12" s="870"/>
      <c r="D12" s="871" t="s">
        <v>831</v>
      </c>
    </row>
    <row r="13" spans="1:4" ht="29.25" customHeight="1">
      <c r="A13" s="241" t="s">
        <v>834</v>
      </c>
      <c r="B13" s="241" t="s">
        <v>186</v>
      </c>
      <c r="C13" s="241" t="s">
        <v>325</v>
      </c>
      <c r="D13" s="771" t="s">
        <v>326</v>
      </c>
    </row>
    <row r="14" spans="1:4" ht="24" customHeight="1">
      <c r="A14" s="830" t="s">
        <v>327</v>
      </c>
      <c r="B14" s="872"/>
      <c r="C14" s="873"/>
      <c r="D14" s="874">
        <f>D15+D19+D22</f>
        <v>16229023.58</v>
      </c>
    </row>
    <row r="15" spans="1:5" s="370" customFormat="1" ht="24" customHeight="1">
      <c r="A15" s="834" t="s">
        <v>398</v>
      </c>
      <c r="B15" s="875"/>
      <c r="C15" s="876"/>
      <c r="D15" s="877">
        <f>D16</f>
        <v>4931400</v>
      </c>
      <c r="E15" s="878"/>
    </row>
    <row r="16" spans="1:6" ht="37.5" customHeight="1">
      <c r="A16" s="879">
        <v>921</v>
      </c>
      <c r="B16" s="811" t="s">
        <v>455</v>
      </c>
      <c r="C16" s="880"/>
      <c r="D16" s="874">
        <f>D17+D18</f>
        <v>4931400</v>
      </c>
      <c r="F16" s="881"/>
    </row>
    <row r="17" spans="1:6" ht="22.5" customHeight="1">
      <c r="A17" s="882"/>
      <c r="B17" s="883"/>
      <c r="C17" s="884" t="s">
        <v>399</v>
      </c>
      <c r="D17" s="788">
        <f>3496900+10000+15000+12700+7300+3100</f>
        <v>3545000</v>
      </c>
      <c r="F17" s="881"/>
    </row>
    <row r="18" spans="1:6" ht="22.5" customHeight="1">
      <c r="A18" s="885"/>
      <c r="B18" s="886"/>
      <c r="C18" s="884" t="s">
        <v>400</v>
      </c>
      <c r="D18" s="360">
        <f>1253100+50000+60000+10300+13000</f>
        <v>1386400</v>
      </c>
      <c r="F18" s="881"/>
    </row>
    <row r="19" spans="1:6" ht="29.25" customHeight="1">
      <c r="A19" s="834" t="s">
        <v>401</v>
      </c>
      <c r="B19" s="642"/>
      <c r="C19" s="884"/>
      <c r="D19" s="877">
        <f>D20</f>
        <v>10840561.08</v>
      </c>
      <c r="F19" s="881"/>
    </row>
    <row r="20" spans="1:6" ht="27" customHeight="1">
      <c r="A20" s="887">
        <v>600</v>
      </c>
      <c r="B20" s="860" t="s">
        <v>848</v>
      </c>
      <c r="C20" s="884"/>
      <c r="D20" s="874">
        <f>D21</f>
        <v>10840561.08</v>
      </c>
      <c r="F20" s="881"/>
    </row>
    <row r="21" spans="1:6" ht="30.75" customHeight="1">
      <c r="A21" s="888"/>
      <c r="B21" s="889"/>
      <c r="C21" s="814" t="s">
        <v>402</v>
      </c>
      <c r="D21" s="790">
        <f>10995992.22-92060.08+36631.61-100002.67</f>
        <v>10840561.08</v>
      </c>
      <c r="F21" s="881"/>
    </row>
    <row r="22" spans="1:6" ht="32.25" customHeight="1">
      <c r="A22" s="777" t="s">
        <v>338</v>
      </c>
      <c r="B22" s="890"/>
      <c r="C22" s="880"/>
      <c r="D22" s="877">
        <f>D24+D25+D27+D29+D32+D34</f>
        <v>457062.5</v>
      </c>
      <c r="F22" s="881"/>
    </row>
    <row r="23" spans="1:6" ht="29.25" customHeight="1">
      <c r="A23" s="887">
        <v>600</v>
      </c>
      <c r="B23" s="860" t="s">
        <v>848</v>
      </c>
      <c r="C23" s="884"/>
      <c r="D23" s="874">
        <f>D24</f>
        <v>200000</v>
      </c>
      <c r="F23" s="881"/>
    </row>
    <row r="24" spans="1:6" ht="29.25" customHeight="1">
      <c r="A24" s="888"/>
      <c r="B24" s="889"/>
      <c r="C24" s="814" t="s">
        <v>403</v>
      </c>
      <c r="D24" s="790">
        <v>200000</v>
      </c>
      <c r="F24" s="881"/>
    </row>
    <row r="25" spans="1:6" ht="28.5" customHeight="1">
      <c r="A25" s="891">
        <v>750</v>
      </c>
      <c r="B25" s="892" t="s">
        <v>61</v>
      </c>
      <c r="C25" s="814"/>
      <c r="D25" s="874">
        <f>D26</f>
        <v>5062.5</v>
      </c>
      <c r="F25" s="881"/>
    </row>
    <row r="26" spans="1:6" ht="48" customHeight="1">
      <c r="A26" s="893"/>
      <c r="B26" s="891"/>
      <c r="C26" s="814" t="s">
        <v>404</v>
      </c>
      <c r="D26" s="894">
        <v>5062.5</v>
      </c>
      <c r="F26" s="881"/>
    </row>
    <row r="27" spans="1:6" ht="31.5" customHeight="1">
      <c r="A27" s="927">
        <v>801</v>
      </c>
      <c r="B27" s="928" t="s">
        <v>436</v>
      </c>
      <c r="C27" s="929"/>
      <c r="D27" s="930">
        <f>D28</f>
        <v>15000</v>
      </c>
      <c r="F27" s="881"/>
    </row>
    <row r="28" spans="1:6" ht="48" customHeight="1">
      <c r="A28" s="926"/>
      <c r="B28" s="802"/>
      <c r="C28" s="847" t="s">
        <v>437</v>
      </c>
      <c r="D28" s="894">
        <v>15000</v>
      </c>
      <c r="F28" s="881"/>
    </row>
    <row r="29" spans="1:6" ht="29.25" customHeight="1">
      <c r="A29" s="301">
        <v>851</v>
      </c>
      <c r="B29" s="802" t="s">
        <v>119</v>
      </c>
      <c r="C29" s="891"/>
      <c r="D29" s="874">
        <f>D30+D31</f>
        <v>200000</v>
      </c>
      <c r="F29" s="881"/>
    </row>
    <row r="30" spans="1:6" ht="57.75" customHeight="1">
      <c r="A30" s="895"/>
      <c r="B30" s="896"/>
      <c r="C30" s="814" t="s">
        <v>555</v>
      </c>
      <c r="D30" s="894">
        <v>100000</v>
      </c>
      <c r="F30" s="881"/>
    </row>
    <row r="31" spans="1:6" ht="57.75" customHeight="1">
      <c r="A31" s="897"/>
      <c r="B31" s="898"/>
      <c r="C31" s="814" t="s">
        <v>405</v>
      </c>
      <c r="D31" s="894">
        <v>100000</v>
      </c>
      <c r="F31" s="881"/>
    </row>
    <row r="32" spans="1:6" ht="34.5" customHeight="1">
      <c r="A32" s="276">
        <v>900</v>
      </c>
      <c r="B32" s="899" t="s">
        <v>406</v>
      </c>
      <c r="C32" s="884"/>
      <c r="D32" s="366">
        <f>D33</f>
        <v>12000</v>
      </c>
      <c r="F32" s="881"/>
    </row>
    <row r="33" spans="1:10" ht="42.75" customHeight="1">
      <c r="A33" s="882"/>
      <c r="B33" s="896"/>
      <c r="C33" s="357" t="s">
        <v>360</v>
      </c>
      <c r="D33" s="900">
        <v>12000</v>
      </c>
      <c r="E33" s="1"/>
      <c r="F33" s="42"/>
      <c r="G33" s="42"/>
      <c r="H33" s="42"/>
      <c r="I33" s="42"/>
      <c r="J33" s="42"/>
    </row>
    <row r="34" spans="1:10" ht="42.75" customHeight="1">
      <c r="A34" s="879">
        <v>921</v>
      </c>
      <c r="B34" s="808" t="s">
        <v>455</v>
      </c>
      <c r="C34" s="901"/>
      <c r="D34" s="776">
        <f>D35</f>
        <v>25000</v>
      </c>
      <c r="E34" s="1"/>
      <c r="F34" s="42"/>
      <c r="G34" s="42"/>
      <c r="H34" s="42"/>
      <c r="I34" s="42"/>
      <c r="J34" s="42"/>
    </row>
    <row r="35" spans="1:10" ht="41.25" customHeight="1">
      <c r="A35" s="882"/>
      <c r="B35" s="879"/>
      <c r="C35" s="902" t="s">
        <v>407</v>
      </c>
      <c r="D35" s="825">
        <v>25000</v>
      </c>
      <c r="E35" s="1"/>
      <c r="F35" s="42"/>
      <c r="G35" s="42"/>
      <c r="H35" s="42"/>
      <c r="I35" s="42"/>
      <c r="J35" s="42"/>
    </row>
    <row r="36" spans="1:10" ht="30.75" customHeight="1">
      <c r="A36" s="830" t="s">
        <v>372</v>
      </c>
      <c r="B36" s="903"/>
      <c r="C36" s="904"/>
      <c r="D36" s="803">
        <f>D37+D40</f>
        <v>4734100</v>
      </c>
      <c r="E36" s="905"/>
      <c r="F36" s="42"/>
      <c r="G36" s="42"/>
      <c r="H36" s="42"/>
      <c r="I36" s="42"/>
      <c r="J36" s="42"/>
    </row>
    <row r="37" spans="1:10" ht="33" customHeight="1">
      <c r="A37" s="897" t="s">
        <v>398</v>
      </c>
      <c r="B37" s="906"/>
      <c r="C37" s="907"/>
      <c r="D37" s="908">
        <f>D38</f>
        <v>2618700</v>
      </c>
      <c r="E37" s="905"/>
      <c r="F37" s="42"/>
      <c r="G37" s="42"/>
      <c r="H37" s="42"/>
      <c r="I37" s="42"/>
      <c r="J37" s="42"/>
    </row>
    <row r="38" spans="1:5" ht="33.75" customHeight="1">
      <c r="A38" s="887">
        <v>921</v>
      </c>
      <c r="B38" s="811" t="s">
        <v>455</v>
      </c>
      <c r="C38" s="832"/>
      <c r="D38" s="909">
        <f>D39</f>
        <v>2618700</v>
      </c>
      <c r="E38" s="878"/>
    </row>
    <row r="39" spans="1:5" ht="26.25" customHeight="1">
      <c r="A39" s="910"/>
      <c r="B39" s="812"/>
      <c r="C39" s="814" t="s">
        <v>408</v>
      </c>
      <c r="D39" s="788">
        <f>2610000+2200+6500</f>
        <v>2618700</v>
      </c>
      <c r="E39" s="51"/>
    </row>
    <row r="40" spans="1:5" ht="30.75" customHeight="1">
      <c r="A40" s="777" t="s">
        <v>338</v>
      </c>
      <c r="B40" s="911"/>
      <c r="C40" s="814"/>
      <c r="D40" s="855">
        <f>D41+D44</f>
        <v>2115400</v>
      </c>
      <c r="E40" s="51"/>
    </row>
    <row r="41" spans="1:5" ht="21" customHeight="1">
      <c r="A41" s="896">
        <v>852</v>
      </c>
      <c r="B41" s="857" t="s">
        <v>293</v>
      </c>
      <c r="C41" s="829"/>
      <c r="D41" s="776">
        <f>D42+D43</f>
        <v>965400</v>
      </c>
      <c r="E41" s="51"/>
    </row>
    <row r="42" spans="1:5" ht="39.75" customHeight="1">
      <c r="A42" s="883"/>
      <c r="B42" s="912"/>
      <c r="C42" s="847" t="s">
        <v>409</v>
      </c>
      <c r="D42" s="788">
        <f>558000+10400+30000</f>
        <v>598400</v>
      </c>
      <c r="E42" s="51"/>
    </row>
    <row r="43" spans="1:5" ht="47.25" customHeight="1">
      <c r="A43" s="886"/>
      <c r="B43" s="913"/>
      <c r="C43" s="847" t="s">
        <v>410</v>
      </c>
      <c r="D43" s="863">
        <f>407000-40000</f>
        <v>367000</v>
      </c>
      <c r="E43" s="1"/>
    </row>
    <row r="44" spans="1:5" ht="30" customHeight="1">
      <c r="A44" s="914">
        <v>853</v>
      </c>
      <c r="B44" s="892" t="s">
        <v>124</v>
      </c>
      <c r="C44" s="847"/>
      <c r="D44" s="776">
        <f>D45</f>
        <v>1150000</v>
      </c>
      <c r="E44" s="1"/>
    </row>
    <row r="45" spans="1:5" ht="30.75" customHeight="1">
      <c r="A45" s="891"/>
      <c r="B45" s="290"/>
      <c r="C45" s="847" t="s">
        <v>411</v>
      </c>
      <c r="D45" s="788">
        <v>1150000</v>
      </c>
      <c r="E45" s="1"/>
    </row>
    <row r="46" spans="1:5" ht="27.75" customHeight="1">
      <c r="A46" s="943" t="s">
        <v>392</v>
      </c>
      <c r="B46" s="944"/>
      <c r="C46" s="942"/>
      <c r="D46" s="862">
        <f>D14+D36</f>
        <v>20963123.58</v>
      </c>
      <c r="E46" s="1"/>
    </row>
    <row r="47" spans="4:6" ht="15.75">
      <c r="D47" s="1"/>
      <c r="E47" s="1"/>
      <c r="F47" s="4"/>
    </row>
    <row r="48" ht="15.75">
      <c r="D48" s="1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</sheetData>
  <sheetProtection/>
  <mergeCells count="1">
    <mergeCell ref="A46:C46"/>
  </mergeCells>
  <printOptions/>
  <pageMargins left="0.7874015748031497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5:J23"/>
  <sheetViews>
    <sheetView zoomScalePageLayoutView="0" workbookViewId="0" topLeftCell="A1">
      <selection activeCell="A5" sqref="A5:IV11"/>
    </sheetView>
  </sheetViews>
  <sheetFormatPr defaultColWidth="9.140625" defaultRowHeight="12.75"/>
  <cols>
    <col min="1" max="1" width="5.28125" style="0" customWidth="1"/>
    <col min="2" max="2" width="26.140625" style="0" customWidth="1"/>
    <col min="3" max="3" width="21.28125" style="0" customWidth="1"/>
    <col min="4" max="4" width="22.140625" style="0" customWidth="1"/>
    <col min="5" max="5" width="7.7109375" style="0" customWidth="1"/>
    <col min="6" max="6" width="8.00390625" style="0" customWidth="1"/>
    <col min="7" max="7" width="7.28125" style="0" customWidth="1"/>
  </cols>
  <sheetData>
    <row r="5" spans="2:10" s="710" customFormat="1" ht="12.75">
      <c r="B5" s="709"/>
      <c r="C5" s="711"/>
      <c r="D5" s="711"/>
      <c r="E5" s="711"/>
      <c r="F5" s="711"/>
      <c r="G5" s="711"/>
      <c r="H5" s="711"/>
      <c r="I5" s="711"/>
      <c r="J5" s="711"/>
    </row>
    <row r="6" spans="2:10" s="710" customFormat="1" ht="12.75">
      <c r="B6" s="709"/>
      <c r="C6" s="711"/>
      <c r="D6" s="711"/>
      <c r="E6" s="711"/>
      <c r="F6" s="711"/>
      <c r="G6" s="711"/>
      <c r="H6" s="711"/>
      <c r="I6" s="711"/>
      <c r="J6" s="711"/>
    </row>
    <row r="7" spans="2:10" s="710" customFormat="1" ht="12.75">
      <c r="B7" s="709"/>
      <c r="C7" s="711"/>
      <c r="D7" s="711"/>
      <c r="E7" s="711"/>
      <c r="F7" s="711"/>
      <c r="G7" s="711"/>
      <c r="H7" s="711"/>
      <c r="I7" s="711"/>
      <c r="J7" s="711"/>
    </row>
    <row r="8" spans="2:10" s="710" customFormat="1" ht="12.75">
      <c r="B8" s="709"/>
      <c r="C8" s="711"/>
      <c r="D8" s="711"/>
      <c r="E8" s="711"/>
      <c r="F8" s="711"/>
      <c r="G8" s="711"/>
      <c r="H8" s="711"/>
      <c r="I8" s="711"/>
      <c r="J8" s="711"/>
    </row>
    <row r="9" spans="2:10" s="710" customFormat="1" ht="12.75">
      <c r="B9" s="709"/>
      <c r="C9" s="711"/>
      <c r="D9" s="711"/>
      <c r="E9" s="711"/>
      <c r="F9" s="711"/>
      <c r="G9" s="711"/>
      <c r="H9" s="711"/>
      <c r="I9" s="711"/>
      <c r="J9" s="711"/>
    </row>
    <row r="10" spans="2:10" ht="12.75">
      <c r="B10" s="708"/>
      <c r="C10" s="712"/>
      <c r="D10" s="712"/>
      <c r="E10" s="712"/>
      <c r="F10" s="712"/>
      <c r="G10" s="712"/>
      <c r="H10" s="712"/>
      <c r="I10" s="712"/>
      <c r="J10" s="712"/>
    </row>
    <row r="11" spans="2:10" ht="12.75">
      <c r="B11" s="708"/>
      <c r="C11" s="712"/>
      <c r="D11" s="712"/>
      <c r="E11" s="712"/>
      <c r="F11" s="712"/>
      <c r="G11" s="712"/>
      <c r="H11" s="712"/>
      <c r="I11" s="712"/>
      <c r="J11" s="712"/>
    </row>
    <row r="12" spans="2:10" ht="12.75">
      <c r="B12" s="708"/>
      <c r="C12" s="712"/>
      <c r="D12" s="712"/>
      <c r="E12" s="712"/>
      <c r="F12" s="712"/>
      <c r="G12" s="712"/>
      <c r="H12" s="712"/>
      <c r="I12" s="712"/>
      <c r="J12" s="712"/>
    </row>
    <row r="13" spans="3:10" ht="12.75">
      <c r="C13" s="712"/>
      <c r="D13" s="712"/>
      <c r="E13" s="712"/>
      <c r="F13" s="712"/>
      <c r="G13" s="712"/>
      <c r="H13" s="712"/>
      <c r="I13" s="712"/>
      <c r="J13" s="712"/>
    </row>
    <row r="14" spans="3:10" ht="12.75">
      <c r="C14" s="712"/>
      <c r="D14" s="712"/>
      <c r="E14" s="712"/>
      <c r="F14" s="712"/>
      <c r="G14" s="712"/>
      <c r="H14" s="712"/>
      <c r="I14" s="712"/>
      <c r="J14" s="712"/>
    </row>
    <row r="15" spans="3:10" ht="12.75">
      <c r="C15" s="712"/>
      <c r="D15" s="712"/>
      <c r="E15" s="712"/>
      <c r="F15" s="712"/>
      <c r="G15" s="712"/>
      <c r="H15" s="712"/>
      <c r="I15" s="712"/>
      <c r="J15" s="712"/>
    </row>
    <row r="16" spans="3:10" ht="12.75">
      <c r="C16" s="712"/>
      <c r="D16" s="712"/>
      <c r="E16" s="712"/>
      <c r="F16" s="712"/>
      <c r="G16" s="712"/>
      <c r="H16" s="712"/>
      <c r="I16" s="712"/>
      <c r="J16" s="712"/>
    </row>
    <row r="17" spans="3:10" ht="12.75">
      <c r="C17" s="712"/>
      <c r="D17" s="712"/>
      <c r="E17" s="712"/>
      <c r="F17" s="712"/>
      <c r="G17" s="712"/>
      <c r="H17" s="712"/>
      <c r="I17" s="712"/>
      <c r="J17" s="712"/>
    </row>
    <row r="18" spans="3:10" ht="12.75">
      <c r="C18" s="712"/>
      <c r="D18" s="712"/>
      <c r="E18" s="712"/>
      <c r="F18" s="712"/>
      <c r="G18" s="712"/>
      <c r="H18" s="712"/>
      <c r="I18" s="712"/>
      <c r="J18" s="712"/>
    </row>
    <row r="19" spans="3:10" ht="12.75">
      <c r="C19" s="712"/>
      <c r="D19" s="712"/>
      <c r="E19" s="712"/>
      <c r="F19" s="712"/>
      <c r="G19" s="712"/>
      <c r="H19" s="712"/>
      <c r="I19" s="712"/>
      <c r="J19" s="712"/>
    </row>
    <row r="20" spans="3:10" ht="12.75">
      <c r="C20" s="712"/>
      <c r="D20" s="712"/>
      <c r="E20" s="712"/>
      <c r="F20" s="712"/>
      <c r="G20" s="712"/>
      <c r="H20" s="712"/>
      <c r="I20" s="712"/>
      <c r="J20" s="712"/>
    </row>
    <row r="21" spans="3:10" ht="12.75">
      <c r="C21" s="712"/>
      <c r="D21" s="712"/>
      <c r="E21" s="712"/>
      <c r="F21" s="712"/>
      <c r="G21" s="712"/>
      <c r="H21" s="712"/>
      <c r="I21" s="712"/>
      <c r="J21" s="712"/>
    </row>
    <row r="22" spans="3:10" ht="12.75">
      <c r="C22" s="712"/>
      <c r="D22" s="712"/>
      <c r="E22" s="712"/>
      <c r="F22" s="712"/>
      <c r="G22" s="712"/>
      <c r="H22" s="712"/>
      <c r="I22" s="712"/>
      <c r="J22" s="712"/>
    </row>
    <row r="23" spans="3:10" ht="12.75">
      <c r="C23" s="712"/>
      <c r="D23" s="712"/>
      <c r="E23" s="712"/>
      <c r="F23" s="712"/>
      <c r="G23" s="712"/>
      <c r="H23" s="712"/>
      <c r="I23" s="712"/>
      <c r="J23" s="712"/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7109375" style="2" customWidth="1"/>
    <col min="2" max="2" width="9.00390625" style="2" customWidth="1"/>
    <col min="3" max="3" width="9.7109375" style="2" customWidth="1"/>
    <col min="4" max="4" width="16.57421875" style="2" customWidth="1"/>
    <col min="5" max="5" width="13.57421875" style="2" customWidth="1"/>
    <col min="6" max="6" width="17.140625" style="2" customWidth="1"/>
    <col min="7" max="8" width="13.57421875" style="500" customWidth="1"/>
    <col min="9" max="9" width="18.140625" style="500" customWidth="1"/>
    <col min="10" max="10" width="23.00390625" style="500" customWidth="1"/>
    <col min="11" max="11" width="20.28125" style="449" customWidth="1"/>
    <col min="12" max="12" width="18.140625" style="67" customWidth="1"/>
    <col min="13" max="13" width="15.7109375" style="67" customWidth="1"/>
    <col min="14" max="14" width="10.140625" style="67" bestFit="1" customWidth="1"/>
    <col min="15" max="15" width="9.140625" style="67" customWidth="1"/>
    <col min="16" max="16384" width="9.140625" style="2" customWidth="1"/>
  </cols>
  <sheetData>
    <row r="1" spans="1:15" ht="18.75">
      <c r="A1" s="500"/>
      <c r="B1" s="500"/>
      <c r="C1" s="500"/>
      <c r="D1" s="449"/>
      <c r="E1" s="67"/>
      <c r="F1" s="67"/>
      <c r="G1" s="67"/>
      <c r="H1" s="67"/>
      <c r="I1" s="2"/>
      <c r="J1" s="2"/>
      <c r="K1" s="2"/>
      <c r="L1" s="2"/>
      <c r="M1" s="2"/>
      <c r="N1" s="2"/>
      <c r="O1" s="2"/>
    </row>
    <row r="2" spans="1:15" ht="18.75">
      <c r="A2" s="500"/>
      <c r="B2" s="500"/>
      <c r="C2" s="500"/>
      <c r="D2" s="449"/>
      <c r="E2" s="67"/>
      <c r="F2" s="67"/>
      <c r="G2" s="67"/>
      <c r="H2" s="67"/>
      <c r="I2" s="2"/>
      <c r="J2" s="2"/>
      <c r="K2" s="2"/>
      <c r="L2" s="2"/>
      <c r="M2" s="2"/>
      <c r="N2" s="2"/>
      <c r="O2" s="2"/>
    </row>
    <row r="3" spans="1:15" ht="18.75">
      <c r="A3" s="500"/>
      <c r="B3" s="500"/>
      <c r="C3" s="500"/>
      <c r="D3" s="449"/>
      <c r="E3" s="597"/>
      <c r="F3" s="67"/>
      <c r="G3" s="67"/>
      <c r="H3" s="67"/>
      <c r="I3" s="2"/>
      <c r="J3" s="2"/>
      <c r="K3" s="2"/>
      <c r="L3" s="2"/>
      <c r="M3" s="2"/>
      <c r="N3" s="2"/>
      <c r="O3" s="2"/>
    </row>
    <row r="4" spans="1:15" ht="18.75">
      <c r="A4" s="500"/>
      <c r="B4" s="500"/>
      <c r="C4" s="500"/>
      <c r="D4" s="449"/>
      <c r="E4" s="67"/>
      <c r="F4" s="67"/>
      <c r="G4" s="67"/>
      <c r="H4" s="67"/>
      <c r="I4" s="2"/>
      <c r="J4" s="2"/>
      <c r="K4" s="2"/>
      <c r="L4" s="2"/>
      <c r="M4" s="2"/>
      <c r="N4" s="2"/>
      <c r="O4" s="2"/>
    </row>
    <row r="5" spans="1:15" ht="18.75">
      <c r="A5" s="500"/>
      <c r="B5" s="500"/>
      <c r="C5" s="500"/>
      <c r="D5" s="449"/>
      <c r="E5" s="67"/>
      <c r="F5" s="67"/>
      <c r="G5" s="67"/>
      <c r="H5" s="67"/>
      <c r="I5" s="2"/>
      <c r="J5" s="2"/>
      <c r="K5" s="2"/>
      <c r="L5" s="2"/>
      <c r="M5" s="2"/>
      <c r="N5" s="2"/>
      <c r="O5" s="2"/>
    </row>
    <row r="6" spans="1:15" ht="18.75">
      <c r="A6" s="500"/>
      <c r="B6" s="500"/>
      <c r="C6" s="500"/>
      <c r="D6" s="449"/>
      <c r="E6" s="67"/>
      <c r="F6" s="67"/>
      <c r="G6" s="67"/>
      <c r="H6" s="67"/>
      <c r="I6" s="2"/>
      <c r="J6" s="2"/>
      <c r="K6" s="2"/>
      <c r="L6" s="2"/>
      <c r="M6" s="2"/>
      <c r="N6" s="2"/>
      <c r="O6" s="2"/>
    </row>
    <row r="7" spans="1:15" ht="18.75">
      <c r="A7" s="500"/>
      <c r="B7" s="500"/>
      <c r="C7" s="500"/>
      <c r="D7" s="449"/>
      <c r="E7" s="67"/>
      <c r="F7" s="67"/>
      <c r="G7" s="67"/>
      <c r="H7" s="67"/>
      <c r="I7" s="2"/>
      <c r="J7" s="2"/>
      <c r="K7" s="2"/>
      <c r="L7" s="2"/>
      <c r="M7" s="2"/>
      <c r="N7" s="2"/>
      <c r="O7" s="2"/>
    </row>
    <row r="8" spans="1:15" ht="18.75">
      <c r="A8" s="500"/>
      <c r="B8" s="500"/>
      <c r="C8" s="500"/>
      <c r="D8" s="449"/>
      <c r="E8" s="67"/>
      <c r="F8" s="67"/>
      <c r="G8" s="67"/>
      <c r="H8" s="67"/>
      <c r="I8" s="2"/>
      <c r="J8" s="2"/>
      <c r="K8" s="2"/>
      <c r="L8" s="2"/>
      <c r="M8" s="2"/>
      <c r="N8" s="2"/>
      <c r="O8" s="2"/>
    </row>
    <row r="9" spans="1:15" ht="18.75">
      <c r="A9" s="500"/>
      <c r="B9" s="500"/>
      <c r="C9" s="500"/>
      <c r="D9" s="449"/>
      <c r="E9" s="67"/>
      <c r="F9" s="67"/>
      <c r="G9" s="67"/>
      <c r="H9" s="67"/>
      <c r="I9" s="2"/>
      <c r="J9" s="2"/>
      <c r="K9" s="2"/>
      <c r="L9" s="2"/>
      <c r="M9" s="2"/>
      <c r="N9" s="2"/>
      <c r="O9" s="2"/>
    </row>
    <row r="10" spans="1:15" ht="18.75">
      <c r="A10" s="500"/>
      <c r="B10" s="500"/>
      <c r="C10" s="500"/>
      <c r="D10" s="449"/>
      <c r="E10" s="67"/>
      <c r="F10" s="67"/>
      <c r="G10" s="67"/>
      <c r="H10" s="67"/>
      <c r="I10" s="2"/>
      <c r="J10" s="2"/>
      <c r="K10" s="2"/>
      <c r="L10" s="2"/>
      <c r="M10" s="2"/>
      <c r="N10" s="2"/>
      <c r="O10" s="2"/>
    </row>
    <row r="11" spans="1:15" ht="18.75">
      <c r="A11" s="500"/>
      <c r="B11" s="500"/>
      <c r="C11" s="500"/>
      <c r="D11" s="449"/>
      <c r="E11" s="67"/>
      <c r="F11" s="67"/>
      <c r="G11" s="67"/>
      <c r="H11" s="67"/>
      <c r="I11" s="2"/>
      <c r="J11" s="2"/>
      <c r="K11" s="2"/>
      <c r="L11" s="2"/>
      <c r="M11" s="2"/>
      <c r="N11" s="2"/>
      <c r="O11" s="2"/>
    </row>
    <row r="12" spans="1:15" ht="18.75">
      <c r="A12" s="500"/>
      <c r="B12" s="500"/>
      <c r="C12" s="500"/>
      <c r="D12" s="449"/>
      <c r="E12" s="67"/>
      <c r="F12" s="67"/>
      <c r="G12" s="67"/>
      <c r="H12" s="67"/>
      <c r="I12" s="2"/>
      <c r="J12" s="2"/>
      <c r="K12" s="2"/>
      <c r="L12" s="2"/>
      <c r="M12" s="2"/>
      <c r="N12" s="2"/>
      <c r="O12" s="2"/>
    </row>
    <row r="13" spans="1:15" ht="18.75">
      <c r="A13" s="500"/>
      <c r="B13" s="500"/>
      <c r="C13" s="500"/>
      <c r="D13" s="449"/>
      <c r="E13" s="67"/>
      <c r="F13" s="67"/>
      <c r="G13" s="67"/>
      <c r="H13" s="67"/>
      <c r="I13" s="2"/>
      <c r="J13" s="2"/>
      <c r="K13" s="2"/>
      <c r="L13" s="2"/>
      <c r="M13" s="2"/>
      <c r="N13" s="2"/>
      <c r="O13" s="2"/>
    </row>
    <row r="14" spans="1:15" ht="18.75">
      <c r="A14" s="500"/>
      <c r="B14" s="500"/>
      <c r="C14" s="500"/>
      <c r="D14" s="449"/>
      <c r="E14" s="67"/>
      <c r="F14" s="67"/>
      <c r="G14" s="67"/>
      <c r="H14" s="67"/>
      <c r="I14" s="2"/>
      <c r="J14" s="2"/>
      <c r="K14" s="2"/>
      <c r="L14" s="2"/>
      <c r="M14" s="2"/>
      <c r="N14" s="2"/>
      <c r="O14" s="2"/>
    </row>
    <row r="15" spans="1:15" ht="18.75">
      <c r="A15" s="500"/>
      <c r="B15" s="500"/>
      <c r="C15" s="500"/>
      <c r="D15" s="449"/>
      <c r="E15" s="67"/>
      <c r="F15" s="67"/>
      <c r="G15" s="67"/>
      <c r="H15" s="67"/>
      <c r="I15" s="2"/>
      <c r="J15" s="2"/>
      <c r="K15" s="2"/>
      <c r="L15" s="2"/>
      <c r="M15" s="2"/>
      <c r="N15" s="2"/>
      <c r="O15" s="2"/>
    </row>
    <row r="16" spans="1:15" ht="18.75">
      <c r="A16" s="500"/>
      <c r="B16" s="500"/>
      <c r="C16" s="500"/>
      <c r="D16" s="449"/>
      <c r="E16" s="67"/>
      <c r="F16" s="67"/>
      <c r="G16" s="67"/>
      <c r="H16" s="67"/>
      <c r="I16" s="2"/>
      <c r="J16" s="2"/>
      <c r="K16" s="2"/>
      <c r="L16" s="2"/>
      <c r="M16" s="2"/>
      <c r="N16" s="2"/>
      <c r="O16" s="2"/>
    </row>
    <row r="17" spans="1:15" ht="18.75">
      <c r="A17" s="500"/>
      <c r="B17" s="500"/>
      <c r="C17" s="500"/>
      <c r="D17" s="449"/>
      <c r="E17" s="67"/>
      <c r="F17" s="67"/>
      <c r="G17" s="67"/>
      <c r="H17" s="67"/>
      <c r="I17" s="2"/>
      <c r="J17" s="2"/>
      <c r="K17" s="2"/>
      <c r="L17" s="2"/>
      <c r="M17" s="2"/>
      <c r="N17" s="2"/>
      <c r="O17" s="2"/>
    </row>
    <row r="18" spans="1:15" ht="18.75">
      <c r="A18" s="500"/>
      <c r="B18" s="500"/>
      <c r="C18" s="500"/>
      <c r="D18" s="449"/>
      <c r="E18" s="67"/>
      <c r="F18" s="67"/>
      <c r="G18" s="67"/>
      <c r="H18" s="67"/>
      <c r="I18" s="2"/>
      <c r="J18" s="2"/>
      <c r="K18" s="2"/>
      <c r="L18" s="2"/>
      <c r="M18" s="2"/>
      <c r="N18" s="2"/>
      <c r="O18" s="2"/>
    </row>
    <row r="19" spans="1:15" ht="18.75">
      <c r="A19" s="500"/>
      <c r="B19" s="500"/>
      <c r="C19" s="500"/>
      <c r="D19" s="449"/>
      <c r="E19" s="67"/>
      <c r="F19" s="67"/>
      <c r="G19" s="67"/>
      <c r="H19" s="67"/>
      <c r="I19" s="2"/>
      <c r="J19" s="2"/>
      <c r="K19" s="2"/>
      <c r="L19" s="2"/>
      <c r="M19" s="2"/>
      <c r="N19" s="2"/>
      <c r="O19" s="2"/>
    </row>
    <row r="20" spans="1:15" ht="18.75">
      <c r="A20" s="500"/>
      <c r="B20" s="500"/>
      <c r="C20" s="500"/>
      <c r="D20" s="449"/>
      <c r="E20" s="67"/>
      <c r="F20" s="67"/>
      <c r="G20" s="67"/>
      <c r="H20" s="67"/>
      <c r="I20" s="2"/>
      <c r="J20" s="2"/>
      <c r="K20" s="2"/>
      <c r="L20" s="2"/>
      <c r="M20" s="2"/>
      <c r="N20" s="2"/>
      <c r="O20" s="2"/>
    </row>
    <row r="21" spans="1:15" ht="18.75">
      <c r="A21" s="500"/>
      <c r="B21" s="500"/>
      <c r="C21" s="500"/>
      <c r="D21" s="449"/>
      <c r="E21" s="67"/>
      <c r="F21" s="67"/>
      <c r="G21" s="67"/>
      <c r="H21" s="67"/>
      <c r="I21" s="2"/>
      <c r="J21" s="2"/>
      <c r="K21" s="2"/>
      <c r="L21" s="2"/>
      <c r="M21" s="2"/>
      <c r="N21" s="2"/>
      <c r="O21" s="2"/>
    </row>
    <row r="22" spans="1:15" ht="18.75">
      <c r="A22" s="500"/>
      <c r="B22" s="500"/>
      <c r="C22" s="500"/>
      <c r="D22" s="449"/>
      <c r="E22" s="67"/>
      <c r="F22" s="67"/>
      <c r="G22" s="67"/>
      <c r="H22" s="67"/>
      <c r="I22" s="2"/>
      <c r="J22" s="2"/>
      <c r="K22" s="2"/>
      <c r="L22" s="2"/>
      <c r="M22" s="2"/>
      <c r="N22" s="2"/>
      <c r="O22" s="2"/>
    </row>
    <row r="23" spans="1:15" ht="18.75">
      <c r="A23" s="500"/>
      <c r="B23" s="500"/>
      <c r="C23" s="500"/>
      <c r="D23" s="449"/>
      <c r="E23" s="67"/>
      <c r="F23" s="67"/>
      <c r="G23" s="67"/>
      <c r="H23" s="67"/>
      <c r="I23" s="2"/>
      <c r="J23" s="2"/>
      <c r="K23" s="2"/>
      <c r="L23" s="2"/>
      <c r="M23" s="2"/>
      <c r="N23" s="2"/>
      <c r="O23" s="2"/>
    </row>
    <row r="24" spans="1:15" ht="18.75">
      <c r="A24" s="500"/>
      <c r="B24" s="500"/>
      <c r="C24" s="500"/>
      <c r="D24" s="449"/>
      <c r="E24" s="67"/>
      <c r="F24" s="67"/>
      <c r="G24" s="67"/>
      <c r="H24" s="67"/>
      <c r="I24" s="2"/>
      <c r="J24" s="2"/>
      <c r="K24" s="2"/>
      <c r="L24" s="2"/>
      <c r="M24" s="2"/>
      <c r="N24" s="2"/>
      <c r="O24" s="2"/>
    </row>
    <row r="25" spans="1:15" ht="18.75">
      <c r="A25" s="500"/>
      <c r="B25" s="500"/>
      <c r="C25" s="500"/>
      <c r="D25" s="449"/>
      <c r="E25" s="67"/>
      <c r="F25" s="67"/>
      <c r="G25" s="67"/>
      <c r="H25" s="67"/>
      <c r="I25" s="2"/>
      <c r="J25" s="2"/>
      <c r="K25" s="2"/>
      <c r="L25" s="2"/>
      <c r="M25" s="2"/>
      <c r="N25" s="2"/>
      <c r="O25" s="2"/>
    </row>
    <row r="26" spans="1:15" ht="18.75">
      <c r="A26" s="500"/>
      <c r="B26" s="500"/>
      <c r="C26" s="500"/>
      <c r="D26" s="449"/>
      <c r="E26" s="67"/>
      <c r="F26" s="67"/>
      <c r="G26" s="67"/>
      <c r="H26" s="67"/>
      <c r="I26" s="2"/>
      <c r="J26" s="2"/>
      <c r="K26" s="2"/>
      <c r="L26" s="2"/>
      <c r="M26" s="2"/>
      <c r="N26" s="2"/>
      <c r="O26" s="2"/>
    </row>
    <row r="27" spans="1:15" ht="18.75">
      <c r="A27" s="500"/>
      <c r="B27" s="500"/>
      <c r="C27" s="500"/>
      <c r="D27" s="449"/>
      <c r="E27" s="67"/>
      <c r="F27" s="67"/>
      <c r="G27" s="67"/>
      <c r="H27" s="67"/>
      <c r="I27" s="2"/>
      <c r="J27" s="2"/>
      <c r="K27" s="2"/>
      <c r="L27" s="2"/>
      <c r="M27" s="2"/>
      <c r="N27" s="2"/>
      <c r="O27" s="2"/>
    </row>
    <row r="28" spans="1:15" ht="18.75">
      <c r="A28" s="500"/>
      <c r="B28" s="500"/>
      <c r="C28" s="500"/>
      <c r="D28" s="449"/>
      <c r="E28" s="67"/>
      <c r="F28" s="67"/>
      <c r="G28" s="67"/>
      <c r="H28" s="67"/>
      <c r="I28" s="2"/>
      <c r="J28" s="2"/>
      <c r="K28" s="2"/>
      <c r="L28" s="2"/>
      <c r="M28" s="2"/>
      <c r="N28" s="2"/>
      <c r="O28" s="2"/>
    </row>
    <row r="29" spans="1:15" ht="18.75">
      <c r="A29" s="500"/>
      <c r="B29" s="500"/>
      <c r="C29" s="500"/>
      <c r="D29" s="449"/>
      <c r="E29" s="67"/>
      <c r="F29" s="67"/>
      <c r="G29" s="67"/>
      <c r="H29" s="67"/>
      <c r="I29" s="2"/>
      <c r="J29" s="2"/>
      <c r="K29" s="2"/>
      <c r="L29" s="2"/>
      <c r="M29" s="2"/>
      <c r="N29" s="2"/>
      <c r="O29" s="2"/>
    </row>
    <row r="30" spans="1:15" ht="18.75">
      <c r="A30" s="500"/>
      <c r="B30" s="500"/>
      <c r="C30" s="500"/>
      <c r="D30" s="449"/>
      <c r="E30" s="67"/>
      <c r="F30" s="67"/>
      <c r="G30" s="67"/>
      <c r="H30" s="67"/>
      <c r="I30" s="2"/>
      <c r="J30" s="2"/>
      <c r="K30" s="2"/>
      <c r="L30" s="2"/>
      <c r="M30" s="2"/>
      <c r="N30" s="2"/>
      <c r="O30" s="2"/>
    </row>
    <row r="31" spans="1:15" ht="18.75">
      <c r="A31" s="500"/>
      <c r="B31" s="500"/>
      <c r="C31" s="500"/>
      <c r="D31" s="449"/>
      <c r="E31" s="67"/>
      <c r="F31" s="67"/>
      <c r="G31" s="67"/>
      <c r="H31" s="67"/>
      <c r="I31" s="2"/>
      <c r="J31" s="2"/>
      <c r="K31" s="2"/>
      <c r="L31" s="2"/>
      <c r="M31" s="2"/>
      <c r="N31" s="2"/>
      <c r="O31" s="2"/>
    </row>
    <row r="32" spans="1:15" ht="18.75">
      <c r="A32" s="500"/>
      <c r="B32" s="500"/>
      <c r="C32" s="500"/>
      <c r="D32" s="449"/>
      <c r="E32" s="67"/>
      <c r="F32" s="67"/>
      <c r="G32" s="67"/>
      <c r="H32" s="67"/>
      <c r="I32" s="2"/>
      <c r="J32" s="2"/>
      <c r="K32" s="2"/>
      <c r="L32" s="2"/>
      <c r="M32" s="2"/>
      <c r="N32" s="2"/>
      <c r="O32" s="2"/>
    </row>
    <row r="33" spans="1:15" ht="18.75">
      <c r="A33" s="500"/>
      <c r="B33" s="500"/>
      <c r="C33" s="500"/>
      <c r="D33" s="449"/>
      <c r="E33" s="67"/>
      <c r="F33" s="67"/>
      <c r="G33" s="67"/>
      <c r="H33" s="67"/>
      <c r="I33" s="2"/>
      <c r="J33" s="2"/>
      <c r="K33" s="2"/>
      <c r="L33" s="2"/>
      <c r="M33" s="2"/>
      <c r="N33" s="2"/>
      <c r="O33" s="2"/>
    </row>
    <row r="34" spans="1:15" ht="18.75">
      <c r="A34" s="500"/>
      <c r="B34" s="500"/>
      <c r="C34" s="500"/>
      <c r="D34" s="449"/>
      <c r="E34" s="67"/>
      <c r="F34" s="67"/>
      <c r="G34" s="67"/>
      <c r="H34" s="67"/>
      <c r="I34" s="2"/>
      <c r="J34" s="2"/>
      <c r="K34" s="2"/>
      <c r="L34" s="2"/>
      <c r="M34" s="2"/>
      <c r="N34" s="2"/>
      <c r="O34" s="2"/>
    </row>
    <row r="35" spans="1:15" ht="18.75">
      <c r="A35" s="500"/>
      <c r="B35" s="500"/>
      <c r="C35" s="500"/>
      <c r="D35" s="449"/>
      <c r="E35" s="67"/>
      <c r="F35" s="67"/>
      <c r="G35" s="67"/>
      <c r="H35" s="67"/>
      <c r="I35" s="2"/>
      <c r="J35" s="2"/>
      <c r="K35" s="2"/>
      <c r="L35" s="2"/>
      <c r="M35" s="2"/>
      <c r="N35" s="2"/>
      <c r="O35" s="2"/>
    </row>
    <row r="36" spans="1:15" ht="18.75">
      <c r="A36" s="500"/>
      <c r="B36" s="500"/>
      <c r="C36" s="500"/>
      <c r="D36" s="449"/>
      <c r="E36" s="67"/>
      <c r="F36" s="67"/>
      <c r="G36" s="67"/>
      <c r="H36" s="67"/>
      <c r="I36" s="2"/>
      <c r="J36" s="2"/>
      <c r="K36" s="2"/>
      <c r="L36" s="2"/>
      <c r="M36" s="2"/>
      <c r="N36" s="2"/>
      <c r="O36" s="2"/>
    </row>
    <row r="37" spans="1:15" ht="18.75">
      <c r="A37" s="500"/>
      <c r="B37" s="500"/>
      <c r="C37" s="500"/>
      <c r="D37" s="449"/>
      <c r="E37" s="67"/>
      <c r="F37" s="67"/>
      <c r="G37" s="67"/>
      <c r="H37" s="67"/>
      <c r="I37" s="2"/>
      <c r="J37" s="2"/>
      <c r="K37" s="2"/>
      <c r="L37" s="2"/>
      <c r="M37" s="2"/>
      <c r="N37" s="2"/>
      <c r="O37" s="2"/>
    </row>
    <row r="38" spans="1:15" ht="18.75">
      <c r="A38" s="500"/>
      <c r="B38" s="500"/>
      <c r="C38" s="500"/>
      <c r="D38" s="449"/>
      <c r="E38" s="67"/>
      <c r="F38" s="67"/>
      <c r="G38" s="67"/>
      <c r="H38" s="67"/>
      <c r="I38" s="2"/>
      <c r="J38" s="2"/>
      <c r="K38" s="2"/>
      <c r="L38" s="2"/>
      <c r="M38" s="2"/>
      <c r="N38" s="2"/>
      <c r="O38" s="2"/>
    </row>
    <row r="39" spans="1:15" ht="18.75">
      <c r="A39" s="500"/>
      <c r="B39" s="500"/>
      <c r="C39" s="500"/>
      <c r="D39" s="449"/>
      <c r="E39" s="67"/>
      <c r="F39" s="67"/>
      <c r="G39" s="67"/>
      <c r="H39" s="67"/>
      <c r="I39" s="2"/>
      <c r="J39" s="2"/>
      <c r="K39" s="2"/>
      <c r="L39" s="2"/>
      <c r="M39" s="2"/>
      <c r="N39" s="2"/>
      <c r="O39" s="2"/>
    </row>
    <row r="40" spans="1:15" ht="18.75">
      <c r="A40" s="500"/>
      <c r="B40" s="500"/>
      <c r="C40" s="500"/>
      <c r="D40" s="449"/>
      <c r="E40" s="67"/>
      <c r="F40" s="67"/>
      <c r="G40" s="67"/>
      <c r="H40" s="67"/>
      <c r="I40" s="2"/>
      <c r="J40" s="2"/>
      <c r="K40" s="2"/>
      <c r="L40" s="2"/>
      <c r="M40" s="2"/>
      <c r="N40" s="2"/>
      <c r="O40" s="2"/>
    </row>
    <row r="41" spans="1:15" ht="18.75">
      <c r="A41" s="500"/>
      <c r="B41" s="500"/>
      <c r="C41" s="500"/>
      <c r="D41" s="449"/>
      <c r="E41" s="67"/>
      <c r="F41" s="67"/>
      <c r="G41" s="67"/>
      <c r="H41" s="67"/>
      <c r="I41" s="2"/>
      <c r="J41" s="2"/>
      <c r="K41" s="2"/>
      <c r="L41" s="2"/>
      <c r="M41" s="2"/>
      <c r="N41" s="2"/>
      <c r="O41" s="2"/>
    </row>
    <row r="42" spans="1:15" ht="18.75">
      <c r="A42" s="500"/>
      <c r="B42" s="500"/>
      <c r="C42" s="500"/>
      <c r="D42" s="449"/>
      <c r="E42" s="67"/>
      <c r="F42" s="67"/>
      <c r="G42" s="67"/>
      <c r="H42" s="67"/>
      <c r="I42" s="2"/>
      <c r="J42" s="2"/>
      <c r="K42" s="2"/>
      <c r="L42" s="2"/>
      <c r="M42" s="2"/>
      <c r="N42" s="2"/>
      <c r="O42" s="2"/>
    </row>
    <row r="43" spans="1:15" ht="18.75">
      <c r="A43" s="500"/>
      <c r="B43" s="500"/>
      <c r="C43" s="500"/>
      <c r="D43" s="449"/>
      <c r="E43" s="67"/>
      <c r="F43" s="67"/>
      <c r="G43" s="67"/>
      <c r="H43" s="67"/>
      <c r="I43" s="2"/>
      <c r="J43" s="2"/>
      <c r="K43" s="2"/>
      <c r="L43" s="2"/>
      <c r="M43" s="2"/>
      <c r="N43" s="2"/>
      <c r="O43" s="2"/>
    </row>
    <row r="44" spans="1:15" ht="18.75">
      <c r="A44" s="500"/>
      <c r="B44" s="500"/>
      <c r="C44" s="500"/>
      <c r="D44" s="449"/>
      <c r="E44" s="67"/>
      <c r="F44" s="67"/>
      <c r="G44" s="67"/>
      <c r="H44" s="67"/>
      <c r="I44" s="2"/>
      <c r="J44" s="2"/>
      <c r="K44" s="2"/>
      <c r="L44" s="2"/>
      <c r="M44" s="2"/>
      <c r="N44" s="2"/>
      <c r="O44" s="2"/>
    </row>
    <row r="45" spans="1:15" ht="18.75">
      <c r="A45" s="500"/>
      <c r="B45" s="500"/>
      <c r="C45" s="500"/>
      <c r="D45" s="449"/>
      <c r="E45" s="67"/>
      <c r="F45" s="67"/>
      <c r="G45" s="67"/>
      <c r="H45" s="67"/>
      <c r="I45" s="2"/>
      <c r="J45" s="2"/>
      <c r="K45" s="2"/>
      <c r="L45" s="2"/>
      <c r="M45" s="2"/>
      <c r="N45" s="2"/>
      <c r="O45" s="2"/>
    </row>
    <row r="46" spans="1:15" ht="18.75">
      <c r="A46" s="500"/>
      <c r="B46" s="500"/>
      <c r="C46" s="500"/>
      <c r="D46" s="449"/>
      <c r="E46" s="67"/>
      <c r="F46" s="67"/>
      <c r="G46" s="67"/>
      <c r="H46" s="67"/>
      <c r="I46" s="2"/>
      <c r="J46" s="2"/>
      <c r="K46" s="2"/>
      <c r="L46" s="2"/>
      <c r="M46" s="2"/>
      <c r="N46" s="2"/>
      <c r="O46" s="2"/>
    </row>
    <row r="47" spans="1:15" ht="18.75">
      <c r="A47" s="500"/>
      <c r="B47" s="500"/>
      <c r="C47" s="500"/>
      <c r="D47" s="449"/>
      <c r="E47" s="67"/>
      <c r="F47" s="67"/>
      <c r="G47" s="67"/>
      <c r="H47" s="67"/>
      <c r="I47" s="2"/>
      <c r="J47" s="2"/>
      <c r="K47" s="2"/>
      <c r="L47" s="2"/>
      <c r="M47" s="2"/>
      <c r="N47" s="2"/>
      <c r="O47" s="2"/>
    </row>
    <row r="48" spans="1:15" ht="18.75">
      <c r="A48" s="500"/>
      <c r="B48" s="500"/>
      <c r="C48" s="500"/>
      <c r="D48" s="449"/>
      <c r="E48" s="67"/>
      <c r="F48" s="67"/>
      <c r="G48" s="67"/>
      <c r="H48" s="67"/>
      <c r="I48" s="2"/>
      <c r="J48" s="2"/>
      <c r="K48" s="2"/>
      <c r="L48" s="2"/>
      <c r="M48" s="2"/>
      <c r="N48" s="2"/>
      <c r="O48" s="2"/>
    </row>
    <row r="49" spans="1:15" ht="18.75">
      <c r="A49" s="500"/>
      <c r="B49" s="500"/>
      <c r="C49" s="500"/>
      <c r="D49" s="449"/>
      <c r="E49" s="67"/>
      <c r="F49" s="67"/>
      <c r="G49" s="67"/>
      <c r="H49" s="67"/>
      <c r="I49" s="2"/>
      <c r="J49" s="2"/>
      <c r="K49" s="2"/>
      <c r="L49" s="2"/>
      <c r="M49" s="2"/>
      <c r="N49" s="2"/>
      <c r="O49" s="2"/>
    </row>
    <row r="50" spans="1:15" ht="18.75">
      <c r="A50" s="500"/>
      <c r="B50" s="500"/>
      <c r="C50" s="500"/>
      <c r="D50" s="449"/>
      <c r="E50" s="67"/>
      <c r="F50" s="67"/>
      <c r="G50" s="67"/>
      <c r="H50" s="67"/>
      <c r="I50" s="2"/>
      <c r="J50" s="2"/>
      <c r="K50" s="2"/>
      <c r="L50" s="2"/>
      <c r="M50" s="2"/>
      <c r="N50" s="2"/>
      <c r="O50" s="2"/>
    </row>
    <row r="51" spans="1:15" ht="18.75">
      <c r="A51" s="500"/>
      <c r="B51" s="500"/>
      <c r="C51" s="500"/>
      <c r="D51" s="449"/>
      <c r="E51" s="67"/>
      <c r="F51" s="67"/>
      <c r="G51" s="67"/>
      <c r="H51" s="67"/>
      <c r="I51" s="2"/>
      <c r="J51" s="2"/>
      <c r="K51" s="2"/>
      <c r="L51" s="2"/>
      <c r="M51" s="2"/>
      <c r="N51" s="2"/>
      <c r="O51" s="2"/>
    </row>
    <row r="52" spans="1:15" ht="18.75">
      <c r="A52" s="500"/>
      <c r="B52" s="500"/>
      <c r="C52" s="500"/>
      <c r="D52" s="449"/>
      <c r="E52" s="67"/>
      <c r="F52" s="67"/>
      <c r="G52" s="67"/>
      <c r="H52" s="67"/>
      <c r="I52" s="2"/>
      <c r="J52" s="2"/>
      <c r="K52" s="2"/>
      <c r="L52" s="2"/>
      <c r="M52" s="2"/>
      <c r="N52" s="2"/>
      <c r="O52" s="2"/>
    </row>
    <row r="53" spans="1:15" ht="18.75">
      <c r="A53" s="500"/>
      <c r="B53" s="500"/>
      <c r="C53" s="500"/>
      <c r="D53" s="449"/>
      <c r="E53" s="67"/>
      <c r="F53" s="67"/>
      <c r="G53" s="67"/>
      <c r="H53" s="67"/>
      <c r="I53" s="2"/>
      <c r="J53" s="2"/>
      <c r="K53" s="2"/>
      <c r="L53" s="2"/>
      <c r="M53" s="2"/>
      <c r="N53" s="2"/>
      <c r="O53" s="2"/>
    </row>
    <row r="54" spans="1:15" ht="18.75">
      <c r="A54" s="500"/>
      <c r="B54" s="500"/>
      <c r="C54" s="500"/>
      <c r="D54" s="449"/>
      <c r="E54" s="67"/>
      <c r="F54" s="67"/>
      <c r="G54" s="67"/>
      <c r="H54" s="67"/>
      <c r="I54" s="2"/>
      <c r="J54" s="2"/>
      <c r="K54" s="2"/>
      <c r="L54" s="2"/>
      <c r="M54" s="2"/>
      <c r="N54" s="2"/>
      <c r="O54" s="2"/>
    </row>
    <row r="55" spans="1:15" ht="18.75">
      <c r="A55" s="500"/>
      <c r="B55" s="500"/>
      <c r="C55" s="500"/>
      <c r="D55" s="449"/>
      <c r="E55" s="67"/>
      <c r="F55" s="67"/>
      <c r="G55" s="67"/>
      <c r="H55" s="67"/>
      <c r="I55" s="2"/>
      <c r="J55" s="2"/>
      <c r="K55" s="2"/>
      <c r="L55" s="2"/>
      <c r="M55" s="2"/>
      <c r="N55" s="2"/>
      <c r="O55" s="2"/>
    </row>
    <row r="56" spans="1:15" ht="18.75">
      <c r="A56" s="500"/>
      <c r="B56" s="500"/>
      <c r="C56" s="500"/>
      <c r="D56" s="449"/>
      <c r="E56" s="67"/>
      <c r="F56" s="67"/>
      <c r="G56" s="67"/>
      <c r="H56" s="67"/>
      <c r="I56" s="2"/>
      <c r="J56" s="2"/>
      <c r="K56" s="2"/>
      <c r="L56" s="2"/>
      <c r="M56" s="2"/>
      <c r="N56" s="2"/>
      <c r="O56" s="2"/>
    </row>
    <row r="57" spans="1:15" ht="18.75">
      <c r="A57" s="500"/>
      <c r="B57" s="500"/>
      <c r="C57" s="500"/>
      <c r="D57" s="449"/>
      <c r="E57" s="67"/>
      <c r="F57" s="67"/>
      <c r="G57" s="67"/>
      <c r="H57" s="67"/>
      <c r="I57" s="2"/>
      <c r="J57" s="2"/>
      <c r="K57" s="2"/>
      <c r="L57" s="2"/>
      <c r="M57" s="2"/>
      <c r="N57" s="2"/>
      <c r="O57" s="2"/>
    </row>
    <row r="58" spans="1:15" ht="18.75">
      <c r="A58" s="500"/>
      <c r="B58" s="500"/>
      <c r="C58" s="500"/>
      <c r="D58" s="449"/>
      <c r="E58" s="67"/>
      <c r="F58" s="67"/>
      <c r="G58" s="67"/>
      <c r="H58" s="67"/>
      <c r="I58" s="2"/>
      <c r="J58" s="2"/>
      <c r="K58" s="2"/>
      <c r="L58" s="2"/>
      <c r="M58" s="2"/>
      <c r="N58" s="2"/>
      <c r="O58" s="2"/>
    </row>
    <row r="59" spans="1:15" ht="18.75">
      <c r="A59" s="500"/>
      <c r="B59" s="500"/>
      <c r="C59" s="500"/>
      <c r="D59" s="449"/>
      <c r="E59" s="67"/>
      <c r="F59" s="67"/>
      <c r="G59" s="67"/>
      <c r="H59" s="67"/>
      <c r="I59" s="2"/>
      <c r="J59" s="2"/>
      <c r="K59" s="2"/>
      <c r="L59" s="2"/>
      <c r="M59" s="2"/>
      <c r="N59" s="2"/>
      <c r="O59" s="2"/>
    </row>
    <row r="60" spans="1:15" ht="18.75">
      <c r="A60" s="500"/>
      <c r="B60" s="500"/>
      <c r="C60" s="500"/>
      <c r="D60" s="449"/>
      <c r="E60" s="67"/>
      <c r="F60" s="67"/>
      <c r="G60" s="67"/>
      <c r="H60" s="67"/>
      <c r="I60" s="2"/>
      <c r="J60" s="2"/>
      <c r="K60" s="2"/>
      <c r="L60" s="2"/>
      <c r="M60" s="2"/>
      <c r="N60" s="2"/>
      <c r="O60" s="2"/>
    </row>
    <row r="61" spans="1:15" ht="18.75">
      <c r="A61" s="500"/>
      <c r="B61" s="500"/>
      <c r="C61" s="500"/>
      <c r="D61" s="449"/>
      <c r="E61" s="67"/>
      <c r="F61" s="67"/>
      <c r="G61" s="67"/>
      <c r="H61" s="67"/>
      <c r="I61" s="2"/>
      <c r="J61" s="2"/>
      <c r="K61" s="2"/>
      <c r="L61" s="2"/>
      <c r="M61" s="2"/>
      <c r="N61" s="2"/>
      <c r="O61" s="2"/>
    </row>
    <row r="62" spans="1:15" ht="18.75">
      <c r="A62" s="500"/>
      <c r="B62" s="500"/>
      <c r="C62" s="500"/>
      <c r="D62" s="449"/>
      <c r="E62" s="67"/>
      <c r="F62" s="67"/>
      <c r="G62" s="67"/>
      <c r="H62" s="67"/>
      <c r="I62" s="2"/>
      <c r="J62" s="2"/>
      <c r="K62" s="2"/>
      <c r="L62" s="2"/>
      <c r="M62" s="2"/>
      <c r="N62" s="2"/>
      <c r="O62" s="2"/>
    </row>
    <row r="63" spans="1:15" ht="18.75">
      <c r="A63" s="500"/>
      <c r="B63" s="500"/>
      <c r="C63" s="500"/>
      <c r="D63" s="449"/>
      <c r="E63" s="67"/>
      <c r="F63" s="67"/>
      <c r="G63" s="67"/>
      <c r="H63" s="67"/>
      <c r="I63" s="2"/>
      <c r="J63" s="2"/>
      <c r="K63" s="2"/>
      <c r="L63" s="2"/>
      <c r="M63" s="2"/>
      <c r="N63" s="2"/>
      <c r="O63" s="2"/>
    </row>
    <row r="64" spans="1:15" ht="18.75">
      <c r="A64" s="500"/>
      <c r="B64" s="500"/>
      <c r="C64" s="500"/>
      <c r="D64" s="449"/>
      <c r="E64" s="67"/>
      <c r="F64" s="67"/>
      <c r="G64" s="67"/>
      <c r="H64" s="67"/>
      <c r="I64" s="2"/>
      <c r="J64" s="2"/>
      <c r="K64" s="2"/>
      <c r="L64" s="2"/>
      <c r="M64" s="2"/>
      <c r="N64" s="2"/>
      <c r="O64" s="2"/>
    </row>
    <row r="65" spans="1:15" ht="18.75">
      <c r="A65" s="500"/>
      <c r="B65" s="500"/>
      <c r="C65" s="500"/>
      <c r="D65" s="449"/>
      <c r="E65" s="67"/>
      <c r="F65" s="67"/>
      <c r="G65" s="67"/>
      <c r="H65" s="67"/>
      <c r="I65" s="2"/>
      <c r="J65" s="2"/>
      <c r="K65" s="2"/>
      <c r="L65" s="2"/>
      <c r="M65" s="2"/>
      <c r="N65" s="2"/>
      <c r="O65" s="2"/>
    </row>
    <row r="66" spans="1:15" ht="18.75">
      <c r="A66" s="500"/>
      <c r="B66" s="500"/>
      <c r="C66" s="500"/>
      <c r="D66" s="449"/>
      <c r="E66" s="67"/>
      <c r="F66" s="67"/>
      <c r="G66" s="67"/>
      <c r="H66" s="67"/>
      <c r="I66" s="2"/>
      <c r="J66" s="2"/>
      <c r="K66" s="2"/>
      <c r="L66" s="2"/>
      <c r="M66" s="2"/>
      <c r="N66" s="2"/>
      <c r="O66" s="2"/>
    </row>
    <row r="67" spans="1:15" ht="18.75">
      <c r="A67" s="500"/>
      <c r="B67" s="500"/>
      <c r="C67" s="500"/>
      <c r="D67" s="449"/>
      <c r="E67" s="67"/>
      <c r="F67" s="67"/>
      <c r="G67" s="67"/>
      <c r="H67" s="67"/>
      <c r="I67" s="2"/>
      <c r="J67" s="2"/>
      <c r="K67" s="2"/>
      <c r="L67" s="2"/>
      <c r="M67" s="2"/>
      <c r="N67" s="2"/>
      <c r="O67" s="2"/>
    </row>
    <row r="68" spans="1:15" ht="18.75">
      <c r="A68" s="500"/>
      <c r="B68" s="500"/>
      <c r="C68" s="500"/>
      <c r="D68" s="449"/>
      <c r="E68" s="67"/>
      <c r="F68" s="67"/>
      <c r="G68" s="67"/>
      <c r="H68" s="67"/>
      <c r="I68" s="2"/>
      <c r="J68" s="2"/>
      <c r="K68" s="2"/>
      <c r="L68" s="2"/>
      <c r="M68" s="2"/>
      <c r="N68" s="2"/>
      <c r="O68" s="2"/>
    </row>
    <row r="69" spans="1:15" ht="18.75">
      <c r="A69" s="500"/>
      <c r="B69" s="500"/>
      <c r="C69" s="500"/>
      <c r="D69" s="449"/>
      <c r="E69" s="67"/>
      <c r="F69" s="67"/>
      <c r="G69" s="67"/>
      <c r="H69" s="67"/>
      <c r="I69" s="2"/>
      <c r="J69" s="2"/>
      <c r="K69" s="2"/>
      <c r="L69" s="2"/>
      <c r="M69" s="2"/>
      <c r="N69" s="2"/>
      <c r="O69" s="2"/>
    </row>
    <row r="70" spans="1:15" ht="18.75">
      <c r="A70" s="500"/>
      <c r="B70" s="500"/>
      <c r="C70" s="500"/>
      <c r="D70" s="449"/>
      <c r="E70" s="67"/>
      <c r="F70" s="67"/>
      <c r="G70" s="67"/>
      <c r="H70" s="67"/>
      <c r="I70" s="2"/>
      <c r="J70" s="2"/>
      <c r="K70" s="2"/>
      <c r="L70" s="2"/>
      <c r="M70" s="2"/>
      <c r="N70" s="2"/>
      <c r="O70" s="2"/>
    </row>
    <row r="71" spans="1:15" ht="18.75">
      <c r="A71" s="500"/>
      <c r="B71" s="500"/>
      <c r="C71" s="500"/>
      <c r="D71" s="449"/>
      <c r="E71" s="67"/>
      <c r="F71" s="67"/>
      <c r="G71" s="67"/>
      <c r="H71" s="67"/>
      <c r="I71" s="2"/>
      <c r="J71" s="2"/>
      <c r="K71" s="2"/>
      <c r="L71" s="2"/>
      <c r="M71" s="2"/>
      <c r="N71" s="2"/>
      <c r="O71" s="2"/>
    </row>
    <row r="72" spans="1:15" ht="18.75">
      <c r="A72" s="500"/>
      <c r="B72" s="500"/>
      <c r="C72" s="500"/>
      <c r="D72" s="449"/>
      <c r="E72" s="67"/>
      <c r="F72" s="67"/>
      <c r="G72" s="67"/>
      <c r="H72" s="67"/>
      <c r="I72" s="2"/>
      <c r="J72" s="2"/>
      <c r="K72" s="2"/>
      <c r="L72" s="2"/>
      <c r="M72" s="2"/>
      <c r="N72" s="2"/>
      <c r="O72" s="2"/>
    </row>
    <row r="73" spans="1:15" ht="18.75">
      <c r="A73" s="500"/>
      <c r="B73" s="500"/>
      <c r="C73" s="500"/>
      <c r="D73" s="449"/>
      <c r="E73" s="67"/>
      <c r="F73" s="67"/>
      <c r="G73" s="67"/>
      <c r="H73" s="67"/>
      <c r="I73" s="2"/>
      <c r="J73" s="2"/>
      <c r="K73" s="2"/>
      <c r="L73" s="2"/>
      <c r="M73" s="2"/>
      <c r="N73" s="2"/>
      <c r="O73" s="2"/>
    </row>
    <row r="74" spans="1:15" ht="18.75">
      <c r="A74" s="500"/>
      <c r="B74" s="500"/>
      <c r="C74" s="500"/>
      <c r="D74" s="449"/>
      <c r="E74" s="67"/>
      <c r="F74" s="67"/>
      <c r="G74" s="67"/>
      <c r="H74" s="67"/>
      <c r="I74" s="2"/>
      <c r="J74" s="2"/>
      <c r="K74" s="2"/>
      <c r="L74" s="2"/>
      <c r="M74" s="2"/>
      <c r="N74" s="2"/>
      <c r="O74" s="2"/>
    </row>
    <row r="75" spans="1:15" ht="18.75">
      <c r="A75" s="500"/>
      <c r="B75" s="500"/>
      <c r="C75" s="500"/>
      <c r="D75" s="449"/>
      <c r="E75" s="67"/>
      <c r="F75" s="67"/>
      <c r="G75" s="67"/>
      <c r="H75" s="67"/>
      <c r="I75" s="2"/>
      <c r="J75" s="2"/>
      <c r="K75" s="2"/>
      <c r="L75" s="2"/>
      <c r="M75" s="2"/>
      <c r="N75" s="2"/>
      <c r="O75" s="2"/>
    </row>
    <row r="76" spans="1:15" ht="18.75">
      <c r="A76" s="500"/>
      <c r="B76" s="500"/>
      <c r="C76" s="500"/>
      <c r="D76" s="449"/>
      <c r="E76" s="67"/>
      <c r="F76" s="67"/>
      <c r="G76" s="67"/>
      <c r="H76" s="67"/>
      <c r="I76" s="2"/>
      <c r="J76" s="2"/>
      <c r="K76" s="2"/>
      <c r="L76" s="2"/>
      <c r="M76" s="2"/>
      <c r="N76" s="2"/>
      <c r="O76" s="2"/>
    </row>
    <row r="77" spans="1:15" ht="18.75">
      <c r="A77" s="500"/>
      <c r="B77" s="500"/>
      <c r="C77" s="500"/>
      <c r="D77" s="449"/>
      <c r="E77" s="67"/>
      <c r="F77" s="67"/>
      <c r="G77" s="67"/>
      <c r="H77" s="67"/>
      <c r="I77" s="2"/>
      <c r="J77" s="2"/>
      <c r="K77" s="2"/>
      <c r="L77" s="2"/>
      <c r="M77" s="2"/>
      <c r="N77" s="2"/>
      <c r="O77" s="2"/>
    </row>
    <row r="78" spans="1:15" ht="18.75">
      <c r="A78" s="500"/>
      <c r="B78" s="500"/>
      <c r="C78" s="500"/>
      <c r="D78" s="449"/>
      <c r="E78" s="67"/>
      <c r="F78" s="67"/>
      <c r="G78" s="67"/>
      <c r="H78" s="67"/>
      <c r="I78" s="2"/>
      <c r="J78" s="2"/>
      <c r="K78" s="2"/>
      <c r="L78" s="2"/>
      <c r="M78" s="2"/>
      <c r="N78" s="2"/>
      <c r="O78" s="2"/>
    </row>
    <row r="79" spans="1:15" ht="18.75">
      <c r="A79" s="500"/>
      <c r="B79" s="500"/>
      <c r="C79" s="500"/>
      <c r="D79" s="449"/>
      <c r="E79" s="67"/>
      <c r="F79" s="67"/>
      <c r="G79" s="67"/>
      <c r="H79" s="67"/>
      <c r="I79" s="2"/>
      <c r="J79" s="2"/>
      <c r="K79" s="2"/>
      <c r="L79" s="2"/>
      <c r="M79" s="2"/>
      <c r="N79" s="2"/>
      <c r="O79" s="2"/>
    </row>
    <row r="80" spans="1:15" ht="18.75">
      <c r="A80" s="500"/>
      <c r="B80" s="500"/>
      <c r="C80" s="500"/>
      <c r="D80" s="449"/>
      <c r="E80" s="67"/>
      <c r="F80" s="67"/>
      <c r="G80" s="67"/>
      <c r="H80" s="67"/>
      <c r="I80" s="2"/>
      <c r="J80" s="2"/>
      <c r="K80" s="2"/>
      <c r="L80" s="2"/>
      <c r="M80" s="2"/>
      <c r="N80" s="2"/>
      <c r="O80" s="2"/>
    </row>
    <row r="81" spans="1:15" ht="18.75">
      <c r="A81" s="500"/>
      <c r="B81" s="500"/>
      <c r="C81" s="500"/>
      <c r="D81" s="449"/>
      <c r="E81" s="67"/>
      <c r="F81" s="67"/>
      <c r="G81" s="67"/>
      <c r="H81" s="67"/>
      <c r="I81" s="2"/>
      <c r="J81" s="2"/>
      <c r="K81" s="2"/>
      <c r="L81" s="2"/>
      <c r="M81" s="2"/>
      <c r="N81" s="2"/>
      <c r="O81" s="2"/>
    </row>
    <row r="82" spans="1:15" ht="18.75">
      <c r="A82" s="500"/>
      <c r="B82" s="500"/>
      <c r="C82" s="500"/>
      <c r="D82" s="449"/>
      <c r="E82" s="67"/>
      <c r="F82" s="67"/>
      <c r="G82" s="67"/>
      <c r="H82" s="67"/>
      <c r="I82" s="2"/>
      <c r="J82" s="2"/>
      <c r="K82" s="2"/>
      <c r="L82" s="2"/>
      <c r="M82" s="2"/>
      <c r="N82" s="2"/>
      <c r="O82" s="2"/>
    </row>
    <row r="83" spans="1:15" ht="18.75">
      <c r="A83" s="500"/>
      <c r="B83" s="500"/>
      <c r="C83" s="500"/>
      <c r="D83" s="449"/>
      <c r="E83" s="67"/>
      <c r="F83" s="67"/>
      <c r="G83" s="67"/>
      <c r="H83" s="67"/>
      <c r="I83" s="2"/>
      <c r="J83" s="2"/>
      <c r="K83" s="2"/>
      <c r="L83" s="2"/>
      <c r="M83" s="2"/>
      <c r="N83" s="2"/>
      <c r="O83" s="2"/>
    </row>
    <row r="84" spans="1:15" ht="18.75">
      <c r="A84" s="500"/>
      <c r="B84" s="500"/>
      <c r="C84" s="500"/>
      <c r="D84" s="449"/>
      <c r="E84" s="67"/>
      <c r="F84" s="67"/>
      <c r="G84" s="67"/>
      <c r="H84" s="67"/>
      <c r="I84" s="2"/>
      <c r="J84" s="2"/>
      <c r="K84" s="2"/>
      <c r="L84" s="2"/>
      <c r="M84" s="2"/>
      <c r="N84" s="2"/>
      <c r="O84" s="2"/>
    </row>
    <row r="85" spans="1:15" ht="18.75">
      <c r="A85" s="500"/>
      <c r="B85" s="500"/>
      <c r="C85" s="500"/>
      <c r="D85" s="449"/>
      <c r="E85" s="67"/>
      <c r="F85" s="67"/>
      <c r="G85" s="67"/>
      <c r="H85" s="67"/>
      <c r="I85" s="2"/>
      <c r="J85" s="2"/>
      <c r="K85" s="2"/>
      <c r="L85" s="2"/>
      <c r="M85" s="2"/>
      <c r="N85" s="2"/>
      <c r="O85" s="2"/>
    </row>
    <row r="86" spans="1:15" ht="18.75">
      <c r="A86" s="500"/>
      <c r="B86" s="500"/>
      <c r="C86" s="500"/>
      <c r="D86" s="449"/>
      <c r="E86" s="67"/>
      <c r="F86" s="67"/>
      <c r="G86" s="67"/>
      <c r="H86" s="67"/>
      <c r="I86" s="2"/>
      <c r="J86" s="2"/>
      <c r="K86" s="2"/>
      <c r="L86" s="2"/>
      <c r="M86" s="2"/>
      <c r="N86" s="2"/>
      <c r="O86" s="2"/>
    </row>
    <row r="87" spans="1:15" ht="18.75">
      <c r="A87" s="500"/>
      <c r="B87" s="500"/>
      <c r="C87" s="500"/>
      <c r="D87" s="449"/>
      <c r="E87" s="67"/>
      <c r="F87" s="67"/>
      <c r="G87" s="67"/>
      <c r="H87" s="67"/>
      <c r="I87" s="2"/>
      <c r="J87" s="2"/>
      <c r="K87" s="2"/>
      <c r="L87" s="2"/>
      <c r="M87" s="2"/>
      <c r="N87" s="2"/>
      <c r="O87" s="2"/>
    </row>
    <row r="88" spans="1:15" ht="18.75">
      <c r="A88" s="500"/>
      <c r="B88" s="500"/>
      <c r="C88" s="500"/>
      <c r="D88" s="449"/>
      <c r="E88" s="67"/>
      <c r="F88" s="67"/>
      <c r="G88" s="67"/>
      <c r="H88" s="67"/>
      <c r="I88" s="2"/>
      <c r="J88" s="2"/>
      <c r="K88" s="2"/>
      <c r="L88" s="2"/>
      <c r="M88" s="2"/>
      <c r="N88" s="2"/>
      <c r="O88" s="2"/>
    </row>
    <row r="89" spans="1:15" ht="18.75">
      <c r="A89" s="500"/>
      <c r="B89" s="500"/>
      <c r="C89" s="500"/>
      <c r="D89" s="449"/>
      <c r="E89" s="67"/>
      <c r="F89" s="67"/>
      <c r="G89" s="67"/>
      <c r="H89" s="67"/>
      <c r="I89" s="2"/>
      <c r="J89" s="2"/>
      <c r="K89" s="2"/>
      <c r="L89" s="2"/>
      <c r="M89" s="2"/>
      <c r="N89" s="2"/>
      <c r="O89" s="2"/>
    </row>
    <row r="90" spans="1:15" ht="18.75">
      <c r="A90" s="500"/>
      <c r="B90" s="500"/>
      <c r="C90" s="500"/>
      <c r="D90" s="449"/>
      <c r="E90" s="67"/>
      <c r="F90" s="67"/>
      <c r="G90" s="67"/>
      <c r="H90" s="67"/>
      <c r="I90" s="2"/>
      <c r="J90" s="2"/>
      <c r="K90" s="2"/>
      <c r="L90" s="2"/>
      <c r="M90" s="2"/>
      <c r="N90" s="2"/>
      <c r="O90" s="2"/>
    </row>
    <row r="91" spans="1:15" ht="18.75">
      <c r="A91" s="500"/>
      <c r="B91" s="500"/>
      <c r="C91" s="500"/>
      <c r="D91" s="449"/>
      <c r="E91" s="67"/>
      <c r="F91" s="67"/>
      <c r="G91" s="67"/>
      <c r="H91" s="67"/>
      <c r="I91" s="2"/>
      <c r="J91" s="2"/>
      <c r="K91" s="2"/>
      <c r="L91" s="2"/>
      <c r="M91" s="2"/>
      <c r="N91" s="2"/>
      <c r="O91" s="2"/>
    </row>
    <row r="92" spans="1:15" ht="18.75">
      <c r="A92" s="500"/>
      <c r="B92" s="500"/>
      <c r="C92" s="500"/>
      <c r="D92" s="449"/>
      <c r="E92" s="67"/>
      <c r="F92" s="67"/>
      <c r="G92" s="67"/>
      <c r="H92" s="67"/>
      <c r="I92" s="2"/>
      <c r="J92" s="2"/>
      <c r="K92" s="2"/>
      <c r="L92" s="2"/>
      <c r="M92" s="2"/>
      <c r="N92" s="2"/>
      <c r="O92" s="2"/>
    </row>
    <row r="93" spans="1:15" ht="18.75">
      <c r="A93" s="500"/>
      <c r="B93" s="500"/>
      <c r="C93" s="500"/>
      <c r="D93" s="449"/>
      <c r="E93" s="67"/>
      <c r="F93" s="67"/>
      <c r="G93" s="67"/>
      <c r="H93" s="67"/>
      <c r="I93" s="2"/>
      <c r="J93" s="2"/>
      <c r="K93" s="2"/>
      <c r="L93" s="2"/>
      <c r="M93" s="2"/>
      <c r="N93" s="2"/>
      <c r="O93" s="2"/>
    </row>
    <row r="94" spans="1:15" ht="18.75">
      <c r="A94" s="500"/>
      <c r="B94" s="500"/>
      <c r="C94" s="500"/>
      <c r="D94" s="449"/>
      <c r="E94" s="67"/>
      <c r="F94" s="67"/>
      <c r="G94" s="67"/>
      <c r="H94" s="67"/>
      <c r="I94" s="2"/>
      <c r="J94" s="2"/>
      <c r="K94" s="2"/>
      <c r="L94" s="2"/>
      <c r="M94" s="2"/>
      <c r="N94" s="2"/>
      <c r="O94" s="2"/>
    </row>
    <row r="95" spans="1:15" ht="18.75">
      <c r="A95" s="500"/>
      <c r="B95" s="500"/>
      <c r="C95" s="500"/>
      <c r="D95" s="449"/>
      <c r="E95" s="67"/>
      <c r="F95" s="67"/>
      <c r="G95" s="67"/>
      <c r="H95" s="67"/>
      <c r="I95" s="2"/>
      <c r="J95" s="2"/>
      <c r="K95" s="2"/>
      <c r="L95" s="2"/>
      <c r="M95" s="2"/>
      <c r="N95" s="2"/>
      <c r="O95" s="2"/>
    </row>
    <row r="96" spans="1:15" ht="18.75">
      <c r="A96" s="500"/>
      <c r="B96" s="500"/>
      <c r="C96" s="500"/>
      <c r="D96" s="449"/>
      <c r="E96" s="67"/>
      <c r="F96" s="67"/>
      <c r="G96" s="67"/>
      <c r="H96" s="67"/>
      <c r="I96" s="2"/>
      <c r="J96" s="2"/>
      <c r="K96" s="2"/>
      <c r="L96" s="2"/>
      <c r="M96" s="2"/>
      <c r="N96" s="2"/>
      <c r="O96" s="2"/>
    </row>
    <row r="97" spans="1:15" ht="18.75">
      <c r="A97" s="500"/>
      <c r="B97" s="500"/>
      <c r="C97" s="500"/>
      <c r="D97" s="449"/>
      <c r="E97" s="67"/>
      <c r="F97" s="67"/>
      <c r="G97" s="67"/>
      <c r="H97" s="67"/>
      <c r="I97" s="2"/>
      <c r="J97" s="2"/>
      <c r="K97" s="2"/>
      <c r="L97" s="2"/>
      <c r="M97" s="2"/>
      <c r="N97" s="2"/>
      <c r="O97" s="2"/>
    </row>
    <row r="98" spans="5:6" ht="18.75">
      <c r="E98" s="28"/>
      <c r="F98" s="28"/>
    </row>
    <row r="99" spans="5:6" ht="18.75">
      <c r="E99" s="28"/>
      <c r="F99" s="28"/>
    </row>
    <row r="100" spans="5:6" ht="18.75">
      <c r="E100" s="28"/>
      <c r="F100" s="28"/>
    </row>
    <row r="101" spans="5:6" ht="18.75">
      <c r="E101" s="28"/>
      <c r="F101" s="28"/>
    </row>
    <row r="102" spans="5:6" ht="18.75">
      <c r="E102" s="28"/>
      <c r="F102" s="28"/>
    </row>
    <row r="103" spans="5:6" ht="18.75">
      <c r="E103" s="28"/>
      <c r="F103" s="28"/>
    </row>
    <row r="104" spans="5:6" ht="18.75">
      <c r="E104" s="28"/>
      <c r="F104" s="28"/>
    </row>
    <row r="105" spans="5:6" ht="18.75">
      <c r="E105" s="28"/>
      <c r="F105" s="28"/>
    </row>
    <row r="106" spans="5:6" ht="18.75">
      <c r="E106" s="28"/>
      <c r="F106" s="28"/>
    </row>
    <row r="107" spans="5:6" ht="18.75">
      <c r="E107" s="28"/>
      <c r="F107" s="28"/>
    </row>
    <row r="108" spans="5:6" ht="18.75">
      <c r="E108" s="28"/>
      <c r="F108" s="28"/>
    </row>
  </sheetData>
  <sheetProtection/>
  <printOptions/>
  <pageMargins left="0.1968503937007874" right="0" top="0.1968503937007874" bottom="0.1968503937007874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UM Konin</cp:lastModifiedBy>
  <cp:lastPrinted>2013-12-10T10:49:15Z</cp:lastPrinted>
  <dcterms:created xsi:type="dcterms:W3CDTF">2009-03-04T08:33:11Z</dcterms:created>
  <dcterms:modified xsi:type="dcterms:W3CDTF">2013-12-10T13:14:05Z</dcterms:modified>
  <cp:category/>
  <cp:version/>
  <cp:contentType/>
  <cp:contentStatus/>
</cp:coreProperties>
</file>