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665" windowHeight="7440" tabRatio="734" firstSheet="1" activeTab="3"/>
  </bookViews>
  <sheets>
    <sheet name="Wolny 1" sheetId="1" r:id="rId1"/>
    <sheet name="Załącznik nr 1" sheetId="2" r:id="rId2"/>
    <sheet name="Załącznik nr 2" sheetId="3" r:id="rId3"/>
    <sheet name="Załącznik nr 3" sheetId="4" r:id="rId4"/>
    <sheet name="Załącznik nr 4" sheetId="5" r:id="rId5"/>
    <sheet name="Załącznik nr 5" sheetId="6" r:id="rId6"/>
    <sheet name="Załącznik nr 6" sheetId="7" r:id="rId7"/>
    <sheet name="Załąćznik nr 7" sheetId="8" r:id="rId8"/>
    <sheet name="Załącznik nr 8" sheetId="9" r:id="rId9"/>
    <sheet name="Załącznik nr 9" sheetId="10" r:id="rId10"/>
    <sheet name="Załącznik nr 10" sheetId="11" r:id="rId11"/>
    <sheet name="Załącznik nr 11" sheetId="12" r:id="rId12"/>
    <sheet name="Załącznik nr 12" sheetId="13" r:id="rId13"/>
    <sheet name="Załącznik nr 13" sheetId="14" r:id="rId14"/>
    <sheet name="Wolny" sheetId="15" r:id="rId15"/>
  </sheets>
  <definedNames>
    <definedName name="_xlnm.Print_Titles" localSheetId="1">'Załącznik nr 1'!$9:$11</definedName>
    <definedName name="_xlnm.Print_Titles" localSheetId="11">'Załącznik nr 11'!$13:$13</definedName>
    <definedName name="_xlnm.Print_Titles" localSheetId="12">'Załącznik nr 12'!$10:$10</definedName>
    <definedName name="_xlnm.Print_Titles" localSheetId="2">'Załącznik nr 2'!$9:$11</definedName>
    <definedName name="_xlnm.Print_Titles" localSheetId="3">'Załącznik nr 3'!$10:$12</definedName>
    <definedName name="_xlnm.Print_Titles" localSheetId="5">'Załącznik nr 5'!$12:$13</definedName>
    <definedName name="_xlnm.Print_Titles" localSheetId="6">'Załącznik nr 6'!$11:$11</definedName>
    <definedName name="_xlnm.Print_Titles" localSheetId="7">'Załąćznik nr 7'!$14:$15</definedName>
  </definedNames>
  <calcPr fullCalcOnLoad="1"/>
</workbook>
</file>

<file path=xl/sharedStrings.xml><?xml version="1.0" encoding="utf-8"?>
<sst xmlns="http://schemas.openxmlformats.org/spreadsheetml/2006/main" count="2559" uniqueCount="730">
  <si>
    <t>Zakup usług remontowo-konserwatorskich dotyczących obiektów zabytkowych bedących w użytkowaniu jednostek budżetowych</t>
  </si>
  <si>
    <t>Sfinansowanie  zadłużenia</t>
  </si>
  <si>
    <t xml:space="preserve">Koszty postępowania  sądowego i prokuratorskiego </t>
  </si>
  <si>
    <t>Opłaty z tytułu zakupu usług telekomunikacyjnych świadczonych w stacjonarnej publicznej sieci telefonicznej</t>
  </si>
  <si>
    <t>Opłaty z tytułu  zakupu usług telekomunikacyjnych świadczonych w ruchomej publicznej sieci telefonicznej</t>
  </si>
  <si>
    <t xml:space="preserve">Dotacja przedmiotowa z budżetu dla samorządowego zakładu budżetowego </t>
  </si>
  <si>
    <t xml:space="preserve">Kultura fizyczna </t>
  </si>
  <si>
    <t xml:space="preserve">Dotacja celowa otrzymana  tytułu pomocy finansowej udzielanej między jednostkami samorządu terytorialnego na dofinansowanie własnych zadań bieżących  </t>
  </si>
  <si>
    <t xml:space="preserve">Wpływy z różnych dochodów </t>
  </si>
  <si>
    <t>Zadania w zakresie przeciwdziałania przemocy w rodzinie</t>
  </si>
  <si>
    <t>Zadania  inwestycje i spłata zadłużenia</t>
  </si>
  <si>
    <t>Szkoły artystyczne</t>
  </si>
  <si>
    <t>6280</t>
  </si>
  <si>
    <t>Odsetki od samorządowych papierów wartościowych lub zaciągniętych przez jednostkę samorządu terytorialnego kredytów i  pożyczek</t>
  </si>
  <si>
    <t>Różne rozliczenia finansowe</t>
  </si>
  <si>
    <t>O840</t>
  </si>
  <si>
    <t>Wpływy ze sprzedaży wyrobów</t>
  </si>
  <si>
    <t>Komisje egzaminacyjne</t>
  </si>
  <si>
    <t>Stołówki szkolne i przedszkolne</t>
  </si>
  <si>
    <t>Dochody od osób prawnych, od osób fizycznych i od innych jednostek nieposiadających osobowości prawnej oraz wydatki związane z ich poborem</t>
  </si>
  <si>
    <t>Ochrona zdrowia</t>
  </si>
  <si>
    <t xml:space="preserve"> </t>
  </si>
  <si>
    <t>w złotych</t>
  </si>
  <si>
    <t>Dział</t>
  </si>
  <si>
    <t>Rozdz.</t>
  </si>
  <si>
    <t>Transport i łączność</t>
  </si>
  <si>
    <t>Lokalny transport zbiorowy</t>
  </si>
  <si>
    <t xml:space="preserve"> Limit wydatków bieżących na  programy  finansowane z udziałem środków  </t>
  </si>
  <si>
    <t xml:space="preserve"> o których mowa w art. 5 ust. 1 pkt 2 i 3 ustawy o finansach publicznych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</si>
  <si>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</si>
  <si>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</si>
  <si>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</si>
  <si>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</si>
  <si>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</si>
  <si>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Europejski Fundusz Społeczny - Program  Operacyjny Kapitał Ludzki</t>
  </si>
  <si>
    <t>cel: Rozwój wykształcenia i kompetencji w regionach</t>
  </si>
  <si>
    <t>Urząd Miejski w Koninie</t>
  </si>
  <si>
    <t>Budowa placów zabaw na os. Laskówiec i Grójec w Koninie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</si>
  <si>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</si>
  <si>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</si>
  <si>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Przedszkole nr 2 w Koninie "Kraina Wesołej Zabawy"</t>
  </si>
  <si>
    <t>Podniesienie i uzupełnienie kwalifikacji kadry pedagogicznej i administracyjnej poprzez realizacje projektu Pt. "Dokształcanie to Twoja szansa"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</si>
  <si>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</si>
  <si>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</si>
  <si>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</si>
  <si>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</si>
  <si>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</si>
  <si>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</si>
  <si>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</si>
  <si>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</si>
  <si>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</si>
  <si>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</si>
  <si>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</si>
  <si>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</si>
  <si>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</si>
  <si>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</si>
  <si>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</si>
  <si>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</si>
  <si>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</si>
  <si>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</si>
  <si>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</si>
  <si>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</si>
  <si>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</si>
  <si>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</si>
  <si>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</si>
  <si>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</si>
  <si>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</si>
  <si>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</si>
  <si>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</si>
  <si>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</si>
  <si>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</si>
  <si>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</si>
  <si>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Europejski Fundusz Społeczny - Program  Operacyjny  Kapitał Ludzki</t>
  </si>
  <si>
    <t>ZS im. Kopernika w  Koninie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</si>
  <si>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</si>
  <si>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</si>
  <si>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</si>
  <si>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</si>
  <si>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</si>
  <si>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</si>
  <si>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</si>
  <si>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</si>
  <si>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„Uczenie się przez całe życie”  Leonardo da Vinci</t>
  </si>
  <si>
    <t>ZSB  w Koninie</t>
  </si>
  <si>
    <t>„Mistrz w zawodzie - praktyki zagraniczne dla uczniów”</t>
  </si>
  <si>
    <t xml:space="preserve">do Uchwały nr    </t>
  </si>
  <si>
    <t>z dnia       2013 roku</t>
  </si>
  <si>
    <t xml:space="preserve"> na 2014 rok</t>
  </si>
  <si>
    <t xml:space="preserve">                  2014 rok</t>
  </si>
  <si>
    <t>Dochody z najmu i dzierżawy składników majątkowych Skarbu Państwa, jednostek samorządu terytorialnego lub innych jednostek zaliczanych do sektora finansów publicznych oraz innych umów o podobnym charakterze</t>
  </si>
  <si>
    <t>O760</t>
  </si>
  <si>
    <t>Wpływy z tytułu przekształcenia prawa użytkowania wieczystego przysługującego osobom fizycznym w prawo własności</t>
  </si>
  <si>
    <t>O770</t>
  </si>
  <si>
    <t>Wpłaty z tytułu odpłatnego nabycia prawa własności oraz prawa użytkowania wieczystego nieruchomości</t>
  </si>
  <si>
    <t>O970</t>
  </si>
  <si>
    <t>Wpływy z różnych dochodów</t>
  </si>
  <si>
    <t>Wpłaty na Państwowy Fundusz Rehabilitacji Osób Niepełnosprawnych</t>
  </si>
  <si>
    <t>Zakup pomocy naukowych, dydaktycznych i książek</t>
  </si>
  <si>
    <t>Podatek od  nieruchomości</t>
  </si>
  <si>
    <t>Dotacje celowe w ramach programów finansowanych z udziałem środków europejskich oraz środków o których mowa w  art. 5 ust. 1 pkt 3 oraz ust. 3 pkt 5 i 6 ustawy, lub płatności w ramach budżetu środków europejskich</t>
  </si>
  <si>
    <t>TABELA nr 1</t>
  </si>
  <si>
    <t>010</t>
  </si>
  <si>
    <t>01095</t>
  </si>
  <si>
    <t>6290</t>
  </si>
  <si>
    <t>Środki na dofinansowanie własnych inwestycji gmin (związków gmin), powiatów (związków powiatów), samorządów województw, pozyskane z innych źródeł</t>
  </si>
  <si>
    <t>710</t>
  </si>
  <si>
    <t>2020</t>
  </si>
  <si>
    <t>Cmentarze</t>
  </si>
  <si>
    <t>2990</t>
  </si>
  <si>
    <t>Wpłata środków finansowych z niewykorzystanych w terminie wydatków, które nie wygasają z upływem roku budżetowego</t>
  </si>
  <si>
    <t>Projekt planu wydatków na 2014 rok</t>
  </si>
  <si>
    <t>Zakup środków żywności</t>
  </si>
  <si>
    <t>Dowożenie uczniów do szkół</t>
  </si>
  <si>
    <t>Wydatki  osobowe niezaliczone do wynagrodzeń</t>
  </si>
  <si>
    <t>Opłaty na rzecz budżetu państwa</t>
  </si>
  <si>
    <t>Szkolenia członków korpusu służby cywilnej</t>
  </si>
  <si>
    <t xml:space="preserve">Nadzór budowlany </t>
  </si>
  <si>
    <t>Oddziały przedszkolne w szkołach podstawowych</t>
  </si>
  <si>
    <t>Świetlice  szkolne</t>
  </si>
  <si>
    <t>Stypendia  dla uczniów</t>
  </si>
  <si>
    <t>Nazwa</t>
  </si>
  <si>
    <t xml:space="preserve">  PROJEKT  PLANU  WYDATKÓW  BUDŻETU  MIASTA  KONINA  </t>
  </si>
  <si>
    <t>6260</t>
  </si>
  <si>
    <t>Dotacje otrzymane z państwowych funduszy celowychna finansowanie lub dofinansowanie kosztów realizacji inwestycji i zakupów inwestycyjnych jednostek sektora finansów publicznych</t>
  </si>
  <si>
    <t>Modernizacja oświetlenia ulicznego miasta  Konina na energooszczędne</t>
  </si>
  <si>
    <t>2013/2015</t>
  </si>
  <si>
    <t xml:space="preserve">Dochody z najmu i dzierżawy składników majątkowych Skarbu Państwa,  jednostek samorządu terytorialnego lub innych jednostek zaliczanych do sektora finansów publicznych oraz innych umów o podobnym charakterze  </t>
  </si>
  <si>
    <t>O910</t>
  </si>
  <si>
    <t xml:space="preserve">Zakup usług obejmujących wykonanie ekspertyz, analiz i opinii  </t>
  </si>
  <si>
    <t xml:space="preserve">Opłaty na rzecz budżetów jednostek samorządu terytorialnego </t>
  </si>
  <si>
    <t>Odsetki od nieterminowych wpłat z tytułu podatków i opłat</t>
  </si>
  <si>
    <t>O920</t>
  </si>
  <si>
    <t>Dotacje celowe otrzymane z budżetu państwa na realizację zadań bieżących 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</si>
  <si>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</si>
  <si>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O570</t>
  </si>
  <si>
    <t>Kolonie i obozy oraz inne formy wypoczynku dzieci i młodzieży szkolnej, a także szkolenia młodzieży</t>
  </si>
  <si>
    <t>O360</t>
  </si>
  <si>
    <t>RAZEM</t>
  </si>
  <si>
    <t>OGÓŁEM</t>
  </si>
  <si>
    <t>Budowa przyłączy kanalizacyjnych i przyłączenie nieruchomości do miejskiej sieci kanalizacyjnej</t>
  </si>
  <si>
    <t>Dotacje celowe z budżetu na finansowanie lub dofinansowanie prac remontowych i konserwatorskich obiektów zabytkowych przekazane jednostkom niezaliczanym do sektora finansów publicznych</t>
  </si>
  <si>
    <t>Straż Graniczna</t>
  </si>
  <si>
    <t>Gospodarka gruntami i nieruchomościami</t>
  </si>
  <si>
    <t>Pozostała działalność</t>
  </si>
  <si>
    <t>Administracja publiczna</t>
  </si>
  <si>
    <t>Bezpieczeństwo publiczne i ochrona przeciwpożarowa</t>
  </si>
  <si>
    <t>Różne rozliczenia</t>
  </si>
  <si>
    <t>Rezerwy ogólne i celowe</t>
  </si>
  <si>
    <t>Oświata i wychowanie</t>
  </si>
  <si>
    <t>Szkoły podstawowe</t>
  </si>
  <si>
    <t>Gimnazja</t>
  </si>
  <si>
    <t>Gospodarka komunalna i ochrona środowiska</t>
  </si>
  <si>
    <t>Działalność usługowa</t>
  </si>
  <si>
    <t xml:space="preserve">OGÓŁEM  </t>
  </si>
  <si>
    <t>Zakup usług obejmujących wykonanie ekspertyz, analiz i opinii</t>
  </si>
  <si>
    <t>0580</t>
  </si>
  <si>
    <t>Grzywny i inne kary pieniężneod osób prawnych i innych jednostek organizacyjnych</t>
  </si>
  <si>
    <t>Wpływy ze zwrotów dotacji oraz płatności, w tym wykorzystanych niezgodnie z przeznaczeniem lub wykorzystanych z naruszeniem procedur, o których mowa w art.. 184 ustawy, pobranych nienależnie lub w nadmiernej wysokości</t>
  </si>
  <si>
    <t>0740</t>
  </si>
  <si>
    <t>Wpływy z dywidend</t>
  </si>
  <si>
    <t xml:space="preserve">Wpływy ze sprzedaży składników majątkowych </t>
  </si>
  <si>
    <t>Załącznik nr 9</t>
  </si>
  <si>
    <t xml:space="preserve">z dnia                    </t>
  </si>
  <si>
    <t xml:space="preserve">PROJEKT PLANU DOTACJI I WYDATKÓW ZADAŃ REALIZOWANYCH NA PODSTAWIE </t>
  </si>
  <si>
    <t xml:space="preserve">POROZUMIEŃ MIĘDZY JEDNOSTKAMI SAMORZĄDU TERYTORIALNEGO </t>
  </si>
  <si>
    <t xml:space="preserve">ZADAŃ Z ZAKRESU ADMINISTRACJI RZĄDOWEJ NA 2014 ROK  </t>
  </si>
  <si>
    <t>Pozostałe zadania   w zakresie polityki społecznej</t>
  </si>
  <si>
    <t xml:space="preserve">      OGÓŁEM </t>
  </si>
  <si>
    <t>Załącznik nr 11</t>
  </si>
  <si>
    <t xml:space="preserve">PROJEKT PLANU DOTACJI DLA PODMIOTÓW NIE ZALICZANYCH DO SEKTORA FINANSÓW </t>
  </si>
  <si>
    <t>PUBLICZNYCH NA CELE PUBLICZNE ZWIĄZANE Z REALIZACJĄ ZADAŃ MIASTA  NA 2014 ROK</t>
  </si>
  <si>
    <t xml:space="preserve">Określenie zadań </t>
  </si>
  <si>
    <t>Przewidywane wykonanie w 2013 roku</t>
  </si>
  <si>
    <t>Projekt planu na 2014 rok</t>
  </si>
  <si>
    <t xml:space="preserve">Dotacje podmiotowe </t>
  </si>
  <si>
    <t>Dotacje celowe</t>
  </si>
  <si>
    <t>Bezpieczenstwo publiczne i ochrona przeciwpożarowa</t>
  </si>
  <si>
    <t>dotacja dla Ochotniczej Strazy Pożarnej Konin - Starówka na zakup zestawu ratownictwa technicznego z agregatem hydraulicznym LUKAS GmbH, model P630 SG o mocy 2,2 KW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</si>
  <si>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</si>
  <si>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</si>
  <si>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</si>
  <si>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</si>
  <si>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 xml:space="preserve">           Plan na 2014 rok</t>
  </si>
  <si>
    <t>Lp</t>
  </si>
  <si>
    <t>§</t>
  </si>
  <si>
    <t>Nazwa  zadania</t>
  </si>
  <si>
    <t>środki  w ramach ustawy Prawo ochrony środowiska</t>
  </si>
  <si>
    <t>RAZEM GMINA</t>
  </si>
  <si>
    <t>Drogi publiczne gminne</t>
  </si>
  <si>
    <t>Przebudowa ulicy Stodolnianej w Koninie</t>
  </si>
  <si>
    <t>Rozbudowa skrzyżowania ulic Stanisława Staszica, Romana Dmowskiego i Tadeusza Kościuszki na skrzyżowanie typu "rondo" w Koninie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</si>
  <si>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</si>
  <si>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</si>
  <si>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</si>
  <si>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</si>
  <si>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</si>
  <si>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projektowo-kosztorysowej na budowę ul. Wierzbowej (od ul. Europejskiej w kierunku wschodnim)</t>
  </si>
  <si>
    <t>Opracowanie  dokumentacji projektowo-kosztorysowej kładki nad Kanałem Ulgi</t>
  </si>
  <si>
    <t>Opracowanie  dokumentacji projektowo-kosztorysowej na budowę ul. Grójeckiej w Koninie</t>
  </si>
  <si>
    <t>Nabycie nieruchomości gruntowych</t>
  </si>
  <si>
    <t>Budowa czterech domków mieszkalnych oraz rozbudowa budynku gospodarczego w Koninie przy ul. M. Dąbrowskiej</t>
  </si>
  <si>
    <t>Rewitalizacja Starówki - budowa budynków mieszkalnych wielorodzinnych pomiędzy ulicą Wodną i Grunwaldzką w Koninie</t>
  </si>
  <si>
    <t>Doposażenie techniczne urzędu</t>
  </si>
  <si>
    <t>Adaptacja budynku przy ul. Benesza 1 w Koninie  na cele administracyjne</t>
  </si>
  <si>
    <t>Ochotnicze Straże Pożarne</t>
  </si>
  <si>
    <t xml:space="preserve">Zakupy inwestycyjne </t>
  </si>
  <si>
    <t>Obrona cywilna</t>
  </si>
  <si>
    <t>Rezerwa celowa na inwestycje i zakupy inwestycyjne</t>
  </si>
  <si>
    <t>Opracowanie dokumentacji projektowo-kosztorysowej na budowę sali gimnastycznej Szkoły Podstawowej   Nr 1 w Koninie</t>
  </si>
  <si>
    <t>Budowa kompleksu boisk przy Szkole Podstawowej Nr 4 w Koninie</t>
  </si>
  <si>
    <t xml:space="preserve">Wykonanie piłkochwytu na boisku Szkoły Podstawowej Nr 1 </t>
  </si>
  <si>
    <t>Adaptacja płyty asfaltowej na placu szkolnym na kort tenisowy przy Szkole Podstawowej Nr 3</t>
  </si>
  <si>
    <t>Zakup piłkochwytów w Szkole Podstawowej Nr 9</t>
  </si>
  <si>
    <t>Zakup serwera do pracowni komputerowej w Szkole Podstawowej Nr 10</t>
  </si>
  <si>
    <t>Budowa parkingu przy Przedszkolu Nr 7 w Koninie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</si>
  <si>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</si>
  <si>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</si>
  <si>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</si>
  <si>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Opracowanie dokumentacji projektowo-kosztorysowej na budowę boisk przy  Gimnazjum Nr 1 w Koninie</t>
  </si>
  <si>
    <t>Budowa zespołu boisk przy Gimnazjum Nr 7 w Koninie</t>
  </si>
  <si>
    <t>Zakup obieraczki do ziemniaków do kuchni w Szkole Podstawowej Nr 1</t>
  </si>
  <si>
    <t>Zakup zmywarki do kuchni w Szkole Podstawowej Nr 3</t>
  </si>
  <si>
    <t>Zakup patelni elektrycznej do kuchni w Szkole Podstawowej Nr 3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</si>
  <si>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</si>
  <si>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</si>
  <si>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</si>
  <si>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</si>
  <si>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Przeciwdziałanie alkoholizmowi</t>
  </si>
  <si>
    <t xml:space="preserve">Dotacja celowa na zakupy inwestycyjne dla Oddziału Uzależnień WSzZ w Koninie </t>
  </si>
  <si>
    <t>Modernizacja sieci komputerowej i  sieci energetycznej do zasilania sprzętu komputerowego - MOPR</t>
  </si>
  <si>
    <t>Oświetlenie ulic, placów i dróg</t>
  </si>
  <si>
    <t xml:space="preserve">Budowa sygnalizacji świetlnej na skrzyżowaniu ul. Przemysłowej i ul. Gosławickiej  wraz z doświetleniem przejść dla pieszych
</t>
  </si>
  <si>
    <t>Doświetlenie przejść dla pieszych w Koninie</t>
  </si>
  <si>
    <t>Wniesienie wkładu pieniężnego na budowę sieci kanalizacji sanitarnej i wodociągu w ulicy Rudzickiej</t>
  </si>
  <si>
    <t>Wniesienie wkładu pieniężnego do spółki Geotermia Konin Spółka z o.o. w Koninie</t>
  </si>
  <si>
    <t>Budowa kanalizacji deszczowej na terenie osiedla Pątnów  w Koninie</t>
  </si>
  <si>
    <t xml:space="preserve">Uzbrojenie terenów inwestycyjnych w obrębie Konin - Międzylesie </t>
  </si>
  <si>
    <t>Adaptacja pomieszczeń budynku Klubu Energetyk na potrzeby Młodzieżowego Domu Kultury w Koninie</t>
  </si>
  <si>
    <t>RAZEM POWIAT</t>
  </si>
  <si>
    <t>Drogi publiczne w miastach na prawach powiatu</t>
  </si>
  <si>
    <t>Przebudowa ul. Żwirki i Wigury wraz z kanalizacją deszczową</t>
  </si>
  <si>
    <t>Przebudowa mostu im. Józefa Piłsudskiego w Koninie</t>
  </si>
  <si>
    <t>Opracowanie dokumentacji projektowej na budowę toalet przy Bulwarze Nadwarciańskim w Koninie</t>
  </si>
  <si>
    <t xml:space="preserve">Zakup sprzętu komputerowego </t>
  </si>
  <si>
    <t>Przebudowa pomieszczeń garażowych budynku strażnicy wraz z modernizacją kanalizacji deszczowej oraz wymianą nawierzchni placu manewrowego JRG Nr 1 i Komendy Miejskiej Państwowej Straży Pożarnej w Koninie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</si>
  <si>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</si>
  <si>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</si>
  <si>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</si>
  <si>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</si>
  <si>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Zakup kserokopiarki dla Zespołu Szkół Technicznych i Hutniczych w Koninie</t>
  </si>
  <si>
    <t xml:space="preserve">Zakup kserokopiarki dla Zespołu Szkół Budowlanych w Koninie </t>
  </si>
  <si>
    <t>Specjalne ośrodki szkolno-wychowawcze</t>
  </si>
  <si>
    <t>Zakup kserokopiarki w SOS-W w Koninie</t>
  </si>
  <si>
    <t>Rozbudowa boisk przy ZSGE                   ul. Kard. Wyszyńskiego 3  w Koninie</t>
  </si>
  <si>
    <t>projekt pt. "Nowa edukacja - nowe wyzwania"</t>
  </si>
  <si>
    <t xml:space="preserve"> projekt pt. "Wszystko zaczyna się od przedszkola"</t>
  </si>
  <si>
    <t>cel: podniesienie jakości edukacji w przedszkolu poprzez stworzenie warunków do zdobywania kompetencji zawodowych i językowych  związanych ze specyfikacją placowki dla 10 osób kadry edukacyjnej, przyczyniając się do osiągnięcia jak najlepszych efektów pracy z dzieckiem w tym niepełnosprawnym i jego rodziną</t>
  </si>
  <si>
    <t>cel: doskonalenie kompetencji zawodowych  oraz szkolenie językowe i kulturowe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</si>
  <si>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</si>
  <si>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z zakresu edukacyjnej opieki wychowawczej finansowanych w całości przez budżet państwa w ramach programów rządowych</t>
  </si>
  <si>
    <t>Usuwanie skutków klęś żywiołowych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</si>
  <si>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</si>
  <si>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KTÓRE PODLEGAJĄ  PRZEKAZANIU DO BUDŻETU PAŃSTWA NA 2014 ROK</t>
  </si>
  <si>
    <t>zapewnienie bezpieczeństwa osobom przebywającym nad wodami</t>
  </si>
  <si>
    <t>działalność na rzecz rozwoju gospodarczego wspierającego lokalny rynek pracy</t>
  </si>
  <si>
    <t>2014-2015</t>
  </si>
  <si>
    <t>2012-2015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</si>
  <si>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</si>
  <si>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</si>
  <si>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</si>
  <si>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</si>
  <si>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pomoc żywnościowa dla rodzin dysfunkcyjnych</t>
  </si>
  <si>
    <t>organizacja imprez mikołajkowo-bożonarodzeniowych połączonych z oddziaływaniem profilaktycznym dla dzieci i młodzieży z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</si>
  <si>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</si>
  <si>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</si>
  <si>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</si>
  <si>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</si>
  <si>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</si>
  <si>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dotacja celowa dla 2 klubów dziecięcych</t>
  </si>
  <si>
    <t>dotacja celowa dla niepublicznego klubu dziecięcego</t>
  </si>
  <si>
    <t>Wspieranie realizacji zadań organizacji pozarządowych</t>
  </si>
  <si>
    <t>"Jesteś przedsiębiorczy! Zacznij działać już dziś w Koninie "  w ramach programu POKL (dotacja celowa)</t>
  </si>
  <si>
    <t>"Dobry pomysł na firmę wspomagamy przedsiębiorczość w Koninie" - w ramach programu POKL (dotacja celowa)</t>
  </si>
  <si>
    <t xml:space="preserve">„PI  Wsparcie rozwoju narzędzi związanych z kontraktowaniem usług społecznych w Koninie” w ramach programu POKL (dotacja celowa)  </t>
  </si>
  <si>
    <t>"Twoja firma - wspomagamy przedsiębiorczych w Koninie" - w ramach programu POKL (dotacja celowa)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</si>
  <si>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</si>
  <si>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</si>
  <si>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</si>
  <si>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</si>
  <si>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konserwatorsko-restauracyjne ołtarza pw Serca Jezusa - nawa pólnocna - Parafia pw Św. Bartłomieja</t>
  </si>
  <si>
    <t>prace konserwatorsko-renowacyjne przy ambonie z kościoła Franciszkanów - Klasztor Franciszkanów (OFM)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</si>
  <si>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</si>
  <si>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</si>
  <si>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</si>
  <si>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</si>
  <si>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dofinansowanie szkolenia uzdolnionych sportowo w piłce koszykowej kobiet (ekstraklasa)</t>
  </si>
  <si>
    <t>dofinansowanie szkolenia uzdolnionych sportowo w piłce ręcznej mężczyzn (II liga)</t>
  </si>
  <si>
    <t>realizacja zadań o których mowa w § 6 pkt 1 Uchwały nr 226 Rady Miasta Konina z dnia 26 października 2011 roku</t>
  </si>
  <si>
    <t>organizacja imprez sportowo-rekreacyjnych dla mieszkańców Konina</t>
  </si>
  <si>
    <t>organizacja imprez sportowych dla osób niepełnosprawnych</t>
  </si>
  <si>
    <t xml:space="preserve">Razem zadania powiatu </t>
  </si>
  <si>
    <t>prowadzenie warsztatów terapii zajęciowej, rehabilitacja zawodowa i społeczna</t>
  </si>
  <si>
    <t>Turystyka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</si>
  <si>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</si>
  <si>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</si>
  <si>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</si>
  <si>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Załącznik nr 12</t>
  </si>
  <si>
    <t xml:space="preserve">PROJEKT PLANU DOTACJI DLA PODMIOTÓW ZALICZANYCH DO SEKTORA FINANSÓW 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</si>
  <si>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</si>
  <si>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</si>
  <si>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</si>
  <si>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</si>
  <si>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</si>
  <si>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dotacja dla niepublicznego gimnazjum  rozdz.80110</t>
  </si>
  <si>
    <t>dotacja dla niepublicznego liceum ogólnokształcącego rozdz. 80120</t>
  </si>
  <si>
    <t>dotacja dla publicznego liceum ogólnokształcącego rozdz. 80120</t>
  </si>
  <si>
    <t>dotacja dla niepublicznego liceum profilowanego rozdz. 80123</t>
  </si>
  <si>
    <t>dotacja dla niepublicznej szkoły zawodowej rozdz. 80130</t>
  </si>
  <si>
    <t>dotacja dla niepublicznego przedszkola i punktów przedszkolnych rozdz. 80104</t>
  </si>
  <si>
    <t xml:space="preserve">dotacja dla niepublicznego specjalnego ośrodka szkolno-wychowawczego rozdz. 85403 </t>
  </si>
  <si>
    <t xml:space="preserve">Projekt planu wydatków majątkowych realizowanych ze środków </t>
  </si>
  <si>
    <t>budżetowych miasta Konina na 2014 rok</t>
  </si>
  <si>
    <t xml:space="preserve">                                        Rady  Miasta Konina</t>
  </si>
  <si>
    <t xml:space="preserve">                                        z dnia  </t>
  </si>
  <si>
    <t xml:space="preserve">                                        ZAŁĄCZNIK nr 3</t>
  </si>
  <si>
    <t xml:space="preserve">                                        do Uchwały nr </t>
  </si>
  <si>
    <t>na realizacje zadania pn. "Zakup monitoringu wewnętrznego do autobusów - MZK"</t>
  </si>
  <si>
    <t>na realizacje zadania pn. "Aglomeracja konińska - współpraca JST kluczem do nowoczesnego rozwoju gospodarczego"</t>
  </si>
  <si>
    <t>Dotacja celowa na dofinansowanie zakupu oprogramowania wraz z licencją w ramach informatyzacji Wojewódzkiego Szpitala Zespolonego w Koninie</t>
  </si>
  <si>
    <t>Dotacja celowa na zakupy inwestycyjne dla Oddziału Leczenia Uzależnień Wojewódzkiego Szpitala Zespolonego w Koninie - zakup kombajnu wielofunkcyjnego i rzutnika multimedialnego</t>
  </si>
  <si>
    <t>Gospodarka komunalna  i ochrona środowiska</t>
  </si>
  <si>
    <t>dotacja dla KDK na wykonanie klimatyzacji pomieszczenia Strefy K oraz modernizacja central klimatyzacyjnych sali widowiskowej</t>
  </si>
  <si>
    <t>Miejska Biblioteka Publiczna</t>
  </si>
  <si>
    <t>koszty utrzymania dzieci  z miasta Konina umieszczonych w placówkach opiekuńczych na terenie kraju</t>
  </si>
  <si>
    <t>koszty utrzymania dzieci  z miasta Konina umieszczonych w rodzinach zastępczych na terenie kraju</t>
  </si>
  <si>
    <t>prowadzenie działalności Powiatowego Urzędu Pracy</t>
  </si>
  <si>
    <t>Załącznik nr 13</t>
  </si>
  <si>
    <t xml:space="preserve">PROJEKT PLANU PRZYCHODÓW  I  WYDATKÓW SAMORZĄDOWEGO ZAKŁADU BUDŻETOWEGO </t>
  </si>
  <si>
    <t>NA 2014 ROK</t>
  </si>
  <si>
    <t>Projekt planu przychodów na 2014 rok</t>
  </si>
  <si>
    <t xml:space="preserve">       porozumienia międzygminne</t>
  </si>
  <si>
    <t>Kluby dziecięce</t>
  </si>
  <si>
    <t>Pozostałe odsetki</t>
  </si>
  <si>
    <t>Obrona narodowa</t>
  </si>
  <si>
    <t>Pozostałe wydatki obronne</t>
  </si>
  <si>
    <t>zarządzanie kryzysowe</t>
  </si>
  <si>
    <t>Rehabilitacja zawodowa i społeczna osób niepełnosprawnych</t>
  </si>
  <si>
    <t xml:space="preserve">Składki na ubezpieczenia zdrowotne </t>
  </si>
  <si>
    <t>Dotacja podmiotowa z budżetu dla jednostek niezaliczanych do sektora finansów publicznych</t>
  </si>
  <si>
    <t>Zarządzanie kryzysowe</t>
  </si>
  <si>
    <t>Izby wytrzeźwień</t>
  </si>
  <si>
    <t>Podatek od nieruchomości</t>
  </si>
  <si>
    <t>Zasiłki i pomoc w naturze oraz składki na ubezpieczenia emerytalne i rentowe</t>
  </si>
  <si>
    <t>Ośrodki pomocy społecznej</t>
  </si>
  <si>
    <t>Edukacyjna opieka wychowawcza</t>
  </si>
  <si>
    <t>Komendy powiatowe Państwowej Straży Pożarnej</t>
  </si>
  <si>
    <t xml:space="preserve">w tym: </t>
  </si>
  <si>
    <t>TREŚĆ</t>
  </si>
  <si>
    <t>PRZYCHODY</t>
  </si>
  <si>
    <t>kwota dotacji z budżetu miasta</t>
  </si>
  <si>
    <t>zakres dotacji</t>
  </si>
  <si>
    <t>WYDATKI</t>
  </si>
  <si>
    <t>wpłata do budżetu</t>
  </si>
  <si>
    <t>rozdział</t>
  </si>
  <si>
    <t xml:space="preserve">  w tym:</t>
  </si>
  <si>
    <t>1.</t>
  </si>
  <si>
    <t>Miejski Zakład Komunikacji</t>
  </si>
  <si>
    <t>a) dotacja przedmiotowa</t>
  </si>
  <si>
    <t>dotacja przedmiotowa do kosztów utrzymania zbiorowej komunikacji miejskiej</t>
  </si>
  <si>
    <t xml:space="preserve">       w tym:</t>
  </si>
  <si>
    <t>Gospodarka mieszkaniowa</t>
  </si>
  <si>
    <t>Licea ogólnokształcące</t>
  </si>
  <si>
    <t>Szkoły zawodowe</t>
  </si>
  <si>
    <t>Opłaty na rzecz budżetów jednostek samorządu terytorialnego</t>
  </si>
  <si>
    <t>Szkolenia pracowników niebędących członkami korpusu służby cywilnej</t>
  </si>
  <si>
    <t>Wpłaty jednostek samorządu terytorialnego do budżetu państwa</t>
  </si>
  <si>
    <t>rezerwa  ogólna</t>
  </si>
  <si>
    <t>Dotacja podmiotowa z budżetu dla niepublicznej  jednostki systemu oświaty</t>
  </si>
  <si>
    <t>Pomoc społeczna</t>
  </si>
  <si>
    <t>Zakup usług obejmujących tłumaczenia</t>
  </si>
  <si>
    <t>Urzędy gmin (miast i miast na prawach powiatu)</t>
  </si>
  <si>
    <t>Urzędy naczelnych organów władzy państwowej, kontroli i ochrony prawa oraz sądownictwa</t>
  </si>
  <si>
    <t xml:space="preserve">Urzędy naczelnych organów władzy państwowej, kontroli i ochrony prawa </t>
  </si>
  <si>
    <t>Kary i odszkodowania wypłacane na rzecz osób prawnych i innych jednostek organizacyjnych</t>
  </si>
  <si>
    <t>Wydatki  inwestycyjne jednostek budżetowych</t>
  </si>
  <si>
    <t xml:space="preserve">Gospodarka gruntami i nieruchomościami   </t>
  </si>
  <si>
    <t xml:space="preserve">Zakup usług pozostałych </t>
  </si>
  <si>
    <t>Różne opłaty i składki</t>
  </si>
  <si>
    <t>Dotacje celowe z budżetu na finansowanie lub dofinansowanie kosztów realizacji inwestycji i zakupów inwestycyjnych innych jednostek sektora finansów publicznych</t>
  </si>
  <si>
    <t>Domy i ośrodki kultury, świetlice i kluby</t>
  </si>
  <si>
    <t>O10</t>
  </si>
  <si>
    <t>Rolnictwo i łowiectwo</t>
  </si>
  <si>
    <t>O1095</t>
  </si>
  <si>
    <t xml:space="preserve">§ </t>
  </si>
  <si>
    <t>NAZWA</t>
  </si>
  <si>
    <t>ogółem</t>
  </si>
  <si>
    <t>zadania z zakresu administracji rządowej</t>
  </si>
  <si>
    <t>% wzrostu</t>
  </si>
  <si>
    <t>Projekt planu dochodów  na  2014 roku</t>
  </si>
  <si>
    <t>2012/2014</t>
  </si>
  <si>
    <t>2013/2014</t>
  </si>
  <si>
    <t>Pozostałe zadania w zakresie polityki społecznej</t>
  </si>
  <si>
    <t>Biblioteki</t>
  </si>
  <si>
    <t xml:space="preserve">       Zadania gminy</t>
  </si>
  <si>
    <t>O1030</t>
  </si>
  <si>
    <t>Izby rolnicze</t>
  </si>
  <si>
    <t xml:space="preserve">Wpłaty gmin na rzecz izb rolniczych w wysokości 2% uzyskanych wpływów z podatku rolnego  </t>
  </si>
  <si>
    <t xml:space="preserve">Zakup materiałów i wyposażenia </t>
  </si>
  <si>
    <t>Zakup usług pozostałych</t>
  </si>
  <si>
    <t xml:space="preserve">Transport i łączność  </t>
  </si>
  <si>
    <t xml:space="preserve">Drogi publiczne gminne </t>
  </si>
  <si>
    <t>Zakup materiałów i wyposażenia</t>
  </si>
  <si>
    <t>Zakup usług remontowych</t>
  </si>
  <si>
    <t xml:space="preserve">Kary i odszkodowania wypłacane na rzecz osób fizycznych </t>
  </si>
  <si>
    <t>6410</t>
  </si>
  <si>
    <t>Wpłaty jednostek na państwowy fundusz celowy na finansowanie lub dofinansowanie zadań inwestycyjnych</t>
  </si>
  <si>
    <t>Zwalczanie narkomanii</t>
  </si>
  <si>
    <t xml:space="preserve">Oczyszczanie miast i wsi  </t>
  </si>
  <si>
    <t xml:space="preserve">Schroniska dla zwierząt  </t>
  </si>
  <si>
    <t>Wpływy i wydatki związane z gromadzeniem środków  z opłat i kar za korzystanie ze środowiska</t>
  </si>
  <si>
    <t xml:space="preserve">Wydatki  inwestycyjne jednostek budżetowych </t>
  </si>
  <si>
    <t>Straż gminna (miejska)</t>
  </si>
  <si>
    <t>Dotacje celowe przekazane  dla powiatu na zadania bieżące realizowane na podstawie porozumień (umów) między jednostkami samorządu terytorialnego</t>
  </si>
  <si>
    <t>Internaty i bursy szkolne</t>
  </si>
  <si>
    <t>Szkolne schroniska młodzieżowe</t>
  </si>
  <si>
    <t>Zadania gminy</t>
  </si>
  <si>
    <t>Urzędy wojewódzkie</t>
  </si>
  <si>
    <t>O690</t>
  </si>
  <si>
    <t>Wpływy z różnych opłat</t>
  </si>
  <si>
    <t>Ośrodki wsparcia</t>
  </si>
  <si>
    <t>O830</t>
  </si>
  <si>
    <t>Wpływy z usług</t>
  </si>
  <si>
    <t>O470</t>
  </si>
  <si>
    <t>O750</t>
  </si>
  <si>
    <t>Podatek dochodowy od osób fizycznych</t>
  </si>
  <si>
    <t>OO20</t>
  </si>
  <si>
    <t xml:space="preserve">Podatek dochodowy od osób prawnych </t>
  </si>
  <si>
    <t>Część oświatowa subwencji ogólnej dla jednostek samorządu terytorialnego</t>
  </si>
  <si>
    <t>Subwencje ogólne z budżetu państwa</t>
  </si>
  <si>
    <t>Część równoważąca subwencji ogólnej dla gmin</t>
  </si>
  <si>
    <t>Przedszkola</t>
  </si>
  <si>
    <t>Szpitale ogólne</t>
  </si>
  <si>
    <t>Zwrot dotacji oraz płatności, w tym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</si>
  <si>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art.184 ustawy, pobranych nienależnie lub w nadmiernej wysokości</t>
  </si>
  <si>
    <t xml:space="preserve">Wydatki na zakup i objęcie akcji, wniesienie wkładów do spółek prawa handlowego oraz  na uzupełnienie funduszy statutowych banków państwowych i innych instytucji finansowych   </t>
  </si>
  <si>
    <t>Środki na dofinansowanie własnych zadań bieżących gmin ( związków gmin), powiatów (związków powiatów), samorządów województw pozyskane z innych źródeł</t>
  </si>
  <si>
    <t>Kwalifikacja wojskowa</t>
  </si>
  <si>
    <t>Opłata na rzecz budżetu państwa</t>
  </si>
  <si>
    <t xml:space="preserve">Zakup usług pozostałych  </t>
  </si>
  <si>
    <t xml:space="preserve">Cmentarze  </t>
  </si>
  <si>
    <t xml:space="preserve">Urzędy wojewódzkie  </t>
  </si>
  <si>
    <t>Wynagrodzenia osobowe pracowników</t>
  </si>
  <si>
    <t>Dodatkowe wynagrodzenie roczne</t>
  </si>
  <si>
    <t>Składki na ubezpieczenie zdrowotne</t>
  </si>
  <si>
    <t>Szkoły podstawowe specjalne</t>
  </si>
  <si>
    <t>Gimnazja specjalne</t>
  </si>
  <si>
    <t>Zespoły  obsługi ekonomiczno-administracyjnej szkół</t>
  </si>
  <si>
    <t>Wpłaty jednostek na państwowy fundusz celowy</t>
  </si>
  <si>
    <t>Dotacja celowa z budżetu na finansowanie lub dofinansowanie zadań zleconych do realizacji stowarzyszeniom</t>
  </si>
  <si>
    <t xml:space="preserve">Przeciwdziałanie alkoholizmowi  </t>
  </si>
  <si>
    <t>Świadczenia społeczne</t>
  </si>
  <si>
    <t>Dodatki mieszkaniowe</t>
  </si>
  <si>
    <t>Usługi opiekuńcze i specjalistyczne usługi opiekuńcze</t>
  </si>
  <si>
    <t>0370</t>
  </si>
  <si>
    <t>Opłata od posiadania psów</t>
  </si>
  <si>
    <t>Wpływy i wydatki związane z gromadzeniem środków z opłat produktowych</t>
  </si>
  <si>
    <t>0400</t>
  </si>
  <si>
    <t>Wpływy z opłaty produktowej</t>
  </si>
  <si>
    <t>0870</t>
  </si>
  <si>
    <t xml:space="preserve">Żłobki  </t>
  </si>
  <si>
    <t>Wydatki inwestycyjne jednostek budżetowych</t>
  </si>
  <si>
    <t xml:space="preserve">do Uchwały nr     </t>
  </si>
  <si>
    <t>Limit  wydatków majątkowych   na  programy finansowane  z udziałem</t>
  </si>
  <si>
    <t>środków o których mowa w art. 5 ust. 1 pkt 2 i 3  ustawy</t>
  </si>
  <si>
    <t>Środki z EFRR i EFS</t>
  </si>
  <si>
    <t>Europejski Fundusz Rozwoju Regionalnego - Program Operacyjny Innowacyjna Gospodarka</t>
  </si>
  <si>
    <t>Miasto Konin -Urząd Miejski w Koninie</t>
  </si>
  <si>
    <t>cel - Rozwój polskiej gospodarki w oparciu o innowacyjne przedsiębiorstwa</t>
  </si>
  <si>
    <t xml:space="preserve">z dnia            2013 roku       </t>
  </si>
  <si>
    <t>o finansach publicznych na 2014 rok</t>
  </si>
  <si>
    <t xml:space="preserve">                     2014 rok</t>
  </si>
  <si>
    <t xml:space="preserve">Zwiększenie atrakcyjności Konina i subregionu konińskiego w ramach projektu pt.: "Uzbrojenie terenów inwestycyjnych w obrębie Konin-Międzylesie " </t>
  </si>
  <si>
    <t>Koszty postępowania sądowego i prokuratorskiego</t>
  </si>
  <si>
    <t>RAZEM zadania gminy</t>
  </si>
  <si>
    <t xml:space="preserve">Drogi publiczne w miastach na prawach powiatu </t>
  </si>
  <si>
    <t xml:space="preserve">Turystyka   </t>
  </si>
  <si>
    <t xml:space="preserve">Gospodarka mieszkaniowa  </t>
  </si>
  <si>
    <t xml:space="preserve">Działalność usługowa </t>
  </si>
  <si>
    <t xml:space="preserve">Prace geodezyjne i kartograficzne (nieinwestycyjne)   </t>
  </si>
  <si>
    <t xml:space="preserve">Opracowania geodezyjne i kartograficzne  </t>
  </si>
  <si>
    <t xml:space="preserve">Starostwa powiatowe  </t>
  </si>
  <si>
    <t xml:space="preserve">Komendy powiatowe Policji  </t>
  </si>
  <si>
    <t>Razem zadania gminy</t>
  </si>
  <si>
    <t>Razem zadania powiatu</t>
  </si>
  <si>
    <t>Przeprawa przez rzekę Wartę - nowy przebieg drogi krajowej Nr 25 - kredyt</t>
  </si>
  <si>
    <t xml:space="preserve">Zasiłki stałe </t>
  </si>
  <si>
    <t>Składki na ubezpieczenia społeczne</t>
  </si>
  <si>
    <t>Składki na Fundusz Pracy</t>
  </si>
  <si>
    <t>Odpisy na zakładowy fundusz świadczeń socjalnych</t>
  </si>
  <si>
    <t xml:space="preserve">Rady gmin (miast i miast na prawach powiatu)  </t>
  </si>
  <si>
    <t>Podróże służbowe krajowe</t>
  </si>
  <si>
    <t>Podróże służbowe zagraniczne</t>
  </si>
  <si>
    <t xml:space="preserve">Wydatki osobowe niezaliczone do wynagrodzeń  </t>
  </si>
  <si>
    <t>Wynagrodzenia bezosobowe</t>
  </si>
  <si>
    <t xml:space="preserve">Zakup materiałów i wyposażenia  </t>
  </si>
  <si>
    <t xml:space="preserve">Zakup energii </t>
  </si>
  <si>
    <t>Zakup usług dostępu do sieci Internet</t>
  </si>
  <si>
    <t xml:space="preserve">Podróże służbowe krajowe   </t>
  </si>
  <si>
    <t xml:space="preserve">Podróże służbowe zagraniczne  </t>
  </si>
  <si>
    <t>Promocja jednostek samorządu terytorialnego</t>
  </si>
  <si>
    <t xml:space="preserve">Ochotnicze straże pożarne </t>
  </si>
  <si>
    <t>Zakup energii</t>
  </si>
  <si>
    <t xml:space="preserve">Obrona cywilna </t>
  </si>
  <si>
    <t xml:space="preserve">Pozostała działalność </t>
  </si>
  <si>
    <t>Wspieranie rodziny</t>
  </si>
  <si>
    <t>Koszty postępowania  sądowego i prokuratorskiego</t>
  </si>
  <si>
    <t>Wydatki na zakupy inwestycyjne jednostek budżetowych</t>
  </si>
  <si>
    <t xml:space="preserve">Zakup usług remontowych </t>
  </si>
  <si>
    <t xml:space="preserve">Różne opłaty i składki </t>
  </si>
  <si>
    <t xml:space="preserve">Plany zagospodarowania przestrzennego    </t>
  </si>
  <si>
    <t>Różne wydatki na rzecz osób fizycznych</t>
  </si>
  <si>
    <t>Opracowania geodezyjne i  kartograficzne</t>
  </si>
  <si>
    <t>Prace geodezyjne i kartograficzne (nieinwestycyjne)</t>
  </si>
  <si>
    <t>Opracowania geodezyjne i kartograficzne</t>
  </si>
  <si>
    <t>Nadzór budowlany</t>
  </si>
  <si>
    <t>Starostwa powiatowe</t>
  </si>
  <si>
    <t>Dotacje celowe otrzymane z budżetu państwa na zadania bieżące realizowane przez powiat na podstawie porozumień z organami administracji rządowej</t>
  </si>
  <si>
    <t>O420</t>
  </si>
  <si>
    <t>Wpływy z opłaty komunikacyjnej</t>
  </si>
  <si>
    <t>Udziały powiatów w podatkach stanowiących dochód budżetu państwa</t>
  </si>
  <si>
    <t>Podatek dochodowy od osób prawnych</t>
  </si>
  <si>
    <t>Placówki opiekuńczo-wychowawcze</t>
  </si>
  <si>
    <t>Domy pomocy społecznej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</si>
  <si>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</si>
  <si>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</si>
  <si>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Zespoły do spraw orzekania o  niepełnosprawności</t>
  </si>
  <si>
    <t>Państwowy Fundusz Rehabilitacji Osób Niepełnosprawnych</t>
  </si>
  <si>
    <t>Kultura i ochrona  dziedzictwa narodowego</t>
  </si>
  <si>
    <t>RAZEM  zadania powiatu</t>
  </si>
  <si>
    <t>OGÓŁEM BUDŻET MIASTA KONINA</t>
  </si>
  <si>
    <t>Obsługa długu publicznego</t>
  </si>
  <si>
    <t>Obsługa papierów wartościowych, kredytów i pożyczek jednostek samorządu terytorialnego</t>
  </si>
  <si>
    <t>Świadczenia rodzinne, świadczenie z funduszu alimentacyjnego oraz składki na ubezpieczenia emerytalne i rentowe z ubezpieczenia społecznego</t>
  </si>
  <si>
    <t xml:space="preserve">PROJEKT PLANU  DOCHODÓW  BUDŻETU  MIASTA  KONINA   </t>
  </si>
  <si>
    <t xml:space="preserve">                                  NA 2013 ROK</t>
  </si>
  <si>
    <t>Nagrody o charakterze szczególnym niezaliczone do wynagrodzeń</t>
  </si>
  <si>
    <t>Zarządzanie energią w budynkach użyteczności publicznej w Koninie - pożyczka</t>
  </si>
  <si>
    <t>Dotacja podmiotowa z budżetu dla publicznej jednostki systemu oświaty prowadzonej przez osobę prawną inną niż jednostka samorządu terytorialnego lub przez osobę fizyczną</t>
  </si>
  <si>
    <t>Stołówki szkolne i  przedszkolne</t>
  </si>
  <si>
    <t>Usługi opiekuńcze i  specjalistyczne usługi opiekuńcze</t>
  </si>
  <si>
    <t>O960</t>
  </si>
  <si>
    <t>Otrzymane spadki, zapisy i darowizny w postaci pieniężnej</t>
  </si>
  <si>
    <t>Żłobki</t>
  </si>
  <si>
    <t>Ośrodki informacji turystycznej</t>
  </si>
  <si>
    <t>Instytucje kultury fizycznej</t>
  </si>
  <si>
    <t>RAZEM  zadania gminy</t>
  </si>
  <si>
    <t>Dotacje celowe otrzymane z budżetu państwa na zadania bieżące z zakresu administracji rządowej oraz inne zadania zlecone  ustawami realizowane przez powiat</t>
  </si>
  <si>
    <t xml:space="preserve">ZAŁĄCZNIK nr  4 </t>
  </si>
  <si>
    <t>ZAŁĄCZNIK nr 5</t>
  </si>
  <si>
    <t>Załącznik nr 6</t>
  </si>
  <si>
    <t xml:space="preserve">z dnia         </t>
  </si>
  <si>
    <t>PROJEKT PLANU DOTACJI I WYDATKÓW ZADAŃ REALIZOWANYCH NA PODSTAWIE POROZUMIEŃ</t>
  </si>
  <si>
    <t xml:space="preserve">MIĘDZY JEDNOSTKAMI SAMORZĄDU TERYTORIALNEGO NA 2014 ROK-  ZADANIA WŁASNE </t>
  </si>
  <si>
    <t>Przewidywane wykonanie planu dotacji w 2013 roku</t>
  </si>
  <si>
    <t>Projekt planu dotacji na 2014 rok</t>
  </si>
  <si>
    <t>Przewidywane wykonanie planu wydatków w 2013 roku</t>
  </si>
  <si>
    <t>Dotacje celowe otrzymane z gminy na zadania bieżące realizowane na podstawie porozumień (umów) między jednostkami samorządu terytorialnego</t>
  </si>
  <si>
    <t>Zakupy usług pozostałych</t>
  </si>
  <si>
    <t>Dotacje celowe otrzymane z powiatu na zadania bieżące realizowane na podstawie porozumień, (umów)  między jednostkami samorządu terytorialnego</t>
  </si>
  <si>
    <t>Pozostał zadania w zakresie polityki społecznej</t>
  </si>
  <si>
    <t>Kultura i ochrona dziedzictwa narodowego</t>
  </si>
  <si>
    <t>ZAŁĄCZNIK nr 7</t>
  </si>
  <si>
    <t xml:space="preserve">do Uchwały nr  </t>
  </si>
  <si>
    <t xml:space="preserve">z dnia                      </t>
  </si>
  <si>
    <t xml:space="preserve">PROJEKT PLANU DOCHODÓW ZWIĄZANYCH Z REALIZACJĄ ZADAŃ Z ZAKRESU </t>
  </si>
  <si>
    <t xml:space="preserve">ADMINISTRACJI RZĄDOWEJ ORAZ INNYCH ZADAŃ ZLECONYCH USTAWAMI, </t>
  </si>
  <si>
    <t xml:space="preserve"> w złotych</t>
  </si>
  <si>
    <t>Plan dochodów na 2014 rok</t>
  </si>
  <si>
    <t>Planowana kwota dochodów zadań z zakresu administracji rządowej, która podlega przekazaniu do budżetu państwa na 2014 rok</t>
  </si>
  <si>
    <t>Planowana kwota dochodów zadań z zakresu administracji rządowej, która stanowi dochód jednostki samorządu terytorialnego na 2014 rok</t>
  </si>
  <si>
    <t>O980</t>
  </si>
  <si>
    <t>Wpływy z tytułu zwrotów wypłaconych świadczeń z funduszu alimentacyjnego</t>
  </si>
  <si>
    <t>Wpływy z opłat za trwały zarząd, użytkowanie, służebności i użytkowanie wieczyste nieruchomości</t>
  </si>
  <si>
    <t>Załącznik nr 8</t>
  </si>
  <si>
    <t>PROJEKT PLANU DOTACJI I WYDATKÓW ZADAŃ REALIZOWANYCH NA PODSTAWIE</t>
  </si>
  <si>
    <t>POROZUMIEŃ Z ORGANAMI ADMINISTRACJI RZĄDOWEJ NA 2014 ROK</t>
  </si>
  <si>
    <t xml:space="preserve">Usuwanie wyrobów zawierających azbest z nieruchomości położonych na terenie miasta Konina </t>
  </si>
  <si>
    <t>Załącznik nr  10</t>
  </si>
  <si>
    <t>do Uchwały nr</t>
  </si>
  <si>
    <t>Rady Miasta Konina</t>
  </si>
  <si>
    <t xml:space="preserve">z dnia        </t>
  </si>
  <si>
    <t xml:space="preserve">            PROJEKT  PLANU  PRZYCHODÓW  I  ROZCHODÓW    </t>
  </si>
  <si>
    <t>Przychody</t>
  </si>
  <si>
    <t xml:space="preserve">    Rozchody</t>
  </si>
  <si>
    <t xml:space="preserve">               BUDŻETU   MIASTA  KONINA  NA 2014 ROK</t>
  </si>
  <si>
    <t xml:space="preserve">         Projekt  planu na 2014 rok</t>
  </si>
  <si>
    <t>2040</t>
  </si>
  <si>
    <t>2700</t>
  </si>
  <si>
    <t>Pozostałe podatki na rzecz budżetów jednostek samorządu terytorialnego</t>
  </si>
  <si>
    <t>Gospodarka odpadami</t>
  </si>
  <si>
    <t>Utrzymanie zieleni w miastach i gminach</t>
  </si>
  <si>
    <t>Rodziny zastępcze</t>
  </si>
  <si>
    <t>Powiatowe urzędy pracy</t>
  </si>
  <si>
    <t>Dotacje celowe otrzymane z gminy  na zadania bieżące realizowane na podstawie porozumień (umów) między jednostkami samorządu terytorialnego</t>
  </si>
  <si>
    <t>Grzywny, mandaty i inne kary pieniężne od osób fizycznych</t>
  </si>
  <si>
    <t>Wpływy z podatku dochodowego od osób fizycznych</t>
  </si>
  <si>
    <t>O350</t>
  </si>
  <si>
    <t>Podatek od działalności gospodarczej osób fizycznych, opłacany w  formie karty podatkowej</t>
  </si>
  <si>
    <t>Pomoc  społeczna</t>
  </si>
  <si>
    <t xml:space="preserve">Placówki opiekuńczo-wychowawcze </t>
  </si>
  <si>
    <t>Zespoły do spraw orzekania o niepełnosprawności</t>
  </si>
  <si>
    <t xml:space="preserve">Edukacyjna opieka  wychowawcza  </t>
  </si>
  <si>
    <t>Specjalne  ośrodki szkolno-wychowawcze</t>
  </si>
  <si>
    <t xml:space="preserve">Kultura i ochrona dziedzictwa narodowego  </t>
  </si>
  <si>
    <t>Dotacja podmiotowa z budżetu dla samorządowej instytucji kultury</t>
  </si>
  <si>
    <t>RAZEM zadania powiatu</t>
  </si>
  <si>
    <t>Licea  profilowane</t>
  </si>
  <si>
    <t>Szkoły zawodowe specjalne</t>
  </si>
  <si>
    <t>Centra kształcenia ustawicznego i praktycznego oraz ośrodki dokształcania zawodowego</t>
  </si>
  <si>
    <t>Inne formy kształcenia osobno niewymienione</t>
  </si>
  <si>
    <t>Opłaty za administrowanie i czynsze za budynki,lokale i pomieszczenia garażowe</t>
  </si>
  <si>
    <t xml:space="preserve">Domy pomocy społecznej  </t>
  </si>
  <si>
    <t xml:space="preserve">Zakup usług obejmujących wykonanie ekspertyz, analiz i opinii </t>
  </si>
  <si>
    <t xml:space="preserve">Wydatki  inwestycyjne jednostek budżetowych  </t>
  </si>
  <si>
    <t>Lp.</t>
  </si>
  <si>
    <t>Wyszczególnienie</t>
  </si>
  <si>
    <t>Zasiłki stałe</t>
  </si>
  <si>
    <r>
      <t xml:space="preserve"> § 952</t>
    </r>
    <r>
      <rPr>
        <sz val="9"/>
        <rFont val="Times New Roman"/>
        <family val="1"/>
      </rPr>
      <t xml:space="preserve">  - Plan przychodów z zaciągniętych pożyczek i kredytów na rynku krajowym</t>
    </r>
  </si>
  <si>
    <r>
      <t>§ 992 -</t>
    </r>
    <r>
      <rPr>
        <sz val="9"/>
        <rFont val="Times New Roman"/>
        <family val="1"/>
      </rPr>
      <t xml:space="preserve"> Plan Spłat otrzymanych krajowych pożyczek i kredytów</t>
    </r>
  </si>
  <si>
    <t>Uposażenia żołnierzy zawodowych i nadterminowych oraz funkcjonariuszy</t>
  </si>
  <si>
    <t>Pozostałe należności żołnierzy zawodowych i nadterminowych  oraz funkcjonariuszy</t>
  </si>
  <si>
    <t xml:space="preserve">Wynagrodzenia bezosobowe </t>
  </si>
  <si>
    <t>Dotacje celowe z budżetu jednostki samorządu terytorialnego, udzielone w trybie art.221 ustawy na finansowanie lub dofinansowanie zadań zleconych do realizacji organizacjom prowadzącym działalność pożytku publicznego</t>
  </si>
  <si>
    <t>Dotacje celowe z budżetu jednostki samorządu terytorialnego, udzielone w trybie art.221 ustawy, na finansowanie lub dofinansowanie zadań zleconych do realizacji organizacjom prowadzącym działalność pożytku publicznego</t>
  </si>
  <si>
    <t>Pomoc materialna dla uczniów</t>
  </si>
  <si>
    <t>Stypendia dla uczniów</t>
  </si>
  <si>
    <t>Podatek od towarów i usług (VAT)</t>
  </si>
  <si>
    <t xml:space="preserve">Instytucje kultury fizycznej  </t>
  </si>
  <si>
    <t>Wynagrodzenia osobowe członków korpusu służby cywilnej</t>
  </si>
  <si>
    <t>Wpływy z opłat za  zezwolenia na sprzedaż napojów alkoholowych</t>
  </si>
  <si>
    <t>Świadczenia rodzinne, świadczenie z funduszu alimentacyjnego  oraz składki na ubezpieczenia emerytalne i rentowe z ubezpieczenia społecznego</t>
  </si>
  <si>
    <t>Wpływy z podatku rolnego, podatku leśnego, podatku od czynności cywilnoprawnych,  podatków i opłat lokalnych od osób prawnych i innych jednostek organizacyjnych</t>
  </si>
  <si>
    <t>O310</t>
  </si>
  <si>
    <t>O320</t>
  </si>
  <si>
    <t>Podatek rolny</t>
  </si>
  <si>
    <t>O330</t>
  </si>
  <si>
    <t>Podatek leśny</t>
  </si>
  <si>
    <t>O340</t>
  </si>
  <si>
    <t>Podatek od środków transportowych</t>
  </si>
  <si>
    <t>O500</t>
  </si>
  <si>
    <t>Podatek od czynności cywilnoprawnych</t>
  </si>
  <si>
    <t>Rekompensaty utraconych dochodów w podatkach i opłatach lokalnych</t>
  </si>
  <si>
    <t>Dotacja celowa z budżetu na finansowanie lub dofinansowanie zadań zleconych do realizacji pozostałym jednostkom niezaliczanym do sektora finansów publicznych</t>
  </si>
  <si>
    <t xml:space="preserve">Oświetlenie ulic, placów i dróg  </t>
  </si>
  <si>
    <t xml:space="preserve">Pozostała działalność  </t>
  </si>
  <si>
    <t xml:space="preserve">Wpłaty gmin i powiatów na rzecz innych jednostek samorządu terytorialnego oraz związków  gmin lub związków powiatów na dofinansowanie zadań bieżących </t>
  </si>
  <si>
    <t xml:space="preserve">Kultura i ochrona dziedzictwa narodowego      </t>
  </si>
  <si>
    <t>Dotacje celowe otrzymane z budżetu państwa na inwestycyjne i zakupy inwestycyjne z zakresu administracji rządowej oraz inne zadania zlecone ustawami realizowane przez powiat</t>
  </si>
  <si>
    <t>Środki na inwestycje na drogach publicznych powiatowych i wojewódzkich oraz drogach powiatowych, wojewódzkich i krajowych w granicach miast na prawach powiatu</t>
  </si>
  <si>
    <t>Wpływy ze sprzedaży składników majątkowych</t>
  </si>
  <si>
    <t>Dotacje celowe z budżetu na finansowanie lub dofinansowanie kosztów realizacji inwestycji i zakupów inwestycyjnych jednostek niezaliczanych do sektora finansów publicznych</t>
  </si>
  <si>
    <t>Uposażenia i świadczenia pieniężne wypłacane przez okres roku żołnierzom i funkcjonariuszom zwolnionym ze służby</t>
  </si>
  <si>
    <t>Dotacja podmiotowa z budżetu dla  samorządowej instytucji kultury</t>
  </si>
  <si>
    <t>Ochrona  zabytków i opieka nad zabytkami</t>
  </si>
  <si>
    <t>2012-2014</t>
  </si>
  <si>
    <t>Wpływy z podatku rolnego, podatku leśnego, podatku od spadków i darowizn, podatku od czynności cywilnoprawnych  oraz podatków i opłat lokalnych  od osób fizycznych</t>
  </si>
  <si>
    <t>Przebudowa parkingu przy ul. Kard. S. Wyszyńskiego 19 i 21 w Koninie</t>
  </si>
  <si>
    <t>Budowa chodnika na ul. Działkowej w Koninie</t>
  </si>
  <si>
    <t>Opracowanie  dokumentacji projektowej ul. Laskówiecka w Koninie</t>
  </si>
  <si>
    <t>Wydatki osobowe niezaliczone do uposażeń wypłacane żołnierzom i funkcjonariuszom</t>
  </si>
  <si>
    <t>Obiekty sportowe</t>
  </si>
  <si>
    <t>Dodatkowe uposażenie roczne dla żołnierzy zawodowych oraz  nagrody roczne dla funkcjonariuszy</t>
  </si>
  <si>
    <t>Równoważniki pieniężne i ekwiwalenty dla żołnierzy i funkcjonariuszy</t>
  </si>
  <si>
    <t>Zadania powiatu</t>
  </si>
  <si>
    <t>Część równoważąca subwencji ogólnej dla powiatów</t>
  </si>
  <si>
    <t>Dokształcanie i doskonalenie nauczycieli</t>
  </si>
  <si>
    <t>Usuwanie skutków klęsk żywiołowych</t>
  </si>
  <si>
    <t>Inne formy pomocy dla uczniów</t>
  </si>
  <si>
    <t xml:space="preserve">                                  NA  2014 ROK</t>
  </si>
  <si>
    <t>Przewidywane wykonanie  wydatków na   2013 rok</t>
  </si>
  <si>
    <t>Projekt planu wydatków  na 2014 rok</t>
  </si>
  <si>
    <t>wzrostu</t>
  </si>
  <si>
    <t>Przewidywane wykonanie  dochodów  na 2013 rok</t>
  </si>
  <si>
    <t>Dotacja celowa z budżetu na finansowanie lub dofinansowanie zadań zleconych do realizacji pozostałym jednostkom nie zaliczanym do sektora finansów publicznych</t>
  </si>
  <si>
    <t>Jednostki specjalistycznego poradnictwa, mieszkania chronione i ośrodki interwencji kryzysowej</t>
  </si>
  <si>
    <t>Ośrodki dokumentacji geodezyjnej i kartograficznej</t>
  </si>
  <si>
    <t>Dotacje celowe otrzymane z budżetu państwa na realizację własnych zadań bieżących gmin (związków gmin)</t>
  </si>
  <si>
    <t xml:space="preserve">Dotacje celowe w ramach programów finansowanych z udziałem środków europejskich oraz środków o których mowa w  art. 5 ust. 1 pkt 3 oraz ust. 3 pkt 5 i 6 ustawy, lub płatności w ramach budżetu środków europejskich </t>
  </si>
  <si>
    <t>Wpływy z opłat za trwały zarząd, użytkowanie, służebność i użytkowanie wieczyste nieruchomości</t>
  </si>
  <si>
    <t>Zakup usług przez jednostki samorządu terytorialnego od innych jednostek samorządu terytorialnego</t>
  </si>
  <si>
    <t>Różne  opłaty i składki</t>
  </si>
  <si>
    <t>Powiatowe centra pomocy rodzinie</t>
  </si>
  <si>
    <t>Świetlice szkolne</t>
  </si>
  <si>
    <t>Nagrody i wydatki osobowe niezaliczone do wynagrodzeń</t>
  </si>
  <si>
    <t>Poradnie psychologiczno-pedagogiczne,  w tym   poradnie specjalistyczne</t>
  </si>
  <si>
    <t>Składki na ubezpieczenia zdrowotne opłacane za osoby pobierające niektóre świadczenia z pomocy społecznej, niektóre świadczenia rodzinne, oraz za osoby uczestniczące w zajęciach w centrum integracji społecznej</t>
  </si>
  <si>
    <t>Podatek od spadków i darowizn</t>
  </si>
  <si>
    <t>O430</t>
  </si>
  <si>
    <t>Wpływy z opłaty targowej</t>
  </si>
  <si>
    <t>Wpływy z innych opłat stanowiących dochody jednostek samorządu terytorialnego na podstawie ustaw</t>
  </si>
  <si>
    <t>O410</t>
  </si>
  <si>
    <t>Wpływy z opłaty skarbowej</t>
  </si>
  <si>
    <t>O480</t>
  </si>
  <si>
    <t>O490</t>
  </si>
  <si>
    <t>Wpływy z innych lokalnych opłat pobieranych przez jednostki samorządu terytorialnego na podstawie odrębnych ustaw</t>
  </si>
  <si>
    <t>Udziały gmin w podatkach stanowiących dochód budżetu państwa</t>
  </si>
  <si>
    <t>OO10</t>
  </si>
  <si>
    <t xml:space="preserve">Rezerwy </t>
  </si>
  <si>
    <t>w tym:</t>
  </si>
  <si>
    <t>rezerwa ogólna</t>
  </si>
  <si>
    <t>rezerwa celowa na zadania oświatowe</t>
  </si>
  <si>
    <t>Rezerwy na inwestycje i zakupy inwestycyjne</t>
  </si>
  <si>
    <t>Wydatki osobowe niezaliczone do wynagrodzeń</t>
  </si>
  <si>
    <t>Zasądzone renty</t>
  </si>
  <si>
    <t>Zakup usług zdrowotnych</t>
  </si>
  <si>
    <t xml:space="preserve">Przedszkola </t>
  </si>
  <si>
    <t>Dotacje celowe z budżetu na finanowanie lub dofinansowanie kosztów realizacji inwestycji i zakupów inwestycyjnych samorządowych zakładów budżetowych</t>
  </si>
  <si>
    <t>Dotacja podmiotowa z budżetu dla niepublicznej jednostki systemu oświaty</t>
  </si>
  <si>
    <t>Zakup leków, wyrobów medycznych i produktów  biobójczych</t>
  </si>
  <si>
    <t xml:space="preserve">Ośrodki wsparcia </t>
  </si>
  <si>
    <t>Opłaty za  administrowanie i czynsze za budynki, lokale i pomieszczenia garażowe</t>
  </si>
  <si>
    <t>Dotacje celowe otrzymane z budżetu państwa na realizację inwestycji i zakupów inwestycyjnych własnych gmin (związków gmin)</t>
  </si>
  <si>
    <t>Wspierania rodziny</t>
  </si>
  <si>
    <t>Uzupełnienie subwencji ogólnej dla jednostek samorządu terytorialnego</t>
  </si>
  <si>
    <t>6180</t>
  </si>
  <si>
    <t>TABELA nr 2</t>
  </si>
  <si>
    <t>%</t>
  </si>
  <si>
    <r>
      <t xml:space="preserve">Zakup usług pozostałych </t>
    </r>
    <r>
      <rPr>
        <b/>
        <sz val="8"/>
        <rFont val="Times New Roman"/>
        <family val="1"/>
      </rPr>
      <t xml:space="preserve"> </t>
    </r>
  </si>
  <si>
    <r>
      <t xml:space="preserve">Wydatki inwestycyjne jednostek budżetowych   </t>
    </r>
    <r>
      <rPr>
        <sz val="8"/>
        <color indexed="10"/>
        <rFont val="Times New Roman"/>
        <family val="1"/>
      </rPr>
      <t xml:space="preserve"> </t>
    </r>
  </si>
  <si>
    <r>
      <t>Zakup materiałów i wyposażenia</t>
    </r>
    <r>
      <rPr>
        <b/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</si>
</sst>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00000"/>
    <numFmt numFmtId="178" formatCode="#,##0.00000000"/>
    <numFmt numFmtId="179" formatCode="#,##0.0000000"/>
    <numFmt numFmtId="180" formatCode="0.000000000"/>
    <numFmt numFmtId="181" formatCode="#,##0.00_ ;[Red]\-#,##0.00\ "/>
    <numFmt numFmtId="182" formatCode="0.0000000000"/>
  </numFmts>
  <fonts count="1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i/>
      <sz val="9"/>
      <color indexed="12"/>
      <name val="Times New Roman"/>
      <family val="1"/>
    </font>
    <font>
      <sz val="9"/>
      <name val="Arial"/>
      <family val="0"/>
    </font>
    <font>
      <b/>
      <sz val="14"/>
      <color indexed="12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12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9"/>
      <color indexed="63"/>
      <name val="Times New Roman"/>
      <family val="1"/>
    </font>
    <font>
      <sz val="16"/>
      <name val="Times New Roman"/>
      <family val="1"/>
    </font>
    <font>
      <i/>
      <sz val="10"/>
      <name val="Times New Roman CE"/>
      <family val="0"/>
    </font>
    <font>
      <i/>
      <sz val="14"/>
      <name val="Times New Roman CE"/>
      <family val="0"/>
    </font>
    <font>
      <i/>
      <sz val="11"/>
      <name val="Times New Roman"/>
      <family val="1"/>
    </font>
    <font>
      <sz val="14"/>
      <name val="Arial CE"/>
      <family val="0"/>
    </font>
    <font>
      <i/>
      <sz val="16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12"/>
      <name val="Arial CE"/>
      <family val="0"/>
    </font>
    <font>
      <b/>
      <i/>
      <sz val="9"/>
      <name val="Times New Roman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i/>
      <sz val="16"/>
      <name val="Times New Roman CE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8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0"/>
    </font>
    <font>
      <sz val="9"/>
      <name val="Times New Roman CE"/>
      <family val="0"/>
    </font>
    <font>
      <b/>
      <sz val="12"/>
      <name val="Times New Roman CE"/>
      <family val="1"/>
    </font>
    <font>
      <b/>
      <sz val="11"/>
      <name val="Arial CE"/>
      <family val="2"/>
    </font>
    <font>
      <sz val="12"/>
      <name val="Arial"/>
      <family val="2"/>
    </font>
    <font>
      <sz val="14"/>
      <name val="Arial"/>
      <family val="2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1" applyNumberFormat="0" applyAlignment="0" applyProtection="0"/>
    <xf numFmtId="0" fontId="111" fillId="27" borderId="2" applyNumberFormat="0" applyAlignment="0" applyProtection="0"/>
    <xf numFmtId="0" fontId="11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3" fillId="0" borderId="3" applyNumberFormat="0" applyFill="0" applyAlignment="0" applyProtection="0"/>
    <xf numFmtId="0" fontId="114" fillId="29" borderId="4" applyNumberFormat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118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0" fillId="0" borderId="8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32" borderId="0" applyNumberFormat="0" applyBorder="0" applyAlignment="0" applyProtection="0"/>
  </cellStyleXfs>
  <cellXfs count="1271">
    <xf numFmtId="0" fontId="0" fillId="0" borderId="0" xfId="0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16" fillId="0" borderId="1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4" fontId="16" fillId="0" borderId="13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4" fontId="16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horizontal="left" vertical="center"/>
    </xf>
    <xf numFmtId="4" fontId="16" fillId="0" borderId="0" xfId="0" applyNumberFormat="1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" fontId="16" fillId="0" borderId="18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/>
    </xf>
    <xf numFmtId="4" fontId="16" fillId="0" borderId="0" xfId="0" applyNumberFormat="1" applyFont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/>
    </xf>
    <xf numFmtId="4" fontId="16" fillId="0" borderId="22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vertical="center"/>
    </xf>
    <xf numFmtId="4" fontId="16" fillId="0" borderId="24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16" fillId="0" borderId="0" xfId="54" applyFont="1">
      <alignment/>
      <protection/>
    </xf>
    <xf numFmtId="0" fontId="3" fillId="0" borderId="0" xfId="54" applyFont="1">
      <alignment/>
      <protection/>
    </xf>
    <xf numFmtId="0" fontId="20" fillId="0" borderId="0" xfId="54" applyFont="1">
      <alignment/>
      <protection/>
    </xf>
    <xf numFmtId="0" fontId="5" fillId="0" borderId="0" xfId="54" applyFont="1" applyAlignment="1">
      <alignment/>
      <protection/>
    </xf>
    <xf numFmtId="0" fontId="3" fillId="0" borderId="0" xfId="54" applyFont="1" applyAlignment="1">
      <alignment vertical="center"/>
      <protection/>
    </xf>
    <xf numFmtId="0" fontId="20" fillId="0" borderId="0" xfId="54" applyFont="1" applyAlignment="1">
      <alignment vertical="center"/>
      <protection/>
    </xf>
    <xf numFmtId="0" fontId="16" fillId="0" borderId="0" xfId="54" applyFont="1" applyAlignment="1">
      <alignment vertical="center"/>
      <protection/>
    </xf>
    <xf numFmtId="0" fontId="16" fillId="0" borderId="0" xfId="0" applyFont="1" applyAlignment="1">
      <alignment vertical="center"/>
    </xf>
    <xf numFmtId="0" fontId="12" fillId="0" borderId="11" xfId="54" applyFont="1" applyBorder="1" applyAlignment="1">
      <alignment horizontal="left" vertical="center" wrapText="1"/>
      <protection/>
    </xf>
    <xf numFmtId="4" fontId="13" fillId="0" borderId="0" xfId="54" applyNumberFormat="1" applyFont="1" applyBorder="1" applyAlignment="1">
      <alignment vertical="center" wrapText="1"/>
      <protection/>
    </xf>
    <xf numFmtId="4" fontId="13" fillId="0" borderId="0" xfId="54" applyNumberFormat="1" applyFont="1" applyAlignment="1">
      <alignment vertical="center"/>
      <protection/>
    </xf>
    <xf numFmtId="4" fontId="19" fillId="0" borderId="0" xfId="54" applyNumberFormat="1" applyFont="1" applyAlignment="1">
      <alignment vertical="center"/>
      <protection/>
    </xf>
    <xf numFmtId="4" fontId="16" fillId="0" borderId="0" xfId="54" applyNumberFormat="1" applyFont="1">
      <alignment/>
      <protection/>
    </xf>
    <xf numFmtId="0" fontId="13" fillId="0" borderId="11" xfId="54" applyFont="1" applyFill="1" applyBorder="1" applyAlignment="1">
      <alignment vertical="center" wrapText="1"/>
      <protection/>
    </xf>
    <xf numFmtId="4" fontId="13" fillId="0" borderId="0" xfId="54" applyNumberFormat="1" applyFont="1" applyFill="1" applyBorder="1" applyAlignment="1">
      <alignment vertical="center"/>
      <protection/>
    </xf>
    <xf numFmtId="4" fontId="10" fillId="0" borderId="0" xfId="54" applyNumberFormat="1" applyFont="1">
      <alignment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/>
    </xf>
    <xf numFmtId="0" fontId="26" fillId="0" borderId="10" xfId="54" applyFont="1" applyBorder="1" applyAlignment="1">
      <alignment vertical="center" wrapText="1"/>
      <protection/>
    </xf>
    <xf numFmtId="4" fontId="31" fillId="0" borderId="0" xfId="54" applyNumberFormat="1" applyFont="1" applyBorder="1" applyAlignment="1">
      <alignment vertical="center"/>
      <protection/>
    </xf>
    <xf numFmtId="4" fontId="10" fillId="0" borderId="0" xfId="54" applyNumberFormat="1" applyFont="1" applyAlignment="1">
      <alignment vertical="center"/>
      <protection/>
    </xf>
    <xf numFmtId="0" fontId="20" fillId="0" borderId="10" xfId="54" applyFont="1" applyBorder="1" applyAlignment="1">
      <alignment vertical="center" wrapText="1"/>
      <protection/>
    </xf>
    <xf numFmtId="3" fontId="10" fillId="0" borderId="0" xfId="54" applyNumberFormat="1" applyFont="1" applyAlignment="1">
      <alignment vertical="center"/>
      <protection/>
    </xf>
    <xf numFmtId="4" fontId="3" fillId="0" borderId="0" xfId="54" applyNumberFormat="1" applyFont="1" applyAlignment="1">
      <alignment vertical="center"/>
      <protection/>
    </xf>
    <xf numFmtId="4" fontId="16" fillId="0" borderId="0" xfId="54" applyNumberFormat="1" applyFont="1" applyAlignment="1">
      <alignment vertical="center"/>
      <protection/>
    </xf>
    <xf numFmtId="0" fontId="20" fillId="0" borderId="10" xfId="54" applyFont="1" applyFill="1" applyBorder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4" fontId="31" fillId="0" borderId="0" xfId="54" applyNumberFormat="1" applyFont="1" applyAlignment="1">
      <alignment vertical="center"/>
      <protection/>
    </xf>
    <xf numFmtId="4" fontId="8" fillId="0" borderId="22" xfId="0" applyNumberFormat="1" applyFont="1" applyFill="1" applyBorder="1" applyAlignment="1">
      <alignment vertical="center"/>
    </xf>
    <xf numFmtId="4" fontId="28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4" fontId="20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4" fontId="27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/>
    </xf>
    <xf numFmtId="4" fontId="32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4" fontId="38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8" fillId="0" borderId="0" xfId="0" applyFont="1" applyAlignment="1">
      <alignment/>
    </xf>
    <xf numFmtId="4" fontId="20" fillId="0" borderId="0" xfId="54" applyNumberFormat="1" applyFont="1" applyAlignment="1">
      <alignment vertical="center"/>
      <protection/>
    </xf>
    <xf numFmtId="4" fontId="8" fillId="0" borderId="0" xfId="0" applyNumberFormat="1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vertical="center" wrapText="1"/>
    </xf>
    <xf numFmtId="0" fontId="9" fillId="0" borderId="13" xfId="54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/>
    </xf>
    <xf numFmtId="4" fontId="19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" fontId="8" fillId="0" borderId="18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17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vertical="center"/>
    </xf>
    <xf numFmtId="4" fontId="30" fillId="0" borderId="11" xfId="0" applyNumberFormat="1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vertical="center"/>
    </xf>
    <xf numFmtId="4" fontId="12" fillId="0" borderId="18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0" fontId="16" fillId="0" borderId="18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18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2" xfId="52" applyFont="1" applyFill="1" applyBorder="1" applyAlignment="1">
      <alignment vertical="center" wrapText="1"/>
      <protection/>
    </xf>
    <xf numFmtId="2" fontId="10" fillId="0" borderId="10" xfId="52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 horizontal="right"/>
    </xf>
    <xf numFmtId="0" fontId="24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16" fillId="0" borderId="12" xfId="0" applyFont="1" applyFill="1" applyBorder="1" applyAlignment="1">
      <alignment vertical="center" wrapText="1"/>
    </xf>
    <xf numFmtId="4" fontId="20" fillId="0" borderId="18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1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54" fillId="0" borderId="1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1" fillId="0" borderId="22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6" fillId="0" borderId="20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4" fontId="25" fillId="0" borderId="2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49" fillId="0" borderId="2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11" fillId="0" borderId="20" xfId="0" applyNumberFormat="1" applyFont="1" applyFill="1" applyBorder="1" applyAlignment="1">
      <alignment vertical="center" wrapText="1"/>
    </xf>
    <xf numFmtId="4" fontId="10" fillId="0" borderId="23" xfId="0" applyNumberFormat="1" applyFont="1" applyFill="1" applyBorder="1" applyAlignment="1">
      <alignment vertical="center"/>
    </xf>
    <xf numFmtId="4" fontId="49" fillId="0" borderId="23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/>
    </xf>
    <xf numFmtId="0" fontId="5" fillId="0" borderId="18" xfId="54" applyFont="1" applyBorder="1" applyAlignment="1">
      <alignment vertical="center"/>
      <protection/>
    </xf>
    <xf numFmtId="0" fontId="13" fillId="0" borderId="12" xfId="54" applyFont="1" applyBorder="1" applyAlignment="1">
      <alignment vertical="center"/>
      <protection/>
    </xf>
    <xf numFmtId="0" fontId="16" fillId="0" borderId="16" xfId="54" applyFont="1" applyBorder="1" applyAlignment="1">
      <alignment vertical="center"/>
      <protection/>
    </xf>
    <xf numFmtId="0" fontId="22" fillId="0" borderId="15" xfId="54" applyFont="1" applyBorder="1" applyAlignment="1">
      <alignment vertical="center" wrapText="1"/>
      <protection/>
    </xf>
    <xf numFmtId="0" fontId="9" fillId="0" borderId="10" xfId="54" applyFont="1" applyBorder="1" applyAlignment="1">
      <alignment horizontal="center" vertical="center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vertical="center" wrapText="1"/>
      <protection/>
    </xf>
    <xf numFmtId="0" fontId="54" fillId="0" borderId="0" xfId="54" applyFont="1" applyBorder="1" applyAlignment="1">
      <alignment vertical="center" wrapText="1"/>
      <protection/>
    </xf>
    <xf numFmtId="4" fontId="13" fillId="0" borderId="10" xfId="54" applyNumberFormat="1" applyFont="1" applyFill="1" applyBorder="1" applyAlignment="1">
      <alignment vertical="center"/>
      <protection/>
    </xf>
    <xf numFmtId="4" fontId="29" fillId="0" borderId="0" xfId="54" applyNumberFormat="1" applyFont="1" applyFill="1" applyBorder="1" applyAlignment="1">
      <alignment vertical="center"/>
      <protection/>
    </xf>
    <xf numFmtId="4" fontId="9" fillId="0" borderId="10" xfId="54" applyNumberFormat="1" applyFont="1" applyBorder="1" applyAlignment="1">
      <alignment vertical="center"/>
      <protection/>
    </xf>
    <xf numFmtId="4" fontId="59" fillId="0" borderId="0" xfId="54" applyNumberFormat="1" applyFont="1" applyBorder="1" applyAlignment="1">
      <alignment vertical="center"/>
      <protection/>
    </xf>
    <xf numFmtId="4" fontId="19" fillId="0" borderId="10" xfId="54" applyNumberFormat="1" applyFont="1" applyFill="1" applyBorder="1" applyAlignment="1">
      <alignment vertical="center"/>
      <protection/>
    </xf>
    <xf numFmtId="2" fontId="20" fillId="0" borderId="0" xfId="54" applyNumberFormat="1" applyFont="1" applyBorder="1" applyAlignment="1">
      <alignment vertical="center"/>
      <protection/>
    </xf>
    <xf numFmtId="4" fontId="19" fillId="0" borderId="11" xfId="54" applyNumberFormat="1" applyFont="1" applyBorder="1" applyAlignment="1">
      <alignment vertical="center"/>
      <protection/>
    </xf>
    <xf numFmtId="3" fontId="23" fillId="0" borderId="0" xfId="54" applyNumberFormat="1" applyFont="1" applyAlignment="1">
      <alignment vertical="center"/>
      <protection/>
    </xf>
    <xf numFmtId="4" fontId="19" fillId="0" borderId="11" xfId="54" applyNumberFormat="1" applyFont="1" applyFill="1" applyBorder="1" applyAlignment="1">
      <alignment vertical="center"/>
      <protection/>
    </xf>
    <xf numFmtId="4" fontId="17" fillId="0" borderId="18" xfId="0" applyNumberFormat="1" applyFont="1" applyFill="1" applyBorder="1" applyAlignment="1">
      <alignment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0" fontId="16" fillId="0" borderId="0" xfId="56" applyFont="1" applyFill="1">
      <alignment/>
      <protection/>
    </xf>
    <xf numFmtId="0" fontId="16" fillId="0" borderId="0" xfId="56" applyFont="1" applyFill="1" applyBorder="1">
      <alignment/>
      <protection/>
    </xf>
    <xf numFmtId="0" fontId="10" fillId="0" borderId="0" xfId="56" applyFont="1" applyFill="1">
      <alignment/>
      <protection/>
    </xf>
    <xf numFmtId="4" fontId="19" fillId="0" borderId="0" xfId="56" applyNumberFormat="1" applyFont="1" applyFill="1">
      <alignment/>
      <protection/>
    </xf>
    <xf numFmtId="0" fontId="54" fillId="0" borderId="0" xfId="53" applyFont="1" applyFill="1">
      <alignment/>
      <protection/>
    </xf>
    <xf numFmtId="0" fontId="16" fillId="0" borderId="0" xfId="56" applyFont="1" applyFill="1" applyAlignment="1">
      <alignment horizontal="center"/>
      <protection/>
    </xf>
    <xf numFmtId="0" fontId="16" fillId="0" borderId="0" xfId="53" applyFont="1" applyFill="1">
      <alignment/>
      <protection/>
    </xf>
    <xf numFmtId="0" fontId="16" fillId="0" borderId="0" xfId="53" applyFont="1" applyFill="1" applyAlignment="1">
      <alignment horizontal="center"/>
      <protection/>
    </xf>
    <xf numFmtId="0" fontId="16" fillId="0" borderId="0" xfId="53" applyFont="1" applyFill="1" applyBorder="1">
      <alignment/>
      <protection/>
    </xf>
    <xf numFmtId="0" fontId="10" fillId="0" borderId="0" xfId="53" applyFont="1" applyFill="1">
      <alignment/>
      <protection/>
    </xf>
    <xf numFmtId="4" fontId="19" fillId="0" borderId="0" xfId="53" applyNumberFormat="1" applyFont="1" applyFill="1">
      <alignment/>
      <protection/>
    </xf>
    <xf numFmtId="0" fontId="19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0" fontId="8" fillId="0" borderId="0" xfId="53" applyFont="1" applyFill="1" applyAlignment="1">
      <alignment horizontal="center"/>
      <protection/>
    </xf>
    <xf numFmtId="0" fontId="16" fillId="0" borderId="18" xfId="56" applyFont="1" applyFill="1" applyBorder="1" applyAlignment="1">
      <alignment horizontal="center"/>
      <protection/>
    </xf>
    <xf numFmtId="0" fontId="16" fillId="0" borderId="18" xfId="53" applyFont="1" applyFill="1" applyBorder="1">
      <alignment/>
      <protection/>
    </xf>
    <xf numFmtId="0" fontId="16" fillId="0" borderId="18" xfId="53" applyFont="1" applyFill="1" applyBorder="1" applyAlignment="1">
      <alignment horizontal="center"/>
      <protection/>
    </xf>
    <xf numFmtId="0" fontId="20" fillId="0" borderId="12" xfId="53" applyFont="1" applyFill="1" applyBorder="1" applyAlignment="1">
      <alignment vertical="center"/>
      <protection/>
    </xf>
    <xf numFmtId="0" fontId="20" fillId="0" borderId="16" xfId="53" applyFont="1" applyFill="1" applyBorder="1" applyAlignment="1">
      <alignment vertical="center"/>
      <protection/>
    </xf>
    <xf numFmtId="0" fontId="16" fillId="0" borderId="11" xfId="56" applyFont="1" applyFill="1" applyBorder="1" applyAlignment="1">
      <alignment horizontal="center" vertical="top"/>
      <protection/>
    </xf>
    <xf numFmtId="0" fontId="20" fillId="0" borderId="11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top" wrapText="1"/>
      <protection/>
    </xf>
    <xf numFmtId="4" fontId="35" fillId="0" borderId="0" xfId="53" applyNumberFormat="1" applyFont="1" applyFill="1" applyBorder="1" applyAlignment="1">
      <alignment horizontal="right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center" vertical="center" wrapText="1"/>
      <protection/>
    </xf>
    <xf numFmtId="4" fontId="19" fillId="0" borderId="0" xfId="56" applyNumberFormat="1" applyFont="1" applyFill="1" applyAlignment="1">
      <alignment vertical="top"/>
      <protection/>
    </xf>
    <xf numFmtId="4" fontId="19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8" fillId="0" borderId="12" xfId="56" applyFont="1" applyFill="1" applyBorder="1" applyAlignment="1">
      <alignment horizontal="left" vertical="top"/>
      <protection/>
    </xf>
    <xf numFmtId="0" fontId="16" fillId="0" borderId="13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4" fontId="28" fillId="0" borderId="10" xfId="53" applyNumberFormat="1" applyFont="1" applyFill="1" applyBorder="1" applyAlignment="1">
      <alignment horizontal="right" vertical="center" wrapText="1"/>
      <protection/>
    </xf>
    <xf numFmtId="4" fontId="28" fillId="0" borderId="10" xfId="53" applyNumberFormat="1" applyFont="1" applyFill="1" applyBorder="1" applyAlignment="1">
      <alignment horizontal="center" vertical="center" wrapText="1"/>
      <protection/>
    </xf>
    <xf numFmtId="4" fontId="10" fillId="0" borderId="0" xfId="53" applyNumberFormat="1" applyFont="1" applyFill="1" applyAlignment="1">
      <alignment horizontal="center" vertical="center" wrapText="1"/>
      <protection/>
    </xf>
    <xf numFmtId="0" fontId="17" fillId="0" borderId="15" xfId="56" applyFont="1" applyFill="1" applyBorder="1" applyAlignment="1">
      <alignment horizontal="center" vertical="center"/>
      <protection/>
    </xf>
    <xf numFmtId="0" fontId="17" fillId="0" borderId="16" xfId="53" applyFont="1" applyFill="1" applyBorder="1" applyAlignment="1">
      <alignment vertical="center" wrapText="1"/>
      <protection/>
    </xf>
    <xf numFmtId="0" fontId="3" fillId="0" borderId="18" xfId="0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/>
    </xf>
    <xf numFmtId="4" fontId="20" fillId="0" borderId="18" xfId="0" applyNumberFormat="1" applyFont="1" applyFill="1" applyBorder="1" applyAlignment="1">
      <alignment/>
    </xf>
    <xf numFmtId="0" fontId="16" fillId="0" borderId="15" xfId="56" applyFont="1" applyFill="1" applyBorder="1" applyAlignment="1">
      <alignment horizontal="center" vertical="center"/>
      <protection/>
    </xf>
    <xf numFmtId="4" fontId="16" fillId="0" borderId="24" xfId="56" applyNumberFormat="1" applyFont="1" applyFill="1" applyBorder="1" applyAlignment="1">
      <alignment vertical="center"/>
      <protection/>
    </xf>
    <xf numFmtId="4" fontId="20" fillId="0" borderId="21" xfId="0" applyNumberFormat="1" applyFont="1" applyFill="1" applyBorder="1" applyAlignment="1">
      <alignment vertical="center"/>
    </xf>
    <xf numFmtId="4" fontId="16" fillId="0" borderId="20" xfId="56" applyNumberFormat="1" applyFont="1" applyFill="1" applyBorder="1" applyAlignment="1">
      <alignment vertical="center"/>
      <protection/>
    </xf>
    <xf numFmtId="0" fontId="17" fillId="0" borderId="18" xfId="56" applyFont="1" applyFill="1" applyBorder="1" applyAlignment="1">
      <alignment horizontal="center" vertical="center"/>
      <protection/>
    </xf>
    <xf numFmtId="4" fontId="16" fillId="0" borderId="18" xfId="56" applyNumberFormat="1" applyFont="1" applyFill="1" applyBorder="1" applyAlignment="1">
      <alignment vertical="center"/>
      <protection/>
    </xf>
    <xf numFmtId="0" fontId="16" fillId="0" borderId="11" xfId="56" applyFont="1" applyFill="1" applyBorder="1" applyAlignment="1">
      <alignment horizontal="center" vertical="center"/>
      <protection/>
    </xf>
    <xf numFmtId="0" fontId="16" fillId="0" borderId="13" xfId="56" applyFont="1" applyFill="1" applyBorder="1" applyAlignment="1">
      <alignment vertical="center" wrapText="1"/>
      <protection/>
    </xf>
    <xf numFmtId="4" fontId="16" fillId="0" borderId="11" xfId="56" applyNumberFormat="1" applyFont="1" applyFill="1" applyBorder="1" applyAlignment="1">
      <alignment vertical="center"/>
      <protection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" fontId="20" fillId="0" borderId="18" xfId="53" applyNumberFormat="1" applyFont="1" applyFill="1" applyBorder="1" applyAlignment="1">
      <alignment horizontal="center" vertical="center" wrapText="1"/>
      <protection/>
    </xf>
    <xf numFmtId="4" fontId="20" fillId="0" borderId="0" xfId="53" applyNumberFormat="1" applyFont="1" applyFill="1" applyBorder="1" applyAlignment="1">
      <alignment horizontal="center" vertical="center" wrapText="1"/>
      <protection/>
    </xf>
    <xf numFmtId="4" fontId="16" fillId="0" borderId="0" xfId="53" applyNumberFormat="1" applyFont="1" applyFill="1" applyAlignment="1">
      <alignment horizontal="center" vertical="center" wrapText="1"/>
      <protection/>
    </xf>
    <xf numFmtId="0" fontId="16" fillId="0" borderId="0" xfId="56" applyFont="1" applyFill="1" applyAlignment="1">
      <alignment vertical="center"/>
      <protection/>
    </xf>
    <xf numFmtId="4" fontId="20" fillId="0" borderId="15" xfId="53" applyNumberFormat="1" applyFont="1" applyFill="1" applyBorder="1" applyAlignment="1">
      <alignment horizontal="center" vertical="center" wrapText="1"/>
      <protection/>
    </xf>
    <xf numFmtId="4" fontId="20" fillId="0" borderId="11" xfId="53" applyNumberFormat="1" applyFont="1" applyFill="1" applyBorder="1" applyAlignment="1">
      <alignment horizontal="center" vertical="center" wrapText="1"/>
      <protection/>
    </xf>
    <xf numFmtId="4" fontId="16" fillId="0" borderId="10" xfId="56" applyNumberFormat="1" applyFont="1" applyFill="1" applyBorder="1" applyAlignment="1">
      <alignment vertical="center" wrapText="1"/>
      <protection/>
    </xf>
    <xf numFmtId="4" fontId="20" fillId="0" borderId="24" xfId="53" applyNumberFormat="1" applyFont="1" applyFill="1" applyBorder="1" applyAlignment="1">
      <alignment horizontal="center" vertical="center" wrapText="1"/>
      <protection/>
    </xf>
    <xf numFmtId="0" fontId="16" fillId="0" borderId="13" xfId="0" applyFont="1" applyFill="1" applyBorder="1" applyAlignment="1">
      <alignment vertical="center" wrapText="1"/>
    </xf>
    <xf numFmtId="4" fontId="20" fillId="0" borderId="20" xfId="53" applyNumberFormat="1" applyFont="1" applyFill="1" applyBorder="1" applyAlignment="1">
      <alignment horizontal="center" vertical="center" wrapText="1"/>
      <protection/>
    </xf>
    <xf numFmtId="4" fontId="16" fillId="0" borderId="23" xfId="56" applyNumberFormat="1" applyFont="1" applyFill="1" applyBorder="1" applyAlignment="1">
      <alignment vertical="center"/>
      <protection/>
    </xf>
    <xf numFmtId="4" fontId="16" fillId="0" borderId="0" xfId="56" applyNumberFormat="1" applyFont="1" applyFill="1" applyBorder="1" applyAlignment="1">
      <alignment vertical="center" wrapText="1"/>
      <protection/>
    </xf>
    <xf numFmtId="4" fontId="20" fillId="0" borderId="23" xfId="53" applyNumberFormat="1" applyFont="1" applyFill="1" applyBorder="1" applyAlignment="1">
      <alignment horizontal="center" vertical="center" wrapText="1"/>
      <protection/>
    </xf>
    <xf numFmtId="0" fontId="16" fillId="0" borderId="20" xfId="53" applyFont="1" applyFill="1" applyBorder="1" applyAlignment="1">
      <alignment vertical="center" wrapText="1"/>
      <protection/>
    </xf>
    <xf numFmtId="0" fontId="3" fillId="0" borderId="18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4" fontId="20" fillId="0" borderId="15" xfId="53" applyNumberFormat="1" applyFont="1" applyFill="1" applyBorder="1" applyAlignment="1">
      <alignment horizontal="right" vertical="center" wrapText="1"/>
      <protection/>
    </xf>
    <xf numFmtId="0" fontId="16" fillId="0" borderId="17" xfId="0" applyFont="1" applyFill="1" applyBorder="1" applyAlignment="1">
      <alignment vertical="center" wrapText="1"/>
    </xf>
    <xf numFmtId="4" fontId="16" fillId="0" borderId="24" xfId="56" applyNumberFormat="1" applyFont="1" applyFill="1" applyBorder="1" applyAlignment="1">
      <alignment vertical="center" wrapText="1"/>
      <protection/>
    </xf>
    <xf numFmtId="4" fontId="20" fillId="0" borderId="19" xfId="53" applyNumberFormat="1" applyFont="1" applyFill="1" applyBorder="1" applyAlignment="1">
      <alignment horizontal="center" vertical="center" wrapText="1"/>
      <protection/>
    </xf>
    <xf numFmtId="4" fontId="20" fillId="0" borderId="21" xfId="53" applyNumberFormat="1" applyFont="1" applyFill="1" applyBorder="1" applyAlignment="1">
      <alignment horizontal="center" vertical="center" wrapText="1"/>
      <protection/>
    </xf>
    <xf numFmtId="4" fontId="20" fillId="0" borderId="14" xfId="53" applyNumberFormat="1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vertical="center" wrapText="1"/>
      <protection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4" fontId="13" fillId="0" borderId="0" xfId="0" applyNumberFormat="1" applyFont="1" applyFill="1" applyBorder="1" applyAlignment="1">
      <alignment vertical="center"/>
    </xf>
    <xf numFmtId="0" fontId="16" fillId="0" borderId="24" xfId="53" applyFont="1" applyFill="1" applyBorder="1" applyAlignment="1">
      <alignment vertical="center" wrapText="1"/>
      <protection/>
    </xf>
    <xf numFmtId="4" fontId="20" fillId="0" borderId="11" xfId="53" applyNumberFormat="1" applyFont="1" applyFill="1" applyBorder="1" applyAlignment="1">
      <alignment horizontal="right" vertical="center" wrapText="1"/>
      <protection/>
    </xf>
    <xf numFmtId="0" fontId="17" fillId="0" borderId="0" xfId="0" applyFont="1" applyFill="1" applyAlignment="1">
      <alignment vertical="center" wrapText="1"/>
    </xf>
    <xf numFmtId="0" fontId="9" fillId="0" borderId="23" xfId="56" applyFont="1" applyFill="1" applyBorder="1" applyAlignment="1">
      <alignment horizontal="left" vertical="center"/>
      <protection/>
    </xf>
    <xf numFmtId="0" fontId="10" fillId="0" borderId="13" xfId="0" applyFont="1" applyFill="1" applyBorder="1" applyAlignment="1">
      <alignment vertical="center" wrapText="1"/>
    </xf>
    <xf numFmtId="4" fontId="16" fillId="0" borderId="22" xfId="56" applyNumberFormat="1" applyFont="1" applyFill="1" applyBorder="1" applyAlignment="1">
      <alignment vertical="center"/>
      <protection/>
    </xf>
    <xf numFmtId="0" fontId="3" fillId="0" borderId="22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0" fontId="16" fillId="0" borderId="16" xfId="56" applyFont="1" applyFill="1" applyBorder="1" applyAlignment="1">
      <alignment vertical="center" wrapText="1"/>
      <protection/>
    </xf>
    <xf numFmtId="4" fontId="20" fillId="0" borderId="11" xfId="56" applyNumberFormat="1" applyFont="1" applyFill="1" applyBorder="1" applyAlignment="1">
      <alignment vertical="center" wrapText="1"/>
      <protection/>
    </xf>
    <xf numFmtId="2" fontId="16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60" fillId="0" borderId="18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vertical="center"/>
    </xf>
    <xf numFmtId="4" fontId="60" fillId="0" borderId="15" xfId="0" applyNumberFormat="1" applyFont="1" applyFill="1" applyBorder="1" applyAlignment="1">
      <alignment vertical="center"/>
    </xf>
    <xf numFmtId="0" fontId="16" fillId="0" borderId="10" xfId="56" applyFont="1" applyFill="1" applyBorder="1" applyAlignment="1">
      <alignment vertical="center" wrapText="1"/>
      <protection/>
    </xf>
    <xf numFmtId="0" fontId="16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vertical="center"/>
    </xf>
    <xf numFmtId="0" fontId="16" fillId="0" borderId="18" xfId="53" applyFont="1" applyFill="1" applyBorder="1" applyAlignment="1">
      <alignment vertical="center" wrapText="1"/>
      <protection/>
    </xf>
    <xf numFmtId="4" fontId="20" fillId="0" borderId="15" xfId="56" applyNumberFormat="1" applyFont="1" applyFill="1" applyBorder="1" applyAlignment="1">
      <alignment vertical="center" wrapText="1"/>
      <protection/>
    </xf>
    <xf numFmtId="4" fontId="10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0" fontId="28" fillId="0" borderId="18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36" fillId="0" borderId="0" xfId="0" applyFont="1" applyFill="1" applyAlignment="1">
      <alignment/>
    </xf>
    <xf numFmtId="4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15" fillId="0" borderId="0" xfId="56" applyFill="1" applyAlignment="1">
      <alignment horizontal="center"/>
      <protection/>
    </xf>
    <xf numFmtId="0" fontId="58" fillId="0" borderId="0" xfId="53" applyFont="1" applyFill="1">
      <alignment/>
      <protection/>
    </xf>
    <xf numFmtId="0" fontId="58" fillId="0" borderId="0" xfId="53" applyFont="1" applyFill="1" applyAlignment="1">
      <alignment horizontal="center"/>
      <protection/>
    </xf>
    <xf numFmtId="0" fontId="15" fillId="0" borderId="0" xfId="53" applyFill="1">
      <alignment/>
      <protection/>
    </xf>
    <xf numFmtId="0" fontId="52" fillId="0" borderId="0" xfId="53" applyFont="1" applyFill="1">
      <alignment/>
      <protection/>
    </xf>
    <xf numFmtId="0" fontId="15" fillId="0" borderId="0" xfId="56" applyFill="1">
      <alignment/>
      <protection/>
    </xf>
    <xf numFmtId="0" fontId="54" fillId="0" borderId="0" xfId="52" applyFont="1" applyFill="1" applyAlignment="1">
      <alignment/>
      <protection/>
    </xf>
    <xf numFmtId="0" fontId="16" fillId="0" borderId="0" xfId="52" applyFont="1" applyFill="1">
      <alignment/>
      <protection/>
    </xf>
    <xf numFmtId="0" fontId="16" fillId="0" borderId="0" xfId="52" applyFont="1" applyFill="1" applyAlignment="1">
      <alignment horizontal="center"/>
      <protection/>
    </xf>
    <xf numFmtId="0" fontId="54" fillId="0" borderId="0" xfId="52" applyFont="1" applyFill="1">
      <alignment/>
      <protection/>
    </xf>
    <xf numFmtId="0" fontId="15" fillId="0" borderId="0" xfId="53" applyFill="1" applyAlignment="1">
      <alignment horizontal="center"/>
      <protection/>
    </xf>
    <xf numFmtId="0" fontId="61" fillId="0" borderId="0" xfId="53" applyFont="1" applyFill="1" applyAlignment="1">
      <alignment horizontal="right"/>
      <protection/>
    </xf>
    <xf numFmtId="0" fontId="15" fillId="0" borderId="18" xfId="56" applyFill="1" applyBorder="1" applyAlignment="1">
      <alignment horizontal="center"/>
      <protection/>
    </xf>
    <xf numFmtId="0" fontId="15" fillId="0" borderId="18" xfId="53" applyFill="1" applyBorder="1">
      <alignment/>
      <protection/>
    </xf>
    <xf numFmtId="0" fontId="15" fillId="0" borderId="18" xfId="53" applyFill="1" applyBorder="1" applyAlignment="1">
      <alignment horizontal="center"/>
      <protection/>
    </xf>
    <xf numFmtId="0" fontId="15" fillId="0" borderId="12" xfId="53" applyFont="1" applyFill="1" applyBorder="1" applyAlignment="1">
      <alignment vertical="center"/>
      <protection/>
    </xf>
    <xf numFmtId="0" fontId="15" fillId="0" borderId="16" xfId="53" applyFill="1" applyBorder="1" applyAlignment="1">
      <alignment vertical="center"/>
      <protection/>
    </xf>
    <xf numFmtId="0" fontId="15" fillId="0" borderId="0" xfId="53" applyFill="1" applyBorder="1">
      <alignment/>
      <protection/>
    </xf>
    <xf numFmtId="0" fontId="57" fillId="0" borderId="0" xfId="0" applyFont="1" applyFill="1" applyAlignment="1">
      <alignment/>
    </xf>
    <xf numFmtId="0" fontId="15" fillId="0" borderId="11" xfId="56" applyFill="1" applyBorder="1" applyAlignment="1">
      <alignment horizontal="center" vertical="top"/>
      <protection/>
    </xf>
    <xf numFmtId="0" fontId="15" fillId="0" borderId="11" xfId="53" applyFill="1" applyBorder="1" applyAlignment="1">
      <alignment horizontal="center" vertical="top" wrapText="1"/>
      <protection/>
    </xf>
    <xf numFmtId="0" fontId="51" fillId="0" borderId="11" xfId="53" applyFont="1" applyFill="1" applyBorder="1" applyAlignment="1">
      <alignment horizontal="center" vertical="top" wrapText="1"/>
      <protection/>
    </xf>
    <xf numFmtId="0" fontId="51" fillId="0" borderId="10" xfId="53" applyFont="1" applyFill="1" applyBorder="1" applyAlignment="1">
      <alignment horizontal="center" vertical="top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15" fillId="0" borderId="0" xfId="53" applyFill="1" applyBorder="1" applyAlignment="1">
      <alignment horizontal="center" vertical="top" wrapText="1"/>
      <protection/>
    </xf>
    <xf numFmtId="0" fontId="15" fillId="0" borderId="0" xfId="53" applyFont="1" applyFill="1" applyAlignment="1">
      <alignment horizontal="center" vertical="top" wrapText="1"/>
      <protection/>
    </xf>
    <xf numFmtId="0" fontId="52" fillId="0" borderId="0" xfId="53" applyFont="1" applyFill="1" applyAlignment="1">
      <alignment horizontal="center" vertical="top" wrapText="1"/>
      <protection/>
    </xf>
    <xf numFmtId="0" fontId="15" fillId="0" borderId="0" xfId="56" applyFill="1" applyAlignment="1">
      <alignment vertical="top"/>
      <protection/>
    </xf>
    <xf numFmtId="0" fontId="0" fillId="0" borderId="0" xfId="0" applyFill="1" applyAlignment="1">
      <alignment vertical="top"/>
    </xf>
    <xf numFmtId="0" fontId="18" fillId="0" borderId="12" xfId="56" applyFont="1" applyFill="1" applyBorder="1" applyAlignment="1">
      <alignment horizontal="left" vertical="center"/>
      <protection/>
    </xf>
    <xf numFmtId="0" fontId="16" fillId="0" borderId="13" xfId="53" applyFont="1" applyFill="1" applyBorder="1" applyAlignment="1">
      <alignment horizontal="center" vertical="center" wrapText="1"/>
      <protection/>
    </xf>
    <xf numFmtId="0" fontId="51" fillId="0" borderId="13" xfId="53" applyFont="1" applyFill="1" applyBorder="1" applyAlignment="1">
      <alignment horizontal="center" vertical="center" wrapText="1"/>
      <protection/>
    </xf>
    <xf numFmtId="4" fontId="62" fillId="0" borderId="10" xfId="53" applyNumberFormat="1" applyFont="1" applyFill="1" applyBorder="1" applyAlignment="1">
      <alignment horizontal="center" vertical="center" wrapText="1"/>
      <protection/>
    </xf>
    <xf numFmtId="0" fontId="15" fillId="0" borderId="0" xfId="53" applyFill="1" applyBorder="1" applyAlignment="1">
      <alignment horizontal="center" vertical="center" wrapText="1"/>
      <protection/>
    </xf>
    <xf numFmtId="4" fontId="63" fillId="0" borderId="0" xfId="53" applyNumberFormat="1" applyFont="1" applyFill="1" applyAlignment="1">
      <alignment horizontal="center" vertical="center" wrapText="1"/>
      <protection/>
    </xf>
    <xf numFmtId="0" fontId="52" fillId="0" borderId="0" xfId="53" applyFont="1" applyFill="1" applyAlignment="1">
      <alignment horizontal="center" vertical="center" wrapText="1"/>
      <protection/>
    </xf>
    <xf numFmtId="0" fontId="57" fillId="0" borderId="0" xfId="0" applyFont="1" applyFill="1" applyAlignment="1">
      <alignment horizontal="left" vertical="center"/>
    </xf>
    <xf numFmtId="0" fontId="17" fillId="0" borderId="10" xfId="56" applyFont="1" applyFill="1" applyBorder="1" applyAlignment="1">
      <alignment vertical="center" wrapText="1"/>
      <protection/>
    </xf>
    <xf numFmtId="0" fontId="52" fillId="0" borderId="15" xfId="53" applyFont="1" applyFill="1" applyBorder="1" applyAlignment="1">
      <alignment vertical="center" wrapText="1"/>
      <protection/>
    </xf>
    <xf numFmtId="4" fontId="64" fillId="0" borderId="19" xfId="53" applyNumberFormat="1" applyFont="1" applyFill="1" applyBorder="1" applyAlignment="1">
      <alignment horizontal="center" vertical="center" wrapText="1"/>
      <protection/>
    </xf>
    <xf numFmtId="4" fontId="64" fillId="0" borderId="18" xfId="53" applyNumberFormat="1" applyFont="1" applyFill="1" applyBorder="1" applyAlignment="1">
      <alignment horizontal="center" vertical="center" wrapText="1"/>
      <protection/>
    </xf>
    <xf numFmtId="4" fontId="64" fillId="0" borderId="0" xfId="53" applyNumberFormat="1" applyFont="1" applyFill="1" applyBorder="1" applyAlignment="1">
      <alignment horizontal="center" vertical="center" wrapText="1"/>
      <protection/>
    </xf>
    <xf numFmtId="4" fontId="15" fillId="0" borderId="0" xfId="53" applyNumberFormat="1" applyFill="1" applyAlignment="1">
      <alignment horizontal="center" vertical="center" wrapText="1"/>
      <protection/>
    </xf>
    <xf numFmtId="4" fontId="52" fillId="0" borderId="0" xfId="53" applyNumberFormat="1" applyFont="1" applyFill="1" applyAlignment="1">
      <alignment horizontal="center" vertical="center" wrapText="1"/>
      <protection/>
    </xf>
    <xf numFmtId="4" fontId="15" fillId="0" borderId="0" xfId="53" applyNumberFormat="1" applyFont="1" applyFill="1" applyAlignment="1">
      <alignment horizontal="center" vertical="center" wrapText="1"/>
      <protection/>
    </xf>
    <xf numFmtId="0" fontId="15" fillId="0" borderId="0" xfId="56" applyFill="1" applyAlignment="1">
      <alignment vertical="center"/>
      <protection/>
    </xf>
    <xf numFmtId="0" fontId="16" fillId="0" borderId="18" xfId="56" applyFont="1" applyFill="1" applyBorder="1" applyAlignment="1">
      <alignment horizontal="center" vertical="center"/>
      <protection/>
    </xf>
    <xf numFmtId="4" fontId="64" fillId="0" borderId="15" xfId="53" applyNumberFormat="1" applyFont="1" applyFill="1" applyBorder="1" applyAlignment="1">
      <alignment horizontal="center" vertical="center" wrapText="1"/>
      <protection/>
    </xf>
    <xf numFmtId="0" fontId="17" fillId="0" borderId="10" xfId="56" applyFont="1" applyFill="1" applyBorder="1" applyAlignment="1">
      <alignment horizontal="center" vertical="center"/>
      <protection/>
    </xf>
    <xf numFmtId="4" fontId="64" fillId="0" borderId="15" xfId="53" applyNumberFormat="1" applyFont="1" applyFill="1" applyBorder="1" applyAlignment="1">
      <alignment horizontal="right" vertical="center" wrapText="1"/>
      <protection/>
    </xf>
    <xf numFmtId="4" fontId="64" fillId="0" borderId="21" xfId="53" applyNumberFormat="1" applyFont="1" applyFill="1" applyBorder="1" applyAlignment="1">
      <alignment horizontal="right" vertical="center" wrapText="1"/>
      <protection/>
    </xf>
    <xf numFmtId="0" fontId="53" fillId="0" borderId="0" xfId="0" applyFont="1" applyFill="1" applyBorder="1" applyAlignment="1">
      <alignment vertical="center" wrapText="1"/>
    </xf>
    <xf numFmtId="4" fontId="19" fillId="0" borderId="0" xfId="54" applyNumberFormat="1" applyFont="1" applyFill="1" applyBorder="1" applyAlignment="1">
      <alignment vertical="center"/>
      <protection/>
    </xf>
    <xf numFmtId="4" fontId="11" fillId="0" borderId="1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49" fontId="65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center" wrapText="1"/>
    </xf>
    <xf numFmtId="4" fontId="11" fillId="0" borderId="16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 wrapText="1"/>
    </xf>
    <xf numFmtId="49" fontId="13" fillId="0" borderId="20" xfId="0" applyNumberFormat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5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 vertical="center"/>
    </xf>
    <xf numFmtId="0" fontId="16" fillId="33" borderId="0" xfId="0" applyFont="1" applyFill="1" applyAlignment="1">
      <alignment/>
    </xf>
    <xf numFmtId="4" fontId="19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/>
    </xf>
    <xf numFmtId="4" fontId="3" fillId="33" borderId="0" xfId="0" applyNumberFormat="1" applyFont="1" applyFill="1" applyAlignment="1">
      <alignment horizontal="right" vertical="center"/>
    </xf>
    <xf numFmtId="4" fontId="19" fillId="33" borderId="0" xfId="0" applyNumberFormat="1" applyFont="1" applyFill="1" applyAlignment="1">
      <alignment horizontal="left" vertical="center"/>
    </xf>
    <xf numFmtId="0" fontId="33" fillId="33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5" fillId="33" borderId="0" xfId="0" applyFont="1" applyFill="1" applyAlignment="1">
      <alignment wrapText="1"/>
    </xf>
    <xf numFmtId="4" fontId="11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4" fontId="17" fillId="33" borderId="11" xfId="0" applyNumberFormat="1" applyFont="1" applyFill="1" applyBorder="1" applyAlignment="1">
      <alignment horizontal="right" vertical="center" wrapText="1"/>
    </xf>
    <xf numFmtId="2" fontId="17" fillId="33" borderId="20" xfId="0" applyNumberFormat="1" applyFont="1" applyFill="1" applyBorder="1" applyAlignment="1">
      <alignment horizontal="right" vertical="center" wrapText="1"/>
    </xf>
    <xf numFmtId="2" fontId="17" fillId="33" borderId="10" xfId="0" applyNumberFormat="1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" fontId="16" fillId="33" borderId="20" xfId="0" applyNumberFormat="1" applyFont="1" applyFill="1" applyBorder="1" applyAlignment="1">
      <alignment horizontal="right" vertical="center" wrapText="1"/>
    </xf>
    <xf numFmtId="2" fontId="16" fillId="33" borderId="20" xfId="0" applyNumberFormat="1" applyFont="1" applyFill="1" applyBorder="1" applyAlignment="1">
      <alignment horizontal="right" vertical="center" wrapText="1"/>
    </xf>
    <xf numFmtId="4" fontId="16" fillId="33" borderId="15" xfId="0" applyNumberFormat="1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/>
    </xf>
    <xf numFmtId="2" fontId="16" fillId="33" borderId="10" xfId="0" applyNumberFormat="1" applyFont="1" applyFill="1" applyBorder="1" applyAlignment="1">
      <alignment/>
    </xf>
    <xf numFmtId="0" fontId="24" fillId="33" borderId="20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4" fontId="16" fillId="33" borderId="18" xfId="0" applyNumberFormat="1" applyFont="1" applyFill="1" applyBorder="1" applyAlignment="1">
      <alignment horizontal="right" vertical="center" wrapText="1"/>
    </xf>
    <xf numFmtId="4" fontId="16" fillId="33" borderId="18" xfId="0" applyNumberFormat="1" applyFont="1" applyFill="1" applyBorder="1" applyAlignment="1">
      <alignment vertical="center"/>
    </xf>
    <xf numFmtId="2" fontId="16" fillId="33" borderId="18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17" fillId="33" borderId="10" xfId="0" applyNumberFormat="1" applyFont="1" applyFill="1" applyBorder="1" applyAlignment="1">
      <alignment horizontal="right" vertical="center" wrapText="1"/>
    </xf>
    <xf numFmtId="4" fontId="17" fillId="33" borderId="18" xfId="0" applyNumberFormat="1" applyFont="1" applyFill="1" applyBorder="1" applyAlignment="1">
      <alignment horizontal="right" vertical="center" wrapText="1"/>
    </xf>
    <xf numFmtId="4" fontId="17" fillId="33" borderId="19" xfId="0" applyNumberFormat="1" applyFont="1" applyFill="1" applyBorder="1" applyAlignment="1">
      <alignment horizontal="right" vertical="center" wrapText="1"/>
    </xf>
    <xf numFmtId="2" fontId="17" fillId="33" borderId="10" xfId="0" applyNumberFormat="1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4" fontId="16" fillId="33" borderId="19" xfId="0" applyNumberFormat="1" applyFont="1" applyFill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vertical="center"/>
    </xf>
    <xf numFmtId="0" fontId="24" fillId="33" borderId="18" xfId="0" applyFont="1" applyFill="1" applyBorder="1" applyAlignment="1">
      <alignment horizontal="center" vertical="center"/>
    </xf>
    <xf numFmtId="4" fontId="16" fillId="33" borderId="21" xfId="0" applyNumberFormat="1" applyFont="1" applyFill="1" applyBorder="1" applyAlignment="1">
      <alignment horizontal="right" vertical="center" wrapText="1"/>
    </xf>
    <xf numFmtId="4" fontId="16" fillId="33" borderId="19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left" vertical="center" wrapText="1"/>
    </xf>
    <xf numFmtId="4" fontId="17" fillId="33" borderId="16" xfId="0" applyNumberFormat="1" applyFont="1" applyFill="1" applyBorder="1" applyAlignment="1">
      <alignment horizontal="right" vertical="center" wrapText="1"/>
    </xf>
    <xf numFmtId="0" fontId="12" fillId="33" borderId="23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/>
    </xf>
    <xf numFmtId="4" fontId="17" fillId="33" borderId="14" xfId="0" applyNumberFormat="1" applyFont="1" applyFill="1" applyBorder="1" applyAlignment="1">
      <alignment horizontal="right" vertical="center" wrapText="1"/>
    </xf>
    <xf numFmtId="0" fontId="17" fillId="33" borderId="0" xfId="0" applyFont="1" applyFill="1" applyAlignment="1">
      <alignment/>
    </xf>
    <xf numFmtId="0" fontId="6" fillId="33" borderId="2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vertical="center" wrapText="1"/>
    </xf>
    <xf numFmtId="4" fontId="16" fillId="33" borderId="14" xfId="0" applyNumberFormat="1" applyFont="1" applyFill="1" applyBorder="1" applyAlignment="1">
      <alignment horizontal="right" vertical="center" wrapText="1"/>
    </xf>
    <xf numFmtId="0" fontId="65" fillId="33" borderId="2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center" vertical="center"/>
    </xf>
    <xf numFmtId="4" fontId="17" fillId="33" borderId="0" xfId="0" applyNumberFormat="1" applyFont="1" applyFill="1" applyAlignment="1">
      <alignment/>
    </xf>
    <xf numFmtId="0" fontId="10" fillId="33" borderId="20" xfId="0" applyFont="1" applyFill="1" applyBorder="1" applyAlignment="1">
      <alignment horizontal="left" vertical="center"/>
    </xf>
    <xf numFmtId="4" fontId="16" fillId="33" borderId="0" xfId="0" applyNumberFormat="1" applyFont="1" applyFill="1" applyAlignment="1">
      <alignment/>
    </xf>
    <xf numFmtId="0" fontId="10" fillId="33" borderId="15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2" fontId="17" fillId="33" borderId="24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2" fontId="16" fillId="33" borderId="24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16" fillId="33" borderId="24" xfId="0" applyNumberFormat="1" applyFont="1" applyFill="1" applyBorder="1" applyAlignment="1">
      <alignment horizontal="right" vertical="center"/>
    </xf>
    <xf numFmtId="4" fontId="8" fillId="33" borderId="18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vertical="center"/>
    </xf>
    <xf numFmtId="4" fontId="17" fillId="33" borderId="16" xfId="0" applyNumberFormat="1" applyFont="1" applyFill="1" applyBorder="1" applyAlignment="1">
      <alignment horizontal="right" vertical="center"/>
    </xf>
    <xf numFmtId="2" fontId="17" fillId="33" borderId="10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 wrapText="1"/>
    </xf>
    <xf numFmtId="4" fontId="17" fillId="33" borderId="12" xfId="0" applyNumberFormat="1" applyFont="1" applyFill="1" applyBorder="1" applyAlignment="1">
      <alignment horizontal="right" vertical="center"/>
    </xf>
    <xf numFmtId="4" fontId="17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/>
    </xf>
    <xf numFmtId="4" fontId="51" fillId="33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4" fontId="68" fillId="33" borderId="0" xfId="0" applyNumberFormat="1" applyFont="1" applyFill="1" applyAlignment="1">
      <alignment/>
    </xf>
    <xf numFmtId="4" fontId="69" fillId="33" borderId="0" xfId="0" applyNumberFormat="1" applyFont="1" applyFill="1" applyAlignment="1">
      <alignment/>
    </xf>
    <xf numFmtId="4" fontId="70" fillId="33" borderId="0" xfId="0" applyNumberFormat="1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6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 wrapText="1"/>
    </xf>
    <xf numFmtId="0" fontId="72" fillId="33" borderId="0" xfId="0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66" fillId="33" borderId="0" xfId="0" applyFont="1" applyFill="1" applyAlignment="1">
      <alignment horizontal="center"/>
    </xf>
    <xf numFmtId="0" fontId="66" fillId="33" borderId="0" xfId="0" applyFont="1" applyFill="1" applyAlignment="1">
      <alignment wrapText="1"/>
    </xf>
    <xf numFmtId="4" fontId="66" fillId="33" borderId="0" xfId="0" applyNumberFormat="1" applyFont="1" applyFill="1" applyBorder="1" applyAlignment="1">
      <alignment horizontal="right" vertical="center"/>
    </xf>
    <xf numFmtId="4" fontId="74" fillId="33" borderId="0" xfId="0" applyNumberFormat="1" applyFont="1" applyFill="1" applyBorder="1" applyAlignment="1">
      <alignment horizontal="right" vertical="center"/>
    </xf>
    <xf numFmtId="0" fontId="66" fillId="33" borderId="18" xfId="0" applyFont="1" applyFill="1" applyBorder="1" applyAlignment="1">
      <alignment horizontal="center"/>
    </xf>
    <xf numFmtId="0" fontId="66" fillId="33" borderId="18" xfId="0" applyFont="1" applyFill="1" applyBorder="1" applyAlignment="1">
      <alignment wrapText="1"/>
    </xf>
    <xf numFmtId="4" fontId="74" fillId="33" borderId="24" xfId="0" applyNumberFormat="1" applyFont="1" applyFill="1" applyBorder="1" applyAlignment="1">
      <alignment horizontal="right" vertical="center"/>
    </xf>
    <xf numFmtId="4" fontId="66" fillId="33" borderId="13" xfId="0" applyNumberFormat="1" applyFont="1" applyFill="1" applyBorder="1" applyAlignment="1">
      <alignment horizontal="left" vertical="center"/>
    </xf>
    <xf numFmtId="4" fontId="74" fillId="33" borderId="16" xfId="0" applyNumberFormat="1" applyFont="1" applyFill="1" applyBorder="1" applyAlignment="1">
      <alignment horizontal="right" vertical="center"/>
    </xf>
    <xf numFmtId="4" fontId="74" fillId="33" borderId="0" xfId="0" applyNumberFormat="1" applyFont="1" applyFill="1" applyAlignment="1">
      <alignment horizontal="right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 wrapText="1"/>
    </xf>
    <xf numFmtId="4" fontId="66" fillId="33" borderId="14" xfId="0" applyNumberFormat="1" applyFont="1" applyFill="1" applyBorder="1" applyAlignment="1">
      <alignment horizontal="center" vertical="center" wrapText="1"/>
    </xf>
    <xf numFmtId="4" fontId="66" fillId="33" borderId="10" xfId="0" applyNumberFormat="1" applyFont="1" applyFill="1" applyBorder="1" applyAlignment="1">
      <alignment horizontal="left" vertical="center" wrapText="1"/>
    </xf>
    <xf numFmtId="4" fontId="66" fillId="33" borderId="11" xfId="0" applyNumberFormat="1" applyFont="1" applyFill="1" applyBorder="1" applyAlignment="1">
      <alignment horizontal="left" vertical="center" wrapText="1"/>
    </xf>
    <xf numFmtId="4" fontId="66" fillId="33" borderId="0" xfId="0" applyNumberFormat="1" applyFont="1" applyFill="1" applyBorder="1" applyAlignment="1">
      <alignment horizontal="center" vertical="center" wrapText="1"/>
    </xf>
    <xf numFmtId="4" fontId="76" fillId="33" borderId="10" xfId="0" applyNumberFormat="1" applyFont="1" applyFill="1" applyBorder="1" applyAlignment="1">
      <alignment vertical="center" wrapText="1"/>
    </xf>
    <xf numFmtId="3" fontId="76" fillId="33" borderId="0" xfId="0" applyNumberFormat="1" applyFont="1" applyFill="1" applyBorder="1" applyAlignment="1">
      <alignment vertical="center" wrapText="1"/>
    </xf>
    <xf numFmtId="0" fontId="76" fillId="33" borderId="18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left" vertical="center" wrapText="1"/>
    </xf>
    <xf numFmtId="4" fontId="76" fillId="33" borderId="10" xfId="0" applyNumberFormat="1" applyFont="1" applyFill="1" applyBorder="1" applyAlignment="1">
      <alignment vertical="center"/>
    </xf>
    <xf numFmtId="3" fontId="76" fillId="33" borderId="0" xfId="0" applyNumberFormat="1" applyFont="1" applyFill="1" applyBorder="1" applyAlignment="1">
      <alignment vertical="center"/>
    </xf>
    <xf numFmtId="4" fontId="67" fillId="33" borderId="0" xfId="0" applyNumberFormat="1" applyFont="1" applyFill="1" applyAlignment="1">
      <alignment/>
    </xf>
    <xf numFmtId="0" fontId="77" fillId="33" borderId="18" xfId="0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left" vertical="center" wrapText="1"/>
    </xf>
    <xf numFmtId="4" fontId="77" fillId="33" borderId="10" xfId="0" applyNumberFormat="1" applyFont="1" applyFill="1" applyBorder="1" applyAlignment="1">
      <alignment vertical="center"/>
    </xf>
    <xf numFmtId="3" fontId="77" fillId="33" borderId="0" xfId="0" applyNumberFormat="1" applyFont="1" applyFill="1" applyBorder="1" applyAlignment="1">
      <alignment vertical="center"/>
    </xf>
    <xf numFmtId="0" fontId="55" fillId="33" borderId="0" xfId="0" applyFont="1" applyFill="1" applyAlignment="1">
      <alignment/>
    </xf>
    <xf numFmtId="4" fontId="66" fillId="33" borderId="0" xfId="0" applyNumberFormat="1" applyFont="1" applyFill="1" applyAlignment="1">
      <alignment/>
    </xf>
    <xf numFmtId="4" fontId="67" fillId="33" borderId="0" xfId="0" applyNumberFormat="1" applyFont="1" applyFill="1" applyAlignment="1">
      <alignment/>
    </xf>
    <xf numFmtId="0" fontId="78" fillId="33" borderId="15" xfId="0" applyFont="1" applyFill="1" applyBorder="1" applyAlignment="1">
      <alignment horizontal="center" vertical="center"/>
    </xf>
    <xf numFmtId="0" fontId="78" fillId="33" borderId="2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left" vertical="center" wrapText="1"/>
    </xf>
    <xf numFmtId="4" fontId="78" fillId="33" borderId="10" xfId="0" applyNumberFormat="1" applyFont="1" applyFill="1" applyBorder="1" applyAlignment="1">
      <alignment vertical="center"/>
    </xf>
    <xf numFmtId="4" fontId="78" fillId="33" borderId="11" xfId="0" applyNumberFormat="1" applyFont="1" applyFill="1" applyBorder="1" applyAlignment="1">
      <alignment vertical="center" wrapText="1"/>
    </xf>
    <xf numFmtId="3" fontId="78" fillId="33" borderId="0" xfId="0" applyNumberFormat="1" applyFont="1" applyFill="1" applyBorder="1" applyAlignment="1">
      <alignment vertical="center"/>
    </xf>
    <xf numFmtId="0" fontId="67" fillId="33" borderId="0" xfId="0" applyFont="1" applyFill="1" applyAlignment="1">
      <alignment/>
    </xf>
    <xf numFmtId="0" fontId="77" fillId="33" borderId="15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left" vertical="center" wrapText="1"/>
    </xf>
    <xf numFmtId="4" fontId="77" fillId="33" borderId="10" xfId="0" applyNumberFormat="1" applyFont="1" applyFill="1" applyBorder="1" applyAlignment="1">
      <alignment vertical="center"/>
    </xf>
    <xf numFmtId="0" fontId="55" fillId="33" borderId="15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3" fontId="74" fillId="33" borderId="0" xfId="0" applyNumberFormat="1" applyFont="1" applyFill="1" applyBorder="1" applyAlignment="1">
      <alignment vertical="center"/>
    </xf>
    <xf numFmtId="0" fontId="67" fillId="33" borderId="20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left" vertical="center" wrapText="1"/>
    </xf>
    <xf numFmtId="3" fontId="66" fillId="33" borderId="0" xfId="0" applyNumberFormat="1" applyFont="1" applyFill="1" applyBorder="1" applyAlignment="1">
      <alignment vertical="center"/>
    </xf>
    <xf numFmtId="0" fontId="76" fillId="33" borderId="10" xfId="0" applyFont="1" applyFill="1" applyBorder="1" applyAlignment="1">
      <alignment vertical="center" wrapText="1"/>
    </xf>
    <xf numFmtId="0" fontId="55" fillId="33" borderId="18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vertical="center" wrapText="1"/>
    </xf>
    <xf numFmtId="3" fontId="66" fillId="33" borderId="0" xfId="0" applyNumberFormat="1" applyFont="1" applyFill="1" applyBorder="1" applyAlignment="1">
      <alignment vertical="center"/>
    </xf>
    <xf numFmtId="0" fontId="55" fillId="33" borderId="20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4" fontId="78" fillId="33" borderId="10" xfId="0" applyNumberFormat="1" applyFont="1" applyFill="1" applyBorder="1" applyAlignment="1">
      <alignment vertical="center"/>
    </xf>
    <xf numFmtId="0" fontId="77" fillId="33" borderId="15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4" fontId="80" fillId="33" borderId="0" xfId="0" applyNumberFormat="1" applyFont="1" applyFill="1" applyAlignment="1">
      <alignment horizontal="left" vertical="center"/>
    </xf>
    <xf numFmtId="4" fontId="15" fillId="33" borderId="0" xfId="0" applyNumberFormat="1" applyFont="1" applyFill="1" applyAlignment="1">
      <alignment horizontal="left" vertical="center"/>
    </xf>
    <xf numFmtId="4" fontId="5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right" vertical="center"/>
    </xf>
    <xf numFmtId="0" fontId="17" fillId="33" borderId="11" xfId="0" applyFont="1" applyFill="1" applyBorder="1" applyAlignment="1">
      <alignment horizontal="left" vertical="center" wrapText="1"/>
    </xf>
    <xf numFmtId="2" fontId="17" fillId="33" borderId="12" xfId="0" applyNumberFormat="1" applyFont="1" applyFill="1" applyBorder="1" applyAlignment="1">
      <alignment horizontal="right" vertical="center"/>
    </xf>
    <xf numFmtId="0" fontId="11" fillId="33" borderId="15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2" fontId="16" fillId="33" borderId="12" xfId="0" applyNumberFormat="1" applyFont="1" applyFill="1" applyBorder="1" applyAlignment="1">
      <alignment horizontal="right" vertical="center"/>
    </xf>
    <xf numFmtId="2" fontId="16" fillId="33" borderId="1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4" fontId="16" fillId="33" borderId="12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4" fontId="16" fillId="33" borderId="18" xfId="0" applyNumberFormat="1" applyFont="1" applyFill="1" applyBorder="1" applyAlignment="1">
      <alignment horizontal="right" vertical="center"/>
    </xf>
    <xf numFmtId="2" fontId="16" fillId="33" borderId="18" xfId="0" applyNumberFormat="1" applyFont="1" applyFill="1" applyBorder="1" applyAlignment="1">
      <alignment horizontal="right" vertical="center"/>
    </xf>
    <xf numFmtId="0" fontId="26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/>
    </xf>
    <xf numFmtId="3" fontId="24" fillId="33" borderId="0" xfId="0" applyNumberFormat="1" applyFont="1" applyFill="1" applyAlignment="1">
      <alignment/>
    </xf>
    <xf numFmtId="0" fontId="16" fillId="33" borderId="0" xfId="0" applyFont="1" applyFill="1" applyAlignment="1">
      <alignment horizontal="center"/>
    </xf>
    <xf numFmtId="0" fontId="45" fillId="33" borderId="0" xfId="0" applyFont="1" applyFill="1" applyAlignment="1">
      <alignment horizontal="left"/>
    </xf>
    <xf numFmtId="3" fontId="16" fillId="33" borderId="0" xfId="0" applyNumberFormat="1" applyFont="1" applyFill="1" applyAlignment="1">
      <alignment/>
    </xf>
    <xf numFmtId="0" fontId="34" fillId="33" borderId="0" xfId="0" applyFont="1" applyFill="1" applyAlignment="1">
      <alignment horizontal="left"/>
    </xf>
    <xf numFmtId="0" fontId="13" fillId="33" borderId="12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right"/>
    </xf>
    <xf numFmtId="0" fontId="16" fillId="33" borderId="18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vertical="center" wrapText="1"/>
    </xf>
    <xf numFmtId="4" fontId="21" fillId="33" borderId="11" xfId="0" applyNumberFormat="1" applyFont="1" applyFill="1" applyBorder="1" applyAlignment="1">
      <alignment horizontal="right" vertical="center"/>
    </xf>
    <xf numFmtId="4" fontId="17" fillId="33" borderId="11" xfId="0" applyNumberFormat="1" applyFont="1" applyFill="1" applyBorder="1" applyAlignment="1">
      <alignment vertical="center" wrapText="1"/>
    </xf>
    <xf numFmtId="4" fontId="17" fillId="33" borderId="11" xfId="0" applyNumberFormat="1" applyFont="1" applyFill="1" applyBorder="1" applyAlignment="1">
      <alignment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vertical="center" wrapText="1"/>
    </xf>
    <xf numFmtId="4" fontId="22" fillId="33" borderId="10" xfId="0" applyNumberFormat="1" applyFont="1" applyFill="1" applyBorder="1" applyAlignment="1">
      <alignment horizontal="right" vertical="center"/>
    </xf>
    <xf numFmtId="4" fontId="16" fillId="33" borderId="11" xfId="0" applyNumberFormat="1" applyFont="1" applyFill="1" applyBorder="1" applyAlignment="1">
      <alignment vertical="center" wrapText="1"/>
    </xf>
    <xf numFmtId="4" fontId="16" fillId="33" borderId="11" xfId="0" applyNumberFormat="1" applyFont="1" applyFill="1" applyBorder="1" applyAlignment="1">
      <alignment vertical="center"/>
    </xf>
    <xf numFmtId="4" fontId="8" fillId="33" borderId="0" xfId="0" applyNumberFormat="1" applyFont="1" applyFill="1" applyAlignment="1">
      <alignment/>
    </xf>
    <xf numFmtId="0" fontId="33" fillId="33" borderId="2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4" fontId="22" fillId="33" borderId="18" xfId="0" applyNumberFormat="1" applyFont="1" applyFill="1" applyBorder="1" applyAlignment="1">
      <alignment vertical="center" wrapText="1"/>
    </xf>
    <xf numFmtId="4" fontId="22" fillId="33" borderId="18" xfId="0" applyNumberFormat="1" applyFont="1" applyFill="1" applyBorder="1" applyAlignment="1">
      <alignment horizontal="right" vertical="center"/>
    </xf>
    <xf numFmtId="4" fontId="16" fillId="33" borderId="15" xfId="0" applyNumberFormat="1" applyFont="1" applyFill="1" applyBorder="1" applyAlignment="1">
      <alignment vertical="center" wrapText="1"/>
    </xf>
    <xf numFmtId="4" fontId="22" fillId="33" borderId="10" xfId="0" applyNumberFormat="1" applyFont="1" applyFill="1" applyBorder="1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vertical="center" wrapText="1"/>
    </xf>
    <xf numFmtId="4" fontId="22" fillId="33" borderId="24" xfId="0" applyNumberFormat="1" applyFont="1" applyFill="1" applyBorder="1" applyAlignment="1">
      <alignment vertical="center" wrapText="1"/>
    </xf>
    <xf numFmtId="4" fontId="28" fillId="33" borderId="19" xfId="0" applyNumberFormat="1" applyFont="1" applyFill="1" applyBorder="1" applyAlignment="1">
      <alignment vertical="center" wrapText="1"/>
    </xf>
    <xf numFmtId="4" fontId="22" fillId="33" borderId="16" xfId="0" applyNumberFormat="1" applyFont="1" applyFill="1" applyBorder="1" applyAlignment="1">
      <alignment horizontal="right" vertical="center"/>
    </xf>
    <xf numFmtId="4" fontId="22" fillId="33" borderId="20" xfId="0" applyNumberFormat="1" applyFont="1" applyFill="1" applyBorder="1" applyAlignment="1">
      <alignment vertical="center" wrapText="1"/>
    </xf>
    <xf numFmtId="4" fontId="22" fillId="33" borderId="15" xfId="0" applyNumberFormat="1" applyFont="1" applyFill="1" applyBorder="1" applyAlignment="1">
      <alignment horizontal="right" vertical="center"/>
    </xf>
    <xf numFmtId="4" fontId="28" fillId="33" borderId="21" xfId="0" applyNumberFormat="1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vertical="center" wrapText="1"/>
    </xf>
    <xf numFmtId="4" fontId="22" fillId="33" borderId="23" xfId="0" applyNumberFormat="1" applyFont="1" applyFill="1" applyBorder="1" applyAlignment="1">
      <alignment vertical="center" wrapText="1"/>
    </xf>
    <xf numFmtId="4" fontId="22" fillId="33" borderId="11" xfId="0" applyNumberFormat="1" applyFont="1" applyFill="1" applyBorder="1" applyAlignment="1">
      <alignment horizontal="right" vertical="center"/>
    </xf>
    <xf numFmtId="4" fontId="28" fillId="33" borderId="14" xfId="0" applyNumberFormat="1" applyFont="1" applyFill="1" applyBorder="1" applyAlignment="1">
      <alignment vertical="center" wrapText="1"/>
    </xf>
    <xf numFmtId="0" fontId="28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right" vertical="center"/>
    </xf>
    <xf numFmtId="4" fontId="24" fillId="33" borderId="0" xfId="0" applyNumberFormat="1" applyFont="1" applyFill="1" applyAlignment="1">
      <alignment/>
    </xf>
    <xf numFmtId="4" fontId="20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25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4" fontId="28" fillId="33" borderId="10" xfId="0" applyNumberFormat="1" applyFont="1" applyFill="1" applyBorder="1" applyAlignment="1">
      <alignment horizontal="right" vertical="center"/>
    </xf>
    <xf numFmtId="4" fontId="16" fillId="33" borderId="0" xfId="0" applyNumberFormat="1" applyFont="1" applyFill="1" applyAlignment="1">
      <alignment vertical="center"/>
    </xf>
    <xf numFmtId="0" fontId="9" fillId="33" borderId="12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4" fontId="27" fillId="33" borderId="0" xfId="0" applyNumberFormat="1" applyFont="1" applyFill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4" fontId="28" fillId="33" borderId="10" xfId="0" applyNumberFormat="1" applyFont="1" applyFill="1" applyBorder="1" applyAlignment="1">
      <alignment vertical="center"/>
    </xf>
    <xf numFmtId="4" fontId="17" fillId="33" borderId="0" xfId="0" applyNumberFormat="1" applyFont="1" applyFill="1" applyAlignment="1">
      <alignment vertical="center"/>
    </xf>
    <xf numFmtId="0" fontId="28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4" fontId="20" fillId="33" borderId="10" xfId="0" applyNumberFormat="1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vertical="center" wrapText="1"/>
    </xf>
    <xf numFmtId="4" fontId="28" fillId="33" borderId="19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vertical="center"/>
    </xf>
    <xf numFmtId="4" fontId="20" fillId="33" borderId="19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vertical="center"/>
    </xf>
    <xf numFmtId="4" fontId="28" fillId="33" borderId="18" xfId="0" applyNumberFormat="1" applyFont="1" applyFill="1" applyBorder="1" applyAlignment="1">
      <alignment horizontal="right" vertical="center"/>
    </xf>
    <xf numFmtId="0" fontId="17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left" vertical="center"/>
    </xf>
    <xf numFmtId="0" fontId="17" fillId="33" borderId="2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 wrapText="1"/>
    </xf>
    <xf numFmtId="4" fontId="20" fillId="33" borderId="11" xfId="0" applyNumberFormat="1" applyFont="1" applyFill="1" applyBorder="1" applyAlignment="1">
      <alignment vertical="center"/>
    </xf>
    <xf numFmtId="0" fontId="12" fillId="33" borderId="18" xfId="0" applyFont="1" applyFill="1" applyBorder="1" applyAlignment="1">
      <alignment horizontal="left" vertical="center"/>
    </xf>
    <xf numFmtId="4" fontId="28" fillId="33" borderId="11" xfId="0" applyNumberFormat="1" applyFont="1" applyFill="1" applyBorder="1" applyAlignment="1">
      <alignment horizontal="right" vertical="center"/>
    </xf>
    <xf numFmtId="0" fontId="17" fillId="33" borderId="24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vertical="center" wrapText="1"/>
    </xf>
    <xf numFmtId="0" fontId="17" fillId="33" borderId="20" xfId="0" applyFont="1" applyFill="1" applyBorder="1" applyAlignment="1">
      <alignment horizontal="center" vertical="center"/>
    </xf>
    <xf numFmtId="0" fontId="10" fillId="33" borderId="19" xfId="55" applyFont="1" applyFill="1" applyBorder="1" applyAlignment="1">
      <alignment horizontal="left" vertical="center" wrapText="1"/>
      <protection/>
    </xf>
    <xf numFmtId="0" fontId="17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55" applyFont="1" applyFill="1" applyBorder="1" applyAlignment="1">
      <alignment horizontal="left" vertical="center" wrapText="1"/>
      <protection/>
    </xf>
    <xf numFmtId="0" fontId="10" fillId="33" borderId="18" xfId="55" applyFont="1" applyFill="1" applyBorder="1" applyAlignment="1">
      <alignment horizontal="left" vertical="center" wrapText="1"/>
      <protection/>
    </xf>
    <xf numFmtId="0" fontId="12" fillId="33" borderId="15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left" vertical="center"/>
    </xf>
    <xf numFmtId="49" fontId="10" fillId="33" borderId="10" xfId="52" applyNumberFormat="1" applyFont="1" applyFill="1" applyBorder="1" applyAlignment="1">
      <alignment horizontal="left" vertical="center" wrapText="1"/>
      <protection/>
    </xf>
    <xf numFmtId="0" fontId="17" fillId="33" borderId="0" xfId="0" applyFont="1" applyFill="1" applyAlignment="1">
      <alignment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17" fillId="33" borderId="18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0" fillId="33" borderId="17" xfId="0" applyFont="1" applyFill="1" applyBorder="1" applyAlignment="1">
      <alignment horizontal="left" vertical="center" wrapText="1"/>
    </xf>
    <xf numFmtId="4" fontId="20" fillId="33" borderId="11" xfId="0" applyNumberFormat="1" applyFont="1" applyFill="1" applyBorder="1" applyAlignment="1">
      <alignment horizontal="right" vertical="center"/>
    </xf>
    <xf numFmtId="0" fontId="81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 wrapText="1"/>
    </xf>
    <xf numFmtId="4" fontId="20" fillId="33" borderId="20" xfId="0" applyNumberFormat="1" applyFont="1" applyFill="1" applyBorder="1" applyAlignment="1">
      <alignment vertical="center"/>
    </xf>
    <xf numFmtId="0" fontId="10" fillId="33" borderId="24" xfId="0" applyFont="1" applyFill="1" applyBorder="1" applyAlignment="1">
      <alignment horizontal="left" vertical="center" wrapText="1"/>
    </xf>
    <xf numFmtId="4" fontId="20" fillId="33" borderId="24" xfId="0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 vertical="center"/>
    </xf>
    <xf numFmtId="0" fontId="28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4" fontId="26" fillId="33" borderId="11" xfId="0" applyNumberFormat="1" applyFont="1" applyFill="1" applyBorder="1" applyAlignment="1">
      <alignment horizontal="right" vertical="center"/>
    </xf>
    <xf numFmtId="0" fontId="28" fillId="33" borderId="1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0" fontId="25" fillId="33" borderId="20" xfId="0" applyFont="1" applyFill="1" applyBorder="1" applyAlignment="1">
      <alignment horizontal="left" vertical="center"/>
    </xf>
    <xf numFmtId="0" fontId="25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vertical="center" wrapText="1"/>
    </xf>
    <xf numFmtId="0" fontId="82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" fontId="28" fillId="33" borderId="15" xfId="0" applyNumberFormat="1" applyFont="1" applyFill="1" applyBorder="1" applyAlignment="1">
      <alignment vertical="center"/>
    </xf>
    <xf numFmtId="0" fontId="25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4" fontId="26" fillId="33" borderId="10" xfId="0" applyNumberFormat="1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4" fontId="28" fillId="33" borderId="11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27" fillId="33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19" fillId="33" borderId="17" xfId="0" applyFont="1" applyFill="1" applyBorder="1" applyAlignment="1">
      <alignment/>
    </xf>
    <xf numFmtId="0" fontId="28" fillId="33" borderId="16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/>
    </xf>
    <xf numFmtId="0" fontId="26" fillId="33" borderId="16" xfId="0" applyFont="1" applyFill="1" applyBorder="1" applyAlignment="1">
      <alignment horizontal="center" vertical="center"/>
    </xf>
    <xf numFmtId="4" fontId="26" fillId="33" borderId="11" xfId="0" applyNumberFormat="1" applyFont="1" applyFill="1" applyBorder="1" applyAlignment="1">
      <alignment horizontal="right" vertical="center" wrapText="1"/>
    </xf>
    <xf numFmtId="0" fontId="12" fillId="33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/>
    </xf>
    <xf numFmtId="0" fontId="10" fillId="33" borderId="16" xfId="0" applyFont="1" applyFill="1" applyBorder="1" applyAlignment="1">
      <alignment horizontal="left" vertical="center"/>
    </xf>
    <xf numFmtId="4" fontId="20" fillId="33" borderId="11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horizontal="left" vertical="center"/>
    </xf>
    <xf numFmtId="4" fontId="20" fillId="33" borderId="10" xfId="0" applyNumberFormat="1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center" vertical="center"/>
    </xf>
    <xf numFmtId="49" fontId="10" fillId="33" borderId="0" xfId="52" applyNumberFormat="1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0" fontId="33" fillId="33" borderId="16" xfId="0" applyFont="1" applyFill="1" applyBorder="1" applyAlignment="1">
      <alignment horizontal="left" vertical="center" wrapText="1"/>
    </xf>
    <xf numFmtId="4" fontId="28" fillId="33" borderId="14" xfId="0" applyNumberFormat="1" applyFont="1" applyFill="1" applyBorder="1" applyAlignment="1">
      <alignment horizontal="right" vertical="center"/>
    </xf>
    <xf numFmtId="0" fontId="28" fillId="33" borderId="22" xfId="0" applyFont="1" applyFill="1" applyBorder="1" applyAlignment="1">
      <alignment horizontal="left" vertical="center"/>
    </xf>
    <xf numFmtId="0" fontId="33" fillId="33" borderId="14" xfId="0" applyFont="1" applyFill="1" applyBorder="1" applyAlignment="1">
      <alignment horizontal="left" vertical="center" wrapText="1"/>
    </xf>
    <xf numFmtId="4" fontId="26" fillId="33" borderId="14" xfId="0" applyNumberFormat="1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 wrapText="1"/>
    </xf>
    <xf numFmtId="4" fontId="20" fillId="33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0" fontId="54" fillId="0" borderId="13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18" xfId="0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6" fillId="0" borderId="23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26" fillId="0" borderId="23" xfId="0" applyNumberFormat="1" applyFont="1" applyFill="1" applyBorder="1" applyAlignment="1">
      <alignment/>
    </xf>
    <xf numFmtId="4" fontId="26" fillId="0" borderId="15" xfId="0" applyNumberFormat="1" applyFont="1" applyFill="1" applyBorder="1" applyAlignment="1">
      <alignment/>
    </xf>
    <xf numFmtId="4" fontId="7" fillId="0" borderId="0" xfId="0" applyNumberFormat="1" applyFont="1" applyFill="1" applyAlignment="1">
      <alignment horizontal="right" vertical="center"/>
    </xf>
    <xf numFmtId="0" fontId="28" fillId="0" borderId="20" xfId="0" applyFont="1" applyFill="1" applyBorder="1" applyAlignment="1">
      <alignment vertical="center"/>
    </xf>
    <xf numFmtId="4" fontId="17" fillId="0" borderId="15" xfId="0" applyNumberFormat="1" applyFont="1" applyFill="1" applyBorder="1" applyAlignment="1">
      <alignment vertical="center"/>
    </xf>
    <xf numFmtId="4" fontId="17" fillId="0" borderId="20" xfId="0" applyNumberFormat="1" applyFont="1" applyFill="1" applyBorder="1" applyAlignment="1">
      <alignment vertical="center"/>
    </xf>
    <xf numFmtId="4" fontId="17" fillId="0" borderId="21" xfId="0" applyNumberFormat="1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17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/>
    </xf>
    <xf numFmtId="4" fontId="12" fillId="0" borderId="20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4" fontId="30" fillId="0" borderId="2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4" fontId="12" fillId="0" borderId="24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right" vertical="center" wrapText="1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6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/>
    </xf>
    <xf numFmtId="0" fontId="13" fillId="0" borderId="23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4" fontId="85" fillId="0" borderId="0" xfId="0" applyNumberFormat="1" applyFont="1" applyFill="1" applyAlignment="1">
      <alignment/>
    </xf>
    <xf numFmtId="0" fontId="17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" fontId="86" fillId="0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10" fillId="0" borderId="24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" fontId="12" fillId="0" borderId="23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 wrapText="1"/>
    </xf>
    <xf numFmtId="0" fontId="10" fillId="0" borderId="16" xfId="52" applyFont="1" applyFill="1" applyBorder="1" applyAlignment="1">
      <alignment vertical="center" wrapText="1"/>
      <protection/>
    </xf>
    <xf numFmtId="4" fontId="10" fillId="0" borderId="16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4" fontId="10" fillId="0" borderId="12" xfId="52" applyNumberFormat="1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2" fillId="0" borderId="12" xfId="52" applyFont="1" applyFill="1" applyBorder="1" applyAlignment="1">
      <alignment vertical="center" wrapText="1"/>
      <protection/>
    </xf>
    <xf numFmtId="4" fontId="12" fillId="0" borderId="12" xfId="52" applyNumberFormat="1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52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4" fontId="10" fillId="0" borderId="10" xfId="52" applyNumberFormat="1" applyFont="1" applyFill="1" applyBorder="1" applyAlignment="1">
      <alignment vertical="center"/>
      <protection/>
    </xf>
    <xf numFmtId="4" fontId="0" fillId="0" borderId="0" xfId="0" applyNumberFormat="1" applyFill="1" applyAlignment="1">
      <alignment vertical="center"/>
    </xf>
    <xf numFmtId="0" fontId="10" fillId="0" borderId="10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vertical="center" wrapText="1"/>
      <protection/>
    </xf>
    <xf numFmtId="4" fontId="12" fillId="0" borderId="10" xfId="52" applyNumberFormat="1" applyFont="1" applyFill="1" applyBorder="1" applyAlignment="1">
      <alignment vertical="center" wrapText="1"/>
      <protection/>
    </xf>
    <xf numFmtId="0" fontId="88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vertical="center" wrapText="1"/>
      <protection/>
    </xf>
    <xf numFmtId="4" fontId="6" fillId="0" borderId="10" xfId="52" applyNumberFormat="1" applyFont="1" applyFill="1" applyBorder="1" applyAlignment="1">
      <alignment vertical="center" wrapText="1"/>
      <protection/>
    </xf>
    <xf numFmtId="0" fontId="87" fillId="0" borderId="0" xfId="0" applyFont="1" applyFill="1" applyAlignment="1">
      <alignment vertical="center"/>
    </xf>
    <xf numFmtId="4" fontId="54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4" fontId="89" fillId="0" borderId="0" xfId="0" applyNumberFormat="1" applyFont="1" applyFill="1" applyAlignment="1">
      <alignment/>
    </xf>
    <xf numFmtId="0" fontId="43" fillId="0" borderId="0" xfId="0" applyFont="1" applyFill="1" applyAlignment="1">
      <alignment horizontal="center" vertical="center"/>
    </xf>
    <xf numFmtId="4" fontId="43" fillId="0" borderId="0" xfId="0" applyNumberFormat="1" applyFont="1" applyFill="1" applyAlignment="1">
      <alignment/>
    </xf>
    <xf numFmtId="4" fontId="90" fillId="0" borderId="0" xfId="0" applyNumberFormat="1" applyFont="1" applyFill="1" applyAlignment="1">
      <alignment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4" fontId="11" fillId="0" borderId="13" xfId="0" applyNumberFormat="1" applyFont="1" applyFill="1" applyBorder="1" applyAlignment="1">
      <alignment vertical="center"/>
    </xf>
    <xf numFmtId="0" fontId="17" fillId="0" borderId="10" xfId="53" applyFont="1" applyFill="1" applyBorder="1" applyAlignment="1">
      <alignment vertical="center" wrapText="1"/>
      <protection/>
    </xf>
    <xf numFmtId="0" fontId="16" fillId="0" borderId="12" xfId="56" applyFont="1" applyFill="1" applyBorder="1" applyAlignment="1">
      <alignment vertical="center" wrapText="1"/>
      <protection/>
    </xf>
    <xf numFmtId="4" fontId="18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2" fillId="33" borderId="19" xfId="0" applyNumberFormat="1" applyFont="1" applyFill="1" applyBorder="1" applyAlignment="1">
      <alignment horizontal="right" vertical="center"/>
    </xf>
    <xf numFmtId="4" fontId="10" fillId="33" borderId="19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/>
    </xf>
    <xf numFmtId="4" fontId="12" fillId="33" borderId="11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4" fontId="10" fillId="33" borderId="0" xfId="0" applyNumberFormat="1" applyFont="1" applyFill="1" applyAlignment="1">
      <alignment/>
    </xf>
    <xf numFmtId="4" fontId="7" fillId="0" borderId="21" xfId="0" applyNumberFormat="1" applyFont="1" applyFill="1" applyBorder="1" applyAlignment="1">
      <alignment vertical="center"/>
    </xf>
    <xf numFmtId="4" fontId="20" fillId="0" borderId="22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0" fillId="0" borderId="12" xfId="52" applyFont="1" applyFill="1" applyBorder="1" applyAlignment="1">
      <alignment vertical="top" wrapText="1"/>
      <protection/>
    </xf>
    <xf numFmtId="4" fontId="16" fillId="0" borderId="12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75" fillId="33" borderId="12" xfId="0" applyFont="1" applyFill="1" applyBorder="1" applyAlignment="1">
      <alignment horizontal="left" vertical="center"/>
    </xf>
    <xf numFmtId="0" fontId="75" fillId="33" borderId="13" xfId="0" applyFont="1" applyFill="1" applyBorder="1" applyAlignment="1">
      <alignment horizontal="left" vertical="center"/>
    </xf>
    <xf numFmtId="0" fontId="75" fillId="33" borderId="16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left" vertical="center"/>
    </xf>
    <xf numFmtId="0" fontId="79" fillId="33" borderId="13" xfId="0" applyFont="1" applyFill="1" applyBorder="1" applyAlignment="1">
      <alignment horizontal="left" vertical="center"/>
    </xf>
    <xf numFmtId="0" fontId="79" fillId="33" borderId="16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29" fillId="33" borderId="13" xfId="0" applyFont="1" applyFill="1" applyBorder="1" applyAlignment="1">
      <alignment horizontal="left" vertical="center"/>
    </xf>
    <xf numFmtId="0" fontId="29" fillId="33" borderId="16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7" xfId="54"/>
    <cellStyle name="Normalny_tabela nr 8" xfId="55"/>
    <cellStyle name="Normalny_Zał. nr 3A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0">
      <selection activeCell="L12" sqref="L12"/>
    </sheetView>
  </sheetViews>
  <sheetFormatPr defaultColWidth="9.140625" defaultRowHeight="12.75"/>
  <cols>
    <col min="1" max="1" width="5.140625" style="612" customWidth="1"/>
    <col min="2" max="2" width="7.140625" style="612" customWidth="1"/>
    <col min="3" max="3" width="5.8515625" style="612" customWidth="1"/>
    <col min="4" max="4" width="25.00390625" style="612" customWidth="1"/>
    <col min="5" max="5" width="11.7109375" style="612" customWidth="1"/>
    <col min="6" max="6" width="11.00390625" style="612" customWidth="1"/>
    <col min="7" max="7" width="6.8515625" style="612" customWidth="1"/>
    <col min="8" max="8" width="11.7109375" style="612" customWidth="1"/>
    <col min="9" max="9" width="11.57421875" style="695" customWidth="1"/>
    <col min="10" max="10" width="6.140625" style="612" customWidth="1"/>
    <col min="11" max="11" width="9.140625" style="612" customWidth="1"/>
    <col min="12" max="12" width="9.421875" style="612" bestFit="1" customWidth="1"/>
    <col min="13" max="16384" width="9.140625" style="612" customWidth="1"/>
  </cols>
  <sheetData>
    <row r="1" spans="1:8" ht="19.5" customHeight="1">
      <c r="A1" s="619"/>
      <c r="B1" s="619"/>
      <c r="C1" s="619"/>
      <c r="D1" s="619"/>
      <c r="E1" s="611" t="s">
        <v>161</v>
      </c>
      <c r="F1" s="619"/>
      <c r="G1" s="619"/>
      <c r="H1" s="611"/>
    </row>
    <row r="2" spans="1:8" ht="19.5" customHeight="1">
      <c r="A2" s="619"/>
      <c r="B2" s="619"/>
      <c r="C2" s="619"/>
      <c r="D2" s="619"/>
      <c r="E2" s="613" t="s">
        <v>572</v>
      </c>
      <c r="F2" s="619"/>
      <c r="G2" s="619"/>
      <c r="H2" s="613"/>
    </row>
    <row r="3" spans="1:8" ht="19.5" customHeight="1">
      <c r="A3" s="619"/>
      <c r="B3" s="619"/>
      <c r="C3" s="619"/>
      <c r="D3" s="619"/>
      <c r="E3" s="613" t="s">
        <v>589</v>
      </c>
      <c r="F3" s="619"/>
      <c r="G3" s="619"/>
      <c r="H3" s="613"/>
    </row>
    <row r="4" spans="1:8" ht="19.5" customHeight="1">
      <c r="A4" s="619"/>
      <c r="B4" s="619"/>
      <c r="C4" s="619"/>
      <c r="D4" s="619"/>
      <c r="E4" s="613" t="s">
        <v>162</v>
      </c>
      <c r="F4" s="619"/>
      <c r="G4" s="619"/>
      <c r="H4" s="613"/>
    </row>
    <row r="5" spans="1:8" ht="12.75">
      <c r="A5" s="619"/>
      <c r="B5" s="619"/>
      <c r="C5" s="619"/>
      <c r="D5" s="619"/>
      <c r="E5" s="619"/>
      <c r="F5" s="619"/>
      <c r="G5" s="619"/>
      <c r="H5" s="615"/>
    </row>
    <row r="6" spans="1:8" ht="15.75">
      <c r="A6" s="621" t="s">
        <v>163</v>
      </c>
      <c r="B6" s="619"/>
      <c r="C6" s="619"/>
      <c r="D6" s="619"/>
      <c r="E6" s="619"/>
      <c r="F6" s="619"/>
      <c r="G6" s="619"/>
      <c r="H6" s="615"/>
    </row>
    <row r="7" spans="1:8" ht="15.75">
      <c r="A7" s="621" t="s">
        <v>164</v>
      </c>
      <c r="B7" s="619"/>
      <c r="C7" s="619"/>
      <c r="D7" s="619"/>
      <c r="E7" s="619"/>
      <c r="F7" s="619"/>
      <c r="G7" s="619"/>
      <c r="H7" s="615"/>
    </row>
    <row r="8" spans="1:8" ht="15.75">
      <c r="A8" s="617" t="s">
        <v>165</v>
      </c>
      <c r="B8" s="847"/>
      <c r="C8" s="622"/>
      <c r="D8" s="742"/>
      <c r="E8" s="742"/>
      <c r="F8" s="742"/>
      <c r="G8" s="742"/>
      <c r="H8" s="615"/>
    </row>
    <row r="9" spans="1:8" ht="12.75">
      <c r="A9" s="685"/>
      <c r="B9" s="847"/>
      <c r="C9" s="622"/>
      <c r="D9" s="742"/>
      <c r="E9" s="742"/>
      <c r="F9" s="742"/>
      <c r="G9" s="742"/>
      <c r="H9" s="615"/>
    </row>
    <row r="10" spans="1:9" ht="12.75">
      <c r="A10" s="622" t="s">
        <v>21</v>
      </c>
      <c r="B10" s="622"/>
      <c r="C10" s="622"/>
      <c r="D10" s="742"/>
      <c r="E10" s="742"/>
      <c r="F10" s="742"/>
      <c r="G10" s="742"/>
      <c r="H10" s="624"/>
      <c r="I10" s="849" t="s">
        <v>22</v>
      </c>
    </row>
    <row r="11" spans="1:10" s="619" customFormat="1" ht="72" customHeight="1">
      <c r="A11" s="850" t="s">
        <v>23</v>
      </c>
      <c r="B11" s="850" t="s">
        <v>24</v>
      </c>
      <c r="C11" s="850" t="s">
        <v>393</v>
      </c>
      <c r="D11" s="851" t="s">
        <v>120</v>
      </c>
      <c r="E11" s="851" t="s">
        <v>563</v>
      </c>
      <c r="F11" s="851" t="s">
        <v>564</v>
      </c>
      <c r="G11" s="852" t="s">
        <v>397</v>
      </c>
      <c r="H11" s="851" t="s">
        <v>565</v>
      </c>
      <c r="I11" s="851" t="s">
        <v>110</v>
      </c>
      <c r="J11" s="853" t="s">
        <v>397</v>
      </c>
    </row>
    <row r="12" spans="1:10" ht="28.5" customHeight="1">
      <c r="A12" s="848" t="s">
        <v>673</v>
      </c>
      <c r="B12" s="854"/>
      <c r="C12" s="854"/>
      <c r="D12" s="855"/>
      <c r="E12" s="855"/>
      <c r="F12" s="856"/>
      <c r="G12" s="855"/>
      <c r="H12" s="856"/>
      <c r="I12" s="857"/>
      <c r="J12" s="858"/>
    </row>
    <row r="13" spans="1:10" ht="50.25" customHeight="1">
      <c r="A13" s="859">
        <v>853</v>
      </c>
      <c r="B13" s="859"/>
      <c r="C13" s="859"/>
      <c r="D13" s="860" t="s">
        <v>166</v>
      </c>
      <c r="E13" s="861">
        <f>SUM(E14)</f>
        <v>288083</v>
      </c>
      <c r="F13" s="861">
        <f>SUM(F14)</f>
        <v>315555</v>
      </c>
      <c r="G13" s="862">
        <f>F13/E13*100</f>
        <v>109.53614062613899</v>
      </c>
      <c r="H13" s="861">
        <f>SUM(H14)</f>
        <v>288083</v>
      </c>
      <c r="I13" s="861">
        <f>I14</f>
        <v>315554.99999999994</v>
      </c>
      <c r="J13" s="863">
        <f>I13/H13*100</f>
        <v>109.53614062613897</v>
      </c>
    </row>
    <row r="14" spans="1:12" s="815" customFormat="1" ht="48" customHeight="1">
      <c r="A14" s="864"/>
      <c r="B14" s="865">
        <v>85321</v>
      </c>
      <c r="C14" s="865"/>
      <c r="D14" s="866" t="s">
        <v>610</v>
      </c>
      <c r="E14" s="867">
        <f>SUM(E15)</f>
        <v>288083</v>
      </c>
      <c r="F14" s="867">
        <f>SUM(F15)</f>
        <v>315555</v>
      </c>
      <c r="G14" s="868">
        <f>F14/E14*100</f>
        <v>109.53614062613899</v>
      </c>
      <c r="H14" s="867">
        <f>SUM(H16:H22)</f>
        <v>288083</v>
      </c>
      <c r="I14" s="867">
        <f>SUM(I16:I22)</f>
        <v>315554.99999999994</v>
      </c>
      <c r="J14" s="869">
        <f aca="true" t="shared" si="0" ref="J14:J23">I14/H14*100</f>
        <v>109.53614062613897</v>
      </c>
      <c r="L14" s="870"/>
    </row>
    <row r="15" spans="1:12" ht="81.75" customHeight="1">
      <c r="A15" s="871"/>
      <c r="B15" s="864"/>
      <c r="C15" s="872">
        <v>2320</v>
      </c>
      <c r="D15" s="873" t="s">
        <v>534</v>
      </c>
      <c r="E15" s="874">
        <v>288083</v>
      </c>
      <c r="F15" s="875">
        <v>315555</v>
      </c>
      <c r="G15" s="876">
        <f>F15/E15*100</f>
        <v>109.53614062613899</v>
      </c>
      <c r="H15" s="867"/>
      <c r="I15" s="877"/>
      <c r="J15" s="869"/>
      <c r="L15" s="695"/>
    </row>
    <row r="16" spans="1:10" ht="33" customHeight="1">
      <c r="A16" s="878"/>
      <c r="B16" s="879"/>
      <c r="C16" s="880">
        <v>4010</v>
      </c>
      <c r="D16" s="881" t="s">
        <v>451</v>
      </c>
      <c r="E16" s="882"/>
      <c r="F16" s="875"/>
      <c r="G16" s="883"/>
      <c r="H16" s="884">
        <v>160804.35</v>
      </c>
      <c r="I16" s="877">
        <f>182404.3</f>
        <v>182404.3</v>
      </c>
      <c r="J16" s="869">
        <f t="shared" si="0"/>
        <v>113.43244134875702</v>
      </c>
    </row>
    <row r="17" spans="1:10" ht="28.5" customHeight="1">
      <c r="A17" s="878"/>
      <c r="B17" s="879"/>
      <c r="C17" s="880">
        <v>4040</v>
      </c>
      <c r="D17" s="881" t="s">
        <v>452</v>
      </c>
      <c r="E17" s="885"/>
      <c r="F17" s="886"/>
      <c r="G17" s="887"/>
      <c r="H17" s="884">
        <v>15569.5</v>
      </c>
      <c r="I17" s="877">
        <v>17776.17</v>
      </c>
      <c r="J17" s="869">
        <f t="shared" si="0"/>
        <v>114.17303060470792</v>
      </c>
    </row>
    <row r="18" spans="1:10" ht="30" customHeight="1">
      <c r="A18" s="878"/>
      <c r="B18" s="879"/>
      <c r="C18" s="880">
        <v>4110</v>
      </c>
      <c r="D18" s="881" t="s">
        <v>496</v>
      </c>
      <c r="E18" s="885"/>
      <c r="F18" s="886"/>
      <c r="G18" s="887"/>
      <c r="H18" s="884">
        <v>29765.65</v>
      </c>
      <c r="I18" s="877">
        <v>33740.26</v>
      </c>
      <c r="J18" s="869">
        <f t="shared" si="0"/>
        <v>113.35300925731507</v>
      </c>
    </row>
    <row r="19" spans="1:10" ht="27" customHeight="1">
      <c r="A19" s="878"/>
      <c r="B19" s="879"/>
      <c r="C19" s="888">
        <v>4120</v>
      </c>
      <c r="D19" s="889" t="s">
        <v>497</v>
      </c>
      <c r="E19" s="885"/>
      <c r="F19" s="886"/>
      <c r="G19" s="887"/>
      <c r="H19" s="884">
        <v>4249</v>
      </c>
      <c r="I19" s="877">
        <v>6213.83</v>
      </c>
      <c r="J19" s="869">
        <f t="shared" si="0"/>
        <v>146.24217462932455</v>
      </c>
    </row>
    <row r="20" spans="1:10" ht="28.5" customHeight="1">
      <c r="A20" s="878"/>
      <c r="B20" s="879"/>
      <c r="C20" s="888">
        <v>4170</v>
      </c>
      <c r="D20" s="889" t="s">
        <v>503</v>
      </c>
      <c r="E20" s="885"/>
      <c r="F20" s="886"/>
      <c r="G20" s="887"/>
      <c r="H20" s="884">
        <v>19008</v>
      </c>
      <c r="I20" s="877">
        <v>17584</v>
      </c>
      <c r="J20" s="869">
        <f t="shared" si="0"/>
        <v>92.50841750841751</v>
      </c>
    </row>
    <row r="21" spans="1:10" ht="27" customHeight="1">
      <c r="A21" s="878"/>
      <c r="B21" s="879"/>
      <c r="C21" s="880">
        <v>4300</v>
      </c>
      <c r="D21" s="881" t="s">
        <v>408</v>
      </c>
      <c r="E21" s="885"/>
      <c r="F21" s="886"/>
      <c r="G21" s="887"/>
      <c r="H21" s="884">
        <v>50846.67</v>
      </c>
      <c r="I21" s="877">
        <v>50077</v>
      </c>
      <c r="J21" s="869">
        <f t="shared" si="0"/>
        <v>98.48629221933315</v>
      </c>
    </row>
    <row r="22" spans="1:10" ht="33" customHeight="1">
      <c r="A22" s="878"/>
      <c r="B22" s="879"/>
      <c r="C22" s="888">
        <v>4440</v>
      </c>
      <c r="D22" s="889" t="s">
        <v>498</v>
      </c>
      <c r="E22" s="890"/>
      <c r="F22" s="891"/>
      <c r="G22" s="892"/>
      <c r="H22" s="884">
        <v>7839.83</v>
      </c>
      <c r="I22" s="877">
        <v>7759.44</v>
      </c>
      <c r="J22" s="869">
        <f t="shared" si="0"/>
        <v>98.97459511239401</v>
      </c>
    </row>
    <row r="23" spans="1:10" ht="24" customHeight="1">
      <c r="A23" s="893" t="s">
        <v>167</v>
      </c>
      <c r="B23" s="854"/>
      <c r="C23" s="854"/>
      <c r="D23" s="894"/>
      <c r="E23" s="861">
        <f>SUM(E13)</f>
        <v>288083</v>
      </c>
      <c r="F23" s="861">
        <f>SUM(F13)</f>
        <v>315555</v>
      </c>
      <c r="G23" s="862">
        <f>F23/E23*100</f>
        <v>109.53614062613899</v>
      </c>
      <c r="H23" s="895">
        <f>SUM(H16:H22)</f>
        <v>288083</v>
      </c>
      <c r="I23" s="895">
        <f>SUM(I16:I22)</f>
        <v>315554.99999999994</v>
      </c>
      <c r="J23" s="863">
        <f t="shared" si="0"/>
        <v>109.53614062613897</v>
      </c>
    </row>
    <row r="24" spans="1:10" ht="15.75">
      <c r="A24" s="840"/>
      <c r="B24" s="840"/>
      <c r="C24" s="840"/>
      <c r="D24" s="840"/>
      <c r="E24" s="896"/>
      <c r="F24" s="896"/>
      <c r="G24" s="896"/>
      <c r="H24" s="897"/>
      <c r="I24" s="897"/>
      <c r="J24" s="897"/>
    </row>
    <row r="25" spans="1:8" ht="12.75">
      <c r="A25" s="840"/>
      <c r="B25" s="840"/>
      <c r="C25" s="840"/>
      <c r="D25" s="840"/>
      <c r="E25" s="840"/>
      <c r="F25" s="840"/>
      <c r="G25" s="840"/>
      <c r="H25" s="840"/>
    </row>
    <row r="26" spans="1:8" ht="12.75">
      <c r="A26" s="840"/>
      <c r="B26" s="840"/>
      <c r="C26" s="840"/>
      <c r="D26" s="840"/>
      <c r="E26" s="840"/>
      <c r="F26" s="840"/>
      <c r="G26" s="840"/>
      <c r="H26" s="840"/>
    </row>
  </sheetData>
  <sheetProtection/>
  <printOptions/>
  <pageMargins left="0.3937007874015748" right="0" top="0.7874015748031497" bottom="0.7874015748031497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4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57421875" style="78" customWidth="1"/>
    <col min="2" max="2" width="38.8515625" style="78" customWidth="1"/>
    <col min="3" max="3" width="23.00390625" style="78" customWidth="1"/>
    <col min="4" max="4" width="22.7109375" style="78" customWidth="1"/>
    <col min="5" max="5" width="16.140625" style="78" customWidth="1"/>
    <col min="6" max="6" width="21.421875" style="191" customWidth="1"/>
    <col min="7" max="7" width="21.8515625" style="78" customWidth="1"/>
    <col min="8" max="8" width="20.57421875" style="156" customWidth="1"/>
    <col min="9" max="9" width="14.57421875" style="78" customWidth="1"/>
    <col min="10" max="10" width="9.140625" style="78" customWidth="1"/>
    <col min="11" max="11" width="18.00390625" style="78" customWidth="1"/>
    <col min="12" max="12" width="21.28125" style="78" customWidth="1"/>
    <col min="13" max="15" width="9.140625" style="78" customWidth="1"/>
    <col min="16" max="16" width="20.57421875" style="78" customWidth="1"/>
    <col min="17" max="16384" width="9.140625" style="78" customWidth="1"/>
  </cols>
  <sheetData>
    <row r="1" ht="18.75">
      <c r="C1" s="136"/>
    </row>
    <row r="2" spans="3:4" ht="20.25">
      <c r="C2" s="255" t="s">
        <v>587</v>
      </c>
      <c r="D2" s="260"/>
    </row>
    <row r="3" spans="3:4" ht="18.75">
      <c r="C3" s="260" t="s">
        <v>588</v>
      </c>
      <c r="D3" s="260"/>
    </row>
    <row r="4" spans="3:4" ht="18.75">
      <c r="C4" s="260" t="s">
        <v>589</v>
      </c>
      <c r="D4" s="260"/>
    </row>
    <row r="5" spans="3:4" ht="18.75">
      <c r="C5" s="260" t="s">
        <v>590</v>
      </c>
      <c r="D5" s="260"/>
    </row>
    <row r="6" spans="3:4" ht="18.75">
      <c r="C6" s="136"/>
      <c r="D6" s="260"/>
    </row>
    <row r="7" ht="18.75">
      <c r="C7" s="136"/>
    </row>
    <row r="8" spans="2:10" ht="15.75">
      <c r="B8" s="192"/>
      <c r="C8" s="192"/>
      <c r="D8" s="192"/>
      <c r="E8" s="193"/>
      <c r="F8" s="194"/>
      <c r="G8" s="192"/>
      <c r="H8" s="193"/>
      <c r="I8" s="192"/>
      <c r="J8" s="192"/>
    </row>
    <row r="9" spans="2:10" ht="18.75">
      <c r="B9" s="195" t="s">
        <v>591</v>
      </c>
      <c r="C9" s="192"/>
      <c r="D9" s="192"/>
      <c r="E9" s="193"/>
      <c r="F9" s="194"/>
      <c r="G9" s="192"/>
      <c r="H9" s="193"/>
      <c r="I9" s="192"/>
      <c r="J9" s="192"/>
    </row>
    <row r="10" spans="2:10" ht="18.75">
      <c r="B10" s="195" t="s">
        <v>594</v>
      </c>
      <c r="C10" s="192"/>
      <c r="D10" s="192"/>
      <c r="E10" s="193"/>
      <c r="F10" s="194"/>
      <c r="G10" s="192"/>
      <c r="H10" s="193"/>
      <c r="I10" s="192"/>
      <c r="J10" s="192"/>
    </row>
    <row r="11" spans="2:10" ht="18.75">
      <c r="B11" s="195"/>
      <c r="C11" s="192"/>
      <c r="D11" s="192"/>
      <c r="E11" s="193"/>
      <c r="F11" s="194"/>
      <c r="G11" s="192"/>
      <c r="H11" s="193"/>
      <c r="I11" s="192"/>
      <c r="J11" s="192"/>
    </row>
    <row r="12" spans="2:10" s="199" customFormat="1" ht="24" customHeight="1">
      <c r="B12" s="396"/>
      <c r="C12" s="397" t="s">
        <v>595</v>
      </c>
      <c r="D12" s="398"/>
      <c r="E12" s="196"/>
      <c r="F12" s="197"/>
      <c r="G12" s="198"/>
      <c r="H12" s="196"/>
      <c r="I12" s="198"/>
      <c r="J12" s="198"/>
    </row>
    <row r="13" spans="2:10" s="199" customFormat="1" ht="28.5" customHeight="1">
      <c r="B13" s="399"/>
      <c r="C13" s="259" t="s">
        <v>592</v>
      </c>
      <c r="D13" s="400" t="s">
        <v>593</v>
      </c>
      <c r="E13" s="196"/>
      <c r="F13" s="256"/>
      <c r="G13" s="198"/>
      <c r="H13" s="196"/>
      <c r="I13" s="198"/>
      <c r="J13" s="198"/>
    </row>
    <row r="14" spans="2:10" ht="72.75" customHeight="1">
      <c r="B14" s="401" t="s">
        <v>120</v>
      </c>
      <c r="C14" s="402" t="s">
        <v>627</v>
      </c>
      <c r="D14" s="200" t="s">
        <v>628</v>
      </c>
      <c r="E14" s="403"/>
      <c r="F14" s="201"/>
      <c r="G14" s="202"/>
      <c r="H14" s="203"/>
      <c r="I14" s="204"/>
      <c r="J14" s="192"/>
    </row>
    <row r="15" spans="2:10" s="209" customFormat="1" ht="36.75" customHeight="1">
      <c r="B15" s="205" t="s">
        <v>540</v>
      </c>
      <c r="C15" s="404">
        <f>C16</f>
        <v>12068180</v>
      </c>
      <c r="D15" s="404">
        <f>D16</f>
        <v>13364524.92</v>
      </c>
      <c r="E15" s="405"/>
      <c r="F15" s="206"/>
      <c r="G15" s="202">
        <f>C15-D15</f>
        <v>-1296344.92</v>
      </c>
      <c r="H15" s="203"/>
      <c r="I15" s="207"/>
      <c r="J15" s="208"/>
    </row>
    <row r="16" spans="2:10" s="209" customFormat="1" ht="57" customHeight="1">
      <c r="B16" s="210" t="s">
        <v>541</v>
      </c>
      <c r="C16" s="406">
        <f>SUM(C17:C21)</f>
        <v>12068180</v>
      </c>
      <c r="D16" s="406">
        <f>SUM(D17:D21)</f>
        <v>13364524.92</v>
      </c>
      <c r="E16" s="407"/>
      <c r="F16" s="211"/>
      <c r="G16" s="211"/>
      <c r="H16" s="212"/>
      <c r="I16" s="212"/>
      <c r="J16" s="208"/>
    </row>
    <row r="17" spans="2:10" ht="42.75" customHeight="1">
      <c r="B17" s="213" t="s">
        <v>494</v>
      </c>
      <c r="C17" s="408"/>
      <c r="D17" s="410">
        <v>6037948.92</v>
      </c>
      <c r="E17" s="409"/>
      <c r="F17" s="211"/>
      <c r="G17" s="411"/>
      <c r="H17" s="215"/>
      <c r="I17" s="216"/>
      <c r="J17" s="198"/>
    </row>
    <row r="18" spans="2:10" ht="33" customHeight="1">
      <c r="B18" s="217" t="s">
        <v>1</v>
      </c>
      <c r="C18" s="412">
        <v>10000000</v>
      </c>
      <c r="D18" s="410"/>
      <c r="E18" s="409"/>
      <c r="F18" s="211"/>
      <c r="G18" s="411"/>
      <c r="H18" s="215"/>
      <c r="I18" s="216"/>
      <c r="J18" s="198"/>
    </row>
    <row r="19" spans="2:10" ht="33" customHeight="1">
      <c r="B19" s="350" t="s">
        <v>124</v>
      </c>
      <c r="C19" s="412">
        <v>2068180</v>
      </c>
      <c r="D19" s="410"/>
      <c r="E19" s="409"/>
      <c r="F19" s="582"/>
      <c r="G19" s="411"/>
      <c r="H19" s="215"/>
      <c r="I19" s="216"/>
      <c r="J19" s="198"/>
    </row>
    <row r="20" spans="2:10" ht="51.75" customHeight="1">
      <c r="B20" s="213" t="s">
        <v>546</v>
      </c>
      <c r="C20" s="412"/>
      <c r="D20" s="410">
        <v>90000</v>
      </c>
      <c r="E20" s="409"/>
      <c r="F20" s="211"/>
      <c r="G20" s="411"/>
      <c r="H20" s="215"/>
      <c r="I20" s="216"/>
      <c r="J20" s="198"/>
    </row>
    <row r="21" spans="2:10" ht="31.5" customHeight="1">
      <c r="B21" s="217" t="s">
        <v>10</v>
      </c>
      <c r="C21" s="412"/>
      <c r="D21" s="412">
        <v>7236576</v>
      </c>
      <c r="E21" s="409"/>
      <c r="F21" s="211"/>
      <c r="G21" s="216"/>
      <c r="H21" s="196"/>
      <c r="I21" s="198"/>
      <c r="J21" s="198"/>
    </row>
    <row r="22" spans="2:10" ht="26.25" customHeight="1">
      <c r="B22" s="218"/>
      <c r="C22" s="214"/>
      <c r="D22" s="219"/>
      <c r="E22" s="215"/>
      <c r="F22" s="197"/>
      <c r="G22" s="198"/>
      <c r="H22" s="196"/>
      <c r="I22" s="216"/>
      <c r="J22" s="198"/>
    </row>
    <row r="23" spans="9:19" ht="15.75"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9:19" ht="15.75"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9:19" ht="15.75"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3:19" ht="15.75">
      <c r="C26" s="223"/>
      <c r="D26" s="223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3:19" ht="15.75">
      <c r="C27" s="223"/>
      <c r="D27" s="223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3:19" ht="15.75">
      <c r="C28" s="223"/>
      <c r="D28" s="223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3:19" ht="15.75">
      <c r="C29" s="223"/>
      <c r="D29" s="223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3:19" ht="15.75">
      <c r="C30" s="223"/>
      <c r="D30" s="22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3:19" ht="15.75">
      <c r="C31" s="223"/>
      <c r="D31" s="223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3:19" ht="15.75">
      <c r="C32" s="221"/>
      <c r="D32" s="223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3:19" ht="15.75">
      <c r="C33" s="223"/>
      <c r="D33" s="223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3:19" ht="15.75">
      <c r="C34" s="223"/>
      <c r="D34" s="223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3:19" ht="15.75">
      <c r="C35" s="223"/>
      <c r="D35" s="22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3:19" ht="15.75">
      <c r="C36" s="223"/>
      <c r="D36" s="223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3:19" ht="15.75">
      <c r="C37" s="221"/>
      <c r="D37" s="223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3:19" ht="15.75">
      <c r="C38" s="223"/>
      <c r="D38" s="223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3:4" ht="15.75">
      <c r="C39" s="223"/>
      <c r="D39" s="223"/>
    </row>
    <row r="40" spans="3:4" ht="15.75">
      <c r="C40" s="223"/>
      <c r="D40" s="223"/>
    </row>
    <row r="41" spans="3:4" ht="15.75">
      <c r="C41" s="223"/>
      <c r="D41" s="223"/>
    </row>
    <row r="42" spans="3:4" ht="15.75">
      <c r="C42" s="223"/>
      <c r="D42" s="223"/>
    </row>
    <row r="43" spans="3:4" ht="15.75">
      <c r="C43" s="221"/>
      <c r="D43" s="223"/>
    </row>
    <row r="44" spans="3:4" ht="15.75">
      <c r="C44" s="223"/>
      <c r="D44" s="223"/>
    </row>
    <row r="45" spans="3:4" ht="15.75">
      <c r="C45" s="223"/>
      <c r="D45" s="223"/>
    </row>
    <row r="46" spans="3:4" ht="15.75">
      <c r="C46" s="223"/>
      <c r="D46" s="223"/>
    </row>
    <row r="47" spans="3:4" ht="15.75">
      <c r="C47" s="223"/>
      <c r="D47" s="223"/>
    </row>
  </sheetData>
  <sheetProtection/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61">
      <selection activeCell="C74" sqref="C74"/>
    </sheetView>
  </sheetViews>
  <sheetFormatPr defaultColWidth="9.140625" defaultRowHeight="12.75"/>
  <cols>
    <col min="1" max="1" width="4.57421875" style="612" customWidth="1"/>
    <col min="2" max="2" width="21.00390625" style="612" customWidth="1"/>
    <col min="3" max="3" width="29.421875" style="899" customWidth="1"/>
    <col min="4" max="5" width="18.57421875" style="612" customWidth="1"/>
    <col min="6" max="6" width="6.7109375" style="899" customWidth="1"/>
    <col min="7" max="7" width="12.7109375" style="695" customWidth="1"/>
    <col min="8" max="8" width="11.7109375" style="612" bestFit="1" customWidth="1"/>
    <col min="9" max="10" width="10.00390625" style="612" bestFit="1" customWidth="1"/>
    <col min="11" max="11" width="10.57421875" style="612" bestFit="1" customWidth="1"/>
    <col min="12" max="16384" width="9.140625" style="612" customWidth="1"/>
  </cols>
  <sheetData>
    <row r="1" spans="3:4" ht="19.5" customHeight="1">
      <c r="C1" s="614"/>
      <c r="D1" s="611" t="s">
        <v>168</v>
      </c>
    </row>
    <row r="2" spans="3:4" ht="19.5" customHeight="1">
      <c r="C2" s="614"/>
      <c r="D2" s="613" t="s">
        <v>588</v>
      </c>
    </row>
    <row r="3" spans="3:4" ht="19.5" customHeight="1">
      <c r="C3" s="614"/>
      <c r="D3" s="613" t="s">
        <v>589</v>
      </c>
    </row>
    <row r="4" spans="3:4" ht="19.5" customHeight="1">
      <c r="C4" s="614"/>
      <c r="D4" s="613" t="s">
        <v>560</v>
      </c>
    </row>
    <row r="5" ht="19.5" customHeight="1">
      <c r="C5" s="898"/>
    </row>
    <row r="6" ht="15" customHeight="1"/>
    <row r="7" ht="14.25" customHeight="1"/>
    <row r="8" spans="1:7" s="726" customFormat="1" ht="19.5" customHeight="1">
      <c r="A8" s="900" t="s">
        <v>169</v>
      </c>
      <c r="B8" s="839"/>
      <c r="C8" s="901"/>
      <c r="D8" s="612"/>
      <c r="E8" s="612"/>
      <c r="F8" s="899"/>
      <c r="G8" s="695"/>
    </row>
    <row r="9" spans="1:7" s="726" customFormat="1" ht="19.5" customHeight="1">
      <c r="A9" s="900" t="s">
        <v>170</v>
      </c>
      <c r="B9" s="839"/>
      <c r="C9" s="901"/>
      <c r="D9" s="612"/>
      <c r="E9" s="612"/>
      <c r="F9" s="899"/>
      <c r="G9" s="695"/>
    </row>
    <row r="10" spans="1:3" ht="18.75" customHeight="1">
      <c r="A10" s="900"/>
      <c r="B10" s="902"/>
      <c r="C10" s="901"/>
    </row>
    <row r="11" spans="1:2" ht="13.5">
      <c r="A11" s="685" t="s">
        <v>21</v>
      </c>
      <c r="B11" s="903"/>
    </row>
    <row r="12" spans="3:6" ht="11.25" customHeight="1">
      <c r="C12" s="904"/>
      <c r="D12" s="625"/>
      <c r="E12" s="625" t="s">
        <v>22</v>
      </c>
      <c r="F12" s="1212"/>
    </row>
    <row r="13" spans="1:6" ht="54.75" customHeight="1">
      <c r="A13" s="905" t="s">
        <v>23</v>
      </c>
      <c r="B13" s="905" t="s">
        <v>625</v>
      </c>
      <c r="C13" s="906" t="s">
        <v>171</v>
      </c>
      <c r="D13" s="628" t="s">
        <v>172</v>
      </c>
      <c r="E13" s="628" t="s">
        <v>173</v>
      </c>
      <c r="F13" s="1213" t="s">
        <v>397</v>
      </c>
    </row>
    <row r="14" spans="1:7" s="902" customFormat="1" ht="22.5" customHeight="1">
      <c r="A14" s="907" t="s">
        <v>492</v>
      </c>
      <c r="B14" s="908"/>
      <c r="C14" s="909"/>
      <c r="D14" s="910">
        <f>D15+D19</f>
        <v>9696738.07</v>
      </c>
      <c r="E14" s="910">
        <f>E15+E19</f>
        <v>9280537.5</v>
      </c>
      <c r="F14" s="1214">
        <f aca="true" t="shared" si="0" ref="F14:F19">E14*100/D14</f>
        <v>95.7078290968006</v>
      </c>
      <c r="G14" s="911"/>
    </row>
    <row r="15" spans="1:7" s="902" customFormat="1" ht="24.75" customHeight="1">
      <c r="A15" s="912" t="s">
        <v>174</v>
      </c>
      <c r="B15" s="913"/>
      <c r="C15" s="914"/>
      <c r="D15" s="910">
        <f>D16</f>
        <v>2229734</v>
      </c>
      <c r="E15" s="910">
        <f>E16</f>
        <v>2800226</v>
      </c>
      <c r="F15" s="1214">
        <f t="shared" si="0"/>
        <v>125.58565281778006</v>
      </c>
      <c r="G15" s="915"/>
    </row>
    <row r="16" spans="1:7" s="902" customFormat="1" ht="30" customHeight="1">
      <c r="A16" s="916">
        <v>801</v>
      </c>
      <c r="B16" s="917" t="s">
        <v>148</v>
      </c>
      <c r="C16" s="918"/>
      <c r="D16" s="919">
        <f>SUM(D17:D18)</f>
        <v>2229734</v>
      </c>
      <c r="E16" s="919">
        <f>SUM(E17:E18)</f>
        <v>2800226</v>
      </c>
      <c r="F16" s="1214">
        <f t="shared" si="0"/>
        <v>125.58565281778006</v>
      </c>
      <c r="G16" s="920"/>
    </row>
    <row r="17" spans="1:7" s="902" customFormat="1" ht="29.25" customHeight="1">
      <c r="A17" s="921"/>
      <c r="B17" s="925"/>
      <c r="C17" s="922" t="s">
        <v>318</v>
      </c>
      <c r="D17" s="923">
        <v>1347600</v>
      </c>
      <c r="E17" s="923">
        <v>1982426</v>
      </c>
      <c r="F17" s="1215"/>
      <c r="G17" s="911"/>
    </row>
    <row r="18" spans="1:7" s="902" customFormat="1" ht="33" customHeight="1">
      <c r="A18" s="921"/>
      <c r="B18" s="925"/>
      <c r="C18" s="922" t="s">
        <v>313</v>
      </c>
      <c r="D18" s="923">
        <v>882134</v>
      </c>
      <c r="E18" s="923">
        <v>817800</v>
      </c>
      <c r="F18" s="1215"/>
      <c r="G18" s="911"/>
    </row>
    <row r="19" spans="1:7" s="902" customFormat="1" ht="24.75" customHeight="1">
      <c r="A19" s="912" t="s">
        <v>175</v>
      </c>
      <c r="B19" s="913"/>
      <c r="C19" s="914"/>
      <c r="D19" s="926">
        <f>D20+D22+D34+D38+D47+D51+D56</f>
        <v>7467004.07</v>
      </c>
      <c r="E19" s="926">
        <f>E20+E22+E34+E38+E47+E51+E56</f>
        <v>6480311.5</v>
      </c>
      <c r="F19" s="1216">
        <f t="shared" si="0"/>
        <v>86.78596448120055</v>
      </c>
      <c r="G19" s="911"/>
    </row>
    <row r="20" spans="1:7" s="902" customFormat="1" ht="24.75" customHeight="1">
      <c r="A20" s="818">
        <v>754</v>
      </c>
      <c r="B20" s="927" t="s">
        <v>176</v>
      </c>
      <c r="C20" s="928"/>
      <c r="D20" s="926">
        <f>SUM(D21)</f>
        <v>15000</v>
      </c>
      <c r="E20" s="926">
        <f>SUM(E21)</f>
        <v>0</v>
      </c>
      <c r="F20" s="1216"/>
      <c r="G20" s="911"/>
    </row>
    <row r="21" spans="1:7" s="902" customFormat="1" ht="65.25" customHeight="1">
      <c r="A21" s="929"/>
      <c r="B21" s="930"/>
      <c r="C21" s="922" t="s">
        <v>177</v>
      </c>
      <c r="D21" s="924">
        <v>15000</v>
      </c>
      <c r="E21" s="931"/>
      <c r="F21" s="1217"/>
      <c r="G21" s="911"/>
    </row>
    <row r="22" spans="1:7" s="902" customFormat="1" ht="21.75" customHeight="1">
      <c r="A22" s="818">
        <v>851</v>
      </c>
      <c r="B22" s="701" t="s">
        <v>20</v>
      </c>
      <c r="C22" s="932"/>
      <c r="D22" s="933">
        <f>SUM(D23:D33)</f>
        <v>970100</v>
      </c>
      <c r="E22" s="933">
        <f>SUM(E23:E33)</f>
        <v>1046500</v>
      </c>
      <c r="F22" s="1214">
        <f aca="true" t="shared" si="1" ref="F22:F42">E22*100/D22</f>
        <v>107.87547675497372</v>
      </c>
      <c r="G22" s="920"/>
    </row>
    <row r="23" spans="1:7" s="902" customFormat="1" ht="40.5" customHeight="1">
      <c r="A23" s="934"/>
      <c r="B23" s="935"/>
      <c r="C23" s="922" t="s">
        <v>178</v>
      </c>
      <c r="D23" s="923">
        <v>95000</v>
      </c>
      <c r="E23" s="923">
        <v>95000</v>
      </c>
      <c r="F23" s="1215">
        <f t="shared" si="1"/>
        <v>100</v>
      </c>
      <c r="G23" s="911"/>
    </row>
    <row r="24" spans="1:7" s="902" customFormat="1" ht="27.75" customHeight="1">
      <c r="A24" s="936"/>
      <c r="B24" s="937"/>
      <c r="C24" s="922" t="s">
        <v>179</v>
      </c>
      <c r="D24" s="923">
        <v>440000</v>
      </c>
      <c r="E24" s="923">
        <v>440000</v>
      </c>
      <c r="F24" s="1215">
        <f t="shared" si="1"/>
        <v>100</v>
      </c>
      <c r="G24" s="911"/>
    </row>
    <row r="25" spans="1:7" s="902" customFormat="1" ht="69" customHeight="1">
      <c r="A25" s="936"/>
      <c r="B25" s="938"/>
      <c r="C25" s="922" t="s">
        <v>180</v>
      </c>
      <c r="D25" s="923">
        <v>50000</v>
      </c>
      <c r="E25" s="923">
        <v>50000</v>
      </c>
      <c r="F25" s="1215">
        <f t="shared" si="1"/>
        <v>100</v>
      </c>
      <c r="G25" s="911"/>
    </row>
    <row r="26" spans="1:7" s="902" customFormat="1" ht="31.5" customHeight="1">
      <c r="A26" s="936"/>
      <c r="B26" s="938"/>
      <c r="C26" s="922" t="s">
        <v>181</v>
      </c>
      <c r="D26" s="923">
        <v>10000</v>
      </c>
      <c r="E26" s="923">
        <v>10000</v>
      </c>
      <c r="F26" s="1215">
        <f t="shared" si="1"/>
        <v>100</v>
      </c>
      <c r="G26" s="911"/>
    </row>
    <row r="27" spans="1:7" s="902" customFormat="1" ht="57.75" customHeight="1">
      <c r="A27" s="936"/>
      <c r="B27" s="938"/>
      <c r="C27" s="922" t="s">
        <v>267</v>
      </c>
      <c r="D27" s="923">
        <v>93100</v>
      </c>
      <c r="E27" s="923">
        <f>49500+70000</f>
        <v>119500</v>
      </c>
      <c r="F27" s="1215">
        <f t="shared" si="1"/>
        <v>128.35660580021482</v>
      </c>
      <c r="G27" s="911"/>
    </row>
    <row r="28" spans="1:7" s="902" customFormat="1" ht="41.25" customHeight="1">
      <c r="A28" s="936"/>
      <c r="B28" s="938"/>
      <c r="C28" s="922" t="s">
        <v>268</v>
      </c>
      <c r="D28" s="923">
        <v>60000</v>
      </c>
      <c r="E28" s="923">
        <v>60000</v>
      </c>
      <c r="F28" s="1215">
        <f t="shared" si="1"/>
        <v>100</v>
      </c>
      <c r="G28" s="911"/>
    </row>
    <row r="29" spans="1:7" s="902" customFormat="1" ht="27.75" customHeight="1">
      <c r="A29" s="936"/>
      <c r="B29" s="938"/>
      <c r="C29" s="922" t="s">
        <v>269</v>
      </c>
      <c r="D29" s="923">
        <v>101000</v>
      </c>
      <c r="E29" s="923">
        <v>101000</v>
      </c>
      <c r="F29" s="1215">
        <f t="shared" si="1"/>
        <v>100</v>
      </c>
      <c r="G29" s="911"/>
    </row>
    <row r="30" spans="1:7" s="902" customFormat="1" ht="31.5" customHeight="1">
      <c r="A30" s="936"/>
      <c r="B30" s="938"/>
      <c r="C30" s="922" t="s">
        <v>270</v>
      </c>
      <c r="D30" s="923">
        <v>90000</v>
      </c>
      <c r="E30" s="923">
        <v>90000</v>
      </c>
      <c r="F30" s="1215">
        <f t="shared" si="1"/>
        <v>100</v>
      </c>
      <c r="G30" s="911"/>
    </row>
    <row r="31" spans="1:7" s="902" customFormat="1" ht="30.75" customHeight="1">
      <c r="A31" s="936"/>
      <c r="B31" s="938"/>
      <c r="C31" s="922" t="s">
        <v>271</v>
      </c>
      <c r="D31" s="923">
        <v>25000</v>
      </c>
      <c r="E31" s="923">
        <v>25000</v>
      </c>
      <c r="F31" s="1215">
        <f t="shared" si="1"/>
        <v>100</v>
      </c>
      <c r="G31" s="911"/>
    </row>
    <row r="32" spans="1:7" s="902" customFormat="1" ht="64.5" customHeight="1">
      <c r="A32" s="936"/>
      <c r="B32" s="938"/>
      <c r="C32" s="939" t="s">
        <v>272</v>
      </c>
      <c r="D32" s="940"/>
      <c r="E32" s="940">
        <v>50000</v>
      </c>
      <c r="F32" s="1215"/>
      <c r="G32" s="911"/>
    </row>
    <row r="33" spans="1:7" s="902" customFormat="1" ht="23.25" customHeight="1">
      <c r="A33" s="936"/>
      <c r="B33" s="938"/>
      <c r="C33" s="939" t="s">
        <v>273</v>
      </c>
      <c r="D33" s="940">
        <v>6000</v>
      </c>
      <c r="E33" s="940">
        <v>6000</v>
      </c>
      <c r="F33" s="1215">
        <f t="shared" si="1"/>
        <v>100</v>
      </c>
      <c r="G33" s="911"/>
    </row>
    <row r="34" spans="1:8" s="902" customFormat="1" ht="21" customHeight="1">
      <c r="A34" s="934">
        <v>852</v>
      </c>
      <c r="B34" s="941" t="s">
        <v>378</v>
      </c>
      <c r="C34" s="932"/>
      <c r="D34" s="942">
        <f>SUM(D35:D37)</f>
        <v>1485000</v>
      </c>
      <c r="E34" s="942">
        <f>SUM(E35:E37)</f>
        <v>1235000</v>
      </c>
      <c r="F34" s="1214">
        <f t="shared" si="1"/>
        <v>83.16498316498317</v>
      </c>
      <c r="G34" s="911"/>
      <c r="H34" s="911"/>
    </row>
    <row r="35" spans="1:8" s="902" customFormat="1" ht="46.5" customHeight="1">
      <c r="A35" s="943"/>
      <c r="B35" s="944"/>
      <c r="C35" s="945" t="s">
        <v>274</v>
      </c>
      <c r="D35" s="923">
        <v>1200000</v>
      </c>
      <c r="E35" s="923">
        <v>950000</v>
      </c>
      <c r="F35" s="1215">
        <f t="shared" si="1"/>
        <v>79.16666666666667</v>
      </c>
      <c r="G35" s="911"/>
      <c r="H35" s="911"/>
    </row>
    <row r="36" spans="1:8" s="902" customFormat="1" ht="46.5" customHeight="1">
      <c r="A36" s="946"/>
      <c r="B36" s="696"/>
      <c r="C36" s="947" t="s">
        <v>275</v>
      </c>
      <c r="D36" s="923">
        <v>200000</v>
      </c>
      <c r="E36" s="923">
        <v>200000</v>
      </c>
      <c r="F36" s="1215">
        <f t="shared" si="1"/>
        <v>100</v>
      </c>
      <c r="G36" s="911"/>
      <c r="H36" s="911"/>
    </row>
    <row r="37" spans="1:8" s="902" customFormat="1" ht="46.5" customHeight="1">
      <c r="A37" s="946"/>
      <c r="B37" s="696"/>
      <c r="C37" s="947" t="s">
        <v>276</v>
      </c>
      <c r="D37" s="923">
        <v>85000</v>
      </c>
      <c r="E37" s="923">
        <v>85000</v>
      </c>
      <c r="F37" s="1215">
        <f t="shared" si="1"/>
        <v>100</v>
      </c>
      <c r="G37" s="911"/>
      <c r="H37" s="911"/>
    </row>
    <row r="38" spans="1:8" s="902" customFormat="1" ht="39" customHeight="1">
      <c r="A38" s="948">
        <v>853</v>
      </c>
      <c r="B38" s="949" t="s">
        <v>401</v>
      </c>
      <c r="C38" s="950"/>
      <c r="D38" s="919">
        <f>SUM(D39:D46)</f>
        <v>2127904.07</v>
      </c>
      <c r="E38" s="919">
        <f>SUM(E39:E46)</f>
        <v>1152811.5</v>
      </c>
      <c r="F38" s="1214">
        <f t="shared" si="1"/>
        <v>54.17591498849852</v>
      </c>
      <c r="G38" s="911"/>
      <c r="H38" s="911"/>
    </row>
    <row r="39" spans="1:8" s="902" customFormat="1" ht="33.75" customHeight="1">
      <c r="A39" s="946"/>
      <c r="B39" s="696"/>
      <c r="C39" s="950" t="s">
        <v>277</v>
      </c>
      <c r="D39" s="923">
        <v>142600</v>
      </c>
      <c r="E39" s="923">
        <v>177600</v>
      </c>
      <c r="F39" s="1215">
        <f t="shared" si="1"/>
        <v>124.54417952314165</v>
      </c>
      <c r="G39" s="911"/>
      <c r="H39" s="911"/>
    </row>
    <row r="40" spans="1:8" s="902" customFormat="1" ht="33.75" customHeight="1">
      <c r="A40" s="946"/>
      <c r="B40" s="696"/>
      <c r="C40" s="951" t="s">
        <v>278</v>
      </c>
      <c r="D40" s="923"/>
      <c r="E40" s="923">
        <v>54000</v>
      </c>
      <c r="F40" s="1215"/>
      <c r="G40" s="911"/>
      <c r="H40" s="911"/>
    </row>
    <row r="41" spans="1:8" s="902" customFormat="1" ht="33.75" customHeight="1">
      <c r="A41" s="946"/>
      <c r="B41" s="696"/>
      <c r="C41" s="951" t="s">
        <v>279</v>
      </c>
      <c r="D41" s="923"/>
      <c r="E41" s="923">
        <v>19800</v>
      </c>
      <c r="F41" s="1215"/>
      <c r="G41" s="911"/>
      <c r="H41" s="911"/>
    </row>
    <row r="42" spans="1:8" s="902" customFormat="1" ht="47.25" customHeight="1">
      <c r="A42" s="946"/>
      <c r="B42" s="696"/>
      <c r="C42" s="951" t="s">
        <v>280</v>
      </c>
      <c r="D42" s="923">
        <v>49000</v>
      </c>
      <c r="E42" s="923">
        <v>9000</v>
      </c>
      <c r="F42" s="1215">
        <f t="shared" si="1"/>
        <v>18.367346938775512</v>
      </c>
      <c r="G42" s="911"/>
      <c r="H42" s="911"/>
    </row>
    <row r="43" spans="1:8" s="902" customFormat="1" ht="49.5" customHeight="1">
      <c r="A43" s="946"/>
      <c r="B43" s="952"/>
      <c r="C43" s="947" t="s">
        <v>281</v>
      </c>
      <c r="D43" s="923">
        <v>1640000</v>
      </c>
      <c r="E43" s="923">
        <v>0</v>
      </c>
      <c r="F43" s="1215"/>
      <c r="G43" s="911"/>
      <c r="H43" s="911"/>
    </row>
    <row r="44" spans="1:8" s="902" customFormat="1" ht="49.5" customHeight="1">
      <c r="A44" s="946"/>
      <c r="B44" s="952"/>
      <c r="C44" s="947" t="s">
        <v>282</v>
      </c>
      <c r="D44" s="923">
        <v>221000</v>
      </c>
      <c r="E44" s="923">
        <v>0</v>
      </c>
      <c r="F44" s="1215"/>
      <c r="G44" s="911"/>
      <c r="H44" s="911"/>
    </row>
    <row r="45" spans="1:7" s="902" customFormat="1" ht="60" customHeight="1">
      <c r="A45" s="946"/>
      <c r="B45" s="952"/>
      <c r="C45" s="947" t="s">
        <v>283</v>
      </c>
      <c r="D45" s="923">
        <v>75304.07</v>
      </c>
      <c r="E45" s="923">
        <f>78549.77+13861.73</f>
        <v>92411.5</v>
      </c>
      <c r="F45" s="1215">
        <f aca="true" t="shared" si="2" ref="F45:F83">E45*100/D45</f>
        <v>122.71780263669679</v>
      </c>
      <c r="G45" s="911"/>
    </row>
    <row r="46" spans="1:7" s="902" customFormat="1" ht="45.75" customHeight="1">
      <c r="A46" s="946"/>
      <c r="B46" s="952"/>
      <c r="C46" s="947" t="s">
        <v>284</v>
      </c>
      <c r="D46" s="923"/>
      <c r="E46" s="923">
        <f>680000+120000</f>
        <v>800000</v>
      </c>
      <c r="F46" s="1215"/>
      <c r="G46" s="911"/>
    </row>
    <row r="47" spans="1:7" s="902" customFormat="1" ht="56.25" customHeight="1">
      <c r="A47" s="934">
        <v>900</v>
      </c>
      <c r="B47" s="953" t="s">
        <v>285</v>
      </c>
      <c r="C47" s="954"/>
      <c r="D47" s="910">
        <f>SUM(D48:D50)</f>
        <v>750000</v>
      </c>
      <c r="E47" s="910">
        <f>SUM(E48:E50)</f>
        <v>901000</v>
      </c>
      <c r="F47" s="1214">
        <f t="shared" si="2"/>
        <v>120.13333333333334</v>
      </c>
      <c r="G47" s="911"/>
    </row>
    <row r="48" spans="1:7" s="902" customFormat="1" ht="79.5" customHeight="1">
      <c r="A48" s="955"/>
      <c r="B48" s="956"/>
      <c r="C48" s="680" t="s">
        <v>286</v>
      </c>
      <c r="D48" s="923">
        <v>270000</v>
      </c>
      <c r="E48" s="923">
        <v>271000</v>
      </c>
      <c r="F48" s="1215">
        <f t="shared" si="2"/>
        <v>100.37037037037037</v>
      </c>
      <c r="G48" s="911"/>
    </row>
    <row r="49" spans="1:7" s="960" customFormat="1" ht="42.75" customHeight="1">
      <c r="A49" s="957"/>
      <c r="B49" s="958"/>
      <c r="C49" s="959" t="s">
        <v>287</v>
      </c>
      <c r="D49" s="923">
        <v>30000</v>
      </c>
      <c r="E49" s="924">
        <v>30000</v>
      </c>
      <c r="F49" s="1215">
        <f t="shared" si="2"/>
        <v>100</v>
      </c>
      <c r="G49" s="920"/>
    </row>
    <row r="50" spans="1:7" s="902" customFormat="1" ht="50.25" customHeight="1">
      <c r="A50" s="961"/>
      <c r="B50" s="962"/>
      <c r="C50" s="959" t="s">
        <v>288</v>
      </c>
      <c r="D50" s="923">
        <v>450000</v>
      </c>
      <c r="E50" s="923">
        <v>600000</v>
      </c>
      <c r="F50" s="1215">
        <f t="shared" si="2"/>
        <v>133.33333333333334</v>
      </c>
      <c r="G50" s="911"/>
    </row>
    <row r="51" spans="1:7" s="902" customFormat="1" ht="39" customHeight="1">
      <c r="A51" s="934">
        <v>921</v>
      </c>
      <c r="B51" s="963" t="s">
        <v>570</v>
      </c>
      <c r="C51" s="949"/>
      <c r="D51" s="910">
        <f>SUM(D52:D55)</f>
        <v>173000</v>
      </c>
      <c r="E51" s="910">
        <f>SUM(E52:E55)</f>
        <v>123000</v>
      </c>
      <c r="F51" s="1214">
        <f t="shared" si="2"/>
        <v>71.09826589595376</v>
      </c>
      <c r="G51" s="911"/>
    </row>
    <row r="52" spans="1:7" s="902" customFormat="1" ht="38.25" customHeight="1">
      <c r="A52" s="955"/>
      <c r="B52" s="956"/>
      <c r="C52" s="964" t="s">
        <v>289</v>
      </c>
      <c r="D52" s="923">
        <f>60000+40000</f>
        <v>100000</v>
      </c>
      <c r="E52" s="923">
        <v>25000</v>
      </c>
      <c r="F52" s="1215">
        <f t="shared" si="2"/>
        <v>25</v>
      </c>
      <c r="G52" s="911"/>
    </row>
    <row r="53" spans="1:7" s="902" customFormat="1" ht="46.5" customHeight="1">
      <c r="A53" s="957"/>
      <c r="B53" s="958"/>
      <c r="C53" s="945" t="s">
        <v>290</v>
      </c>
      <c r="D53" s="923">
        <f>45000</f>
        <v>45000</v>
      </c>
      <c r="E53" s="923">
        <v>25000</v>
      </c>
      <c r="F53" s="1215">
        <f t="shared" si="2"/>
        <v>55.55555555555556</v>
      </c>
      <c r="G53" s="911"/>
    </row>
    <row r="54" spans="1:7" s="902" customFormat="1" ht="38.25" customHeight="1">
      <c r="A54" s="957"/>
      <c r="B54" s="958"/>
      <c r="C54" s="965" t="s">
        <v>291</v>
      </c>
      <c r="D54" s="923">
        <v>28000</v>
      </c>
      <c r="E54" s="923">
        <v>28000</v>
      </c>
      <c r="F54" s="1215">
        <f t="shared" si="2"/>
        <v>100</v>
      </c>
      <c r="G54" s="911"/>
    </row>
    <row r="55" spans="1:7" s="902" customFormat="1" ht="38.25" customHeight="1">
      <c r="A55" s="961"/>
      <c r="B55" s="962"/>
      <c r="C55" s="965" t="s">
        <v>292</v>
      </c>
      <c r="D55" s="923"/>
      <c r="E55" s="923">
        <v>45000</v>
      </c>
      <c r="F55" s="1215"/>
      <c r="G55" s="911"/>
    </row>
    <row r="56" spans="1:12" s="902" customFormat="1" ht="34.5" customHeight="1">
      <c r="A56" s="818">
        <v>926</v>
      </c>
      <c r="B56" s="927" t="s">
        <v>293</v>
      </c>
      <c r="C56" s="954"/>
      <c r="D56" s="910">
        <f>SUM(D57:D62)</f>
        <v>1946000</v>
      </c>
      <c r="E56" s="910">
        <f>SUM(E57:E62)</f>
        <v>2022000</v>
      </c>
      <c r="F56" s="1214">
        <f t="shared" si="2"/>
        <v>103.90544707091469</v>
      </c>
      <c r="G56" s="911"/>
      <c r="H56" s="966"/>
      <c r="I56" s="966"/>
      <c r="J56" s="966"/>
      <c r="K56" s="966"/>
      <c r="L56" s="966"/>
    </row>
    <row r="57" spans="1:12" s="970" customFormat="1" ht="93" customHeight="1">
      <c r="A57" s="955"/>
      <c r="B57" s="850"/>
      <c r="C57" s="967" t="s">
        <v>294</v>
      </c>
      <c r="D57" s="923">
        <v>1700000</v>
      </c>
      <c r="E57" s="968">
        <f>150000+1732000</f>
        <v>1882000</v>
      </c>
      <c r="F57" s="1215">
        <f t="shared" si="2"/>
        <v>110.70588235294117</v>
      </c>
      <c r="G57" s="911"/>
      <c r="H57" s="969"/>
      <c r="I57" s="969"/>
      <c r="J57" s="969"/>
      <c r="K57" s="969"/>
      <c r="L57" s="969"/>
    </row>
    <row r="58" spans="1:12" s="970" customFormat="1" ht="50.25" customHeight="1">
      <c r="A58" s="971"/>
      <c r="B58" s="972"/>
      <c r="C58" s="973" t="s">
        <v>295</v>
      </c>
      <c r="D58" s="923">
        <v>100000</v>
      </c>
      <c r="E58" s="968"/>
      <c r="F58" s="1215">
        <f t="shared" si="2"/>
        <v>0</v>
      </c>
      <c r="G58" s="911"/>
      <c r="H58" s="969"/>
      <c r="I58" s="969"/>
      <c r="J58" s="969"/>
      <c r="K58" s="969"/>
      <c r="L58" s="969"/>
    </row>
    <row r="59" spans="1:12" s="970" customFormat="1" ht="33" customHeight="1">
      <c r="A59" s="971"/>
      <c r="B59" s="972"/>
      <c r="C59" s="973" t="s">
        <v>296</v>
      </c>
      <c r="D59" s="923">
        <v>15000</v>
      </c>
      <c r="E59" s="968"/>
      <c r="F59" s="1215">
        <f t="shared" si="2"/>
        <v>0</v>
      </c>
      <c r="G59" s="911"/>
      <c r="H59" s="969"/>
      <c r="I59" s="969"/>
      <c r="J59" s="969"/>
      <c r="K59" s="969"/>
      <c r="L59" s="969"/>
    </row>
    <row r="60" spans="1:12" s="970" customFormat="1" ht="48" customHeight="1">
      <c r="A60" s="971"/>
      <c r="B60" s="972"/>
      <c r="C60" s="973" t="s">
        <v>297</v>
      </c>
      <c r="D60" s="974">
        <v>10000</v>
      </c>
      <c r="E60" s="968"/>
      <c r="F60" s="1215">
        <f t="shared" si="2"/>
        <v>0</v>
      </c>
      <c r="G60" s="911"/>
      <c r="H60" s="969"/>
      <c r="I60" s="969"/>
      <c r="J60" s="969"/>
      <c r="K60" s="969"/>
      <c r="L60" s="969"/>
    </row>
    <row r="61" spans="1:12" s="970" customFormat="1" ht="33" customHeight="1">
      <c r="A61" s="971"/>
      <c r="B61" s="972"/>
      <c r="C61" s="975" t="s">
        <v>298</v>
      </c>
      <c r="D61" s="976">
        <f>115000-19000</f>
        <v>96000</v>
      </c>
      <c r="E61" s="968">
        <v>115000</v>
      </c>
      <c r="F61" s="1215">
        <f t="shared" si="2"/>
        <v>119.79166666666667</v>
      </c>
      <c r="G61" s="911"/>
      <c r="H61" s="969"/>
      <c r="I61" s="969"/>
      <c r="J61" s="969"/>
      <c r="K61" s="969"/>
      <c r="L61" s="969"/>
    </row>
    <row r="62" spans="1:12" s="902" customFormat="1" ht="33.75" customHeight="1">
      <c r="A62" s="971"/>
      <c r="B62" s="972"/>
      <c r="C62" s="977" t="s">
        <v>299</v>
      </c>
      <c r="D62" s="923">
        <v>25000</v>
      </c>
      <c r="E62" s="923">
        <v>25000</v>
      </c>
      <c r="F62" s="1215">
        <f t="shared" si="2"/>
        <v>100</v>
      </c>
      <c r="G62" s="911"/>
      <c r="H62" s="978"/>
      <c r="I62" s="978"/>
      <c r="J62" s="966"/>
      <c r="K62" s="966"/>
      <c r="L62" s="966"/>
    </row>
    <row r="63" spans="1:12" s="902" customFormat="1" ht="30" customHeight="1">
      <c r="A63" s="848" t="s">
        <v>300</v>
      </c>
      <c r="B63" s="979"/>
      <c r="C63" s="980"/>
      <c r="D63" s="942">
        <f>D64+D74</f>
        <v>8041634</v>
      </c>
      <c r="E63" s="942">
        <f>E64+E74</f>
        <v>8161020</v>
      </c>
      <c r="F63" s="1214">
        <f t="shared" si="2"/>
        <v>101.48459877681576</v>
      </c>
      <c r="G63" s="911"/>
      <c r="H63" s="966"/>
      <c r="I63" s="966"/>
      <c r="J63" s="966"/>
      <c r="K63" s="966"/>
      <c r="L63" s="966"/>
    </row>
    <row r="64" spans="1:12" s="902" customFormat="1" ht="27" customHeight="1">
      <c r="A64" s="981" t="s">
        <v>174</v>
      </c>
      <c r="B64" s="982"/>
      <c r="C64" s="983"/>
      <c r="D64" s="984">
        <f>D65+D70+D72</f>
        <v>7276549</v>
      </c>
      <c r="E64" s="984">
        <f>E65+E70+E72</f>
        <v>7341105</v>
      </c>
      <c r="F64" s="1214">
        <f t="shared" si="2"/>
        <v>100.88717879863106</v>
      </c>
      <c r="G64" s="911"/>
      <c r="H64" s="966"/>
      <c r="I64" s="966"/>
      <c r="J64" s="966"/>
      <c r="K64" s="966"/>
      <c r="L64" s="966"/>
    </row>
    <row r="65" spans="1:12" s="902" customFormat="1" ht="19.5" customHeight="1">
      <c r="A65" s="985">
        <v>801</v>
      </c>
      <c r="B65" s="986" t="s">
        <v>148</v>
      </c>
      <c r="C65" s="922"/>
      <c r="D65" s="919">
        <f>SUM(D66:D69)</f>
        <v>5586108</v>
      </c>
      <c r="E65" s="919">
        <f>SUM(E66:E69)</f>
        <v>5583000</v>
      </c>
      <c r="F65" s="1214">
        <f t="shared" si="2"/>
        <v>99.94436197796391</v>
      </c>
      <c r="G65" s="911"/>
      <c r="H65" s="966"/>
      <c r="I65" s="966"/>
      <c r="J65" s="966"/>
      <c r="K65" s="966"/>
      <c r="L65" s="966"/>
    </row>
    <row r="66" spans="1:12" s="902" customFormat="1" ht="30" customHeight="1">
      <c r="A66" s="988"/>
      <c r="B66" s="989"/>
      <c r="C66" s="922" t="s">
        <v>314</v>
      </c>
      <c r="D66" s="923">
        <v>1728789</v>
      </c>
      <c r="E66" s="923">
        <v>2000000</v>
      </c>
      <c r="F66" s="1215">
        <f t="shared" si="2"/>
        <v>115.6879179587561</v>
      </c>
      <c r="G66" s="911"/>
      <c r="H66" s="966"/>
      <c r="I66" s="966"/>
      <c r="J66" s="966"/>
      <c r="K66" s="966"/>
      <c r="L66" s="966"/>
    </row>
    <row r="67" spans="1:12" s="902" customFormat="1" ht="30" customHeight="1">
      <c r="A67" s="988"/>
      <c r="B67" s="989"/>
      <c r="C67" s="922" t="s">
        <v>315</v>
      </c>
      <c r="D67" s="923">
        <v>427812</v>
      </c>
      <c r="E67" s="923">
        <v>350000</v>
      </c>
      <c r="F67" s="1215">
        <f t="shared" si="2"/>
        <v>81.81163688723083</v>
      </c>
      <c r="G67" s="911"/>
      <c r="H67" s="966"/>
      <c r="I67" s="966"/>
      <c r="J67" s="966"/>
      <c r="K67" s="966"/>
      <c r="L67" s="966"/>
    </row>
    <row r="68" spans="1:12" s="902" customFormat="1" ht="30" customHeight="1">
      <c r="A68" s="988"/>
      <c r="B68" s="989"/>
      <c r="C68" s="922" t="s">
        <v>316</v>
      </c>
      <c r="D68" s="923">
        <v>175000</v>
      </c>
      <c r="E68" s="923">
        <v>48000</v>
      </c>
      <c r="F68" s="1215">
        <f t="shared" si="2"/>
        <v>27.428571428571427</v>
      </c>
      <c r="G68" s="911"/>
      <c r="H68" s="966"/>
      <c r="I68" s="966"/>
      <c r="J68" s="966"/>
      <c r="K68" s="966"/>
      <c r="L68" s="966"/>
    </row>
    <row r="69" spans="1:12" s="902" customFormat="1" ht="31.5" customHeight="1">
      <c r="A69" s="988"/>
      <c r="B69" s="989"/>
      <c r="C69" s="922" t="s">
        <v>317</v>
      </c>
      <c r="D69" s="923">
        <v>3254507</v>
      </c>
      <c r="E69" s="923">
        <v>3185000</v>
      </c>
      <c r="F69" s="1215">
        <f t="shared" si="2"/>
        <v>97.86428482101897</v>
      </c>
      <c r="G69" s="911"/>
      <c r="H69" s="966"/>
      <c r="I69" s="966"/>
      <c r="J69" s="966"/>
      <c r="K69" s="966"/>
      <c r="L69" s="966"/>
    </row>
    <row r="70" spans="1:12" s="902" customFormat="1" ht="42" customHeight="1">
      <c r="A70" s="934">
        <v>853</v>
      </c>
      <c r="B70" s="986" t="s">
        <v>401</v>
      </c>
      <c r="C70" s="990"/>
      <c r="D70" s="910">
        <f>SUM(D71:D71)</f>
        <v>308105</v>
      </c>
      <c r="E70" s="910">
        <f>SUM(E71:E71)</f>
        <v>308105</v>
      </c>
      <c r="F70" s="1214">
        <f t="shared" si="2"/>
        <v>100</v>
      </c>
      <c r="G70" s="911"/>
      <c r="H70" s="966"/>
      <c r="I70" s="966"/>
      <c r="J70" s="966"/>
      <c r="K70" s="966"/>
      <c r="L70" s="966"/>
    </row>
    <row r="71" spans="1:12" s="993" customFormat="1" ht="42" customHeight="1">
      <c r="A71" s="943"/>
      <c r="B71" s="991"/>
      <c r="C71" s="965" t="s">
        <v>301</v>
      </c>
      <c r="D71" s="923">
        <v>308105</v>
      </c>
      <c r="E71" s="924">
        <v>308105</v>
      </c>
      <c r="F71" s="1215">
        <f t="shared" si="2"/>
        <v>100</v>
      </c>
      <c r="G71" s="911"/>
      <c r="H71" s="992"/>
      <c r="I71" s="992"/>
      <c r="J71" s="992"/>
      <c r="K71" s="992"/>
      <c r="L71" s="992"/>
    </row>
    <row r="72" spans="1:12" s="902" customFormat="1" ht="25.5" customHeight="1">
      <c r="A72" s="948">
        <v>854</v>
      </c>
      <c r="B72" s="917" t="s">
        <v>354</v>
      </c>
      <c r="C72" s="922"/>
      <c r="D72" s="994">
        <f>D73</f>
        <v>1382336</v>
      </c>
      <c r="E72" s="994">
        <f>E73</f>
        <v>1450000</v>
      </c>
      <c r="F72" s="1214">
        <f t="shared" si="2"/>
        <v>104.89490254178435</v>
      </c>
      <c r="G72" s="920"/>
      <c r="H72" s="978"/>
      <c r="I72" s="966"/>
      <c r="J72" s="966"/>
      <c r="K72" s="966"/>
      <c r="L72" s="966"/>
    </row>
    <row r="73" spans="1:12" s="902" customFormat="1" ht="43.5" customHeight="1">
      <c r="A73" s="995"/>
      <c r="B73" s="996"/>
      <c r="C73" s="922" t="s">
        <v>319</v>
      </c>
      <c r="D73" s="923">
        <v>1382336</v>
      </c>
      <c r="E73" s="923">
        <v>1450000</v>
      </c>
      <c r="F73" s="1215">
        <f t="shared" si="2"/>
        <v>104.89490254178435</v>
      </c>
      <c r="G73" s="911"/>
      <c r="H73" s="966"/>
      <c r="I73" s="966"/>
      <c r="J73" s="966"/>
      <c r="K73" s="966"/>
      <c r="L73" s="966"/>
    </row>
    <row r="74" spans="1:12" s="902" customFormat="1" ht="29.25" customHeight="1">
      <c r="A74" s="912" t="s">
        <v>175</v>
      </c>
      <c r="B74" s="997"/>
      <c r="C74" s="998"/>
      <c r="D74" s="999">
        <f>D75+D79+D81</f>
        <v>765085</v>
      </c>
      <c r="E74" s="999">
        <f>E75+E79+E81</f>
        <v>819915</v>
      </c>
      <c r="F74" s="1214">
        <f t="shared" si="2"/>
        <v>107.16652398099558</v>
      </c>
      <c r="G74" s="911"/>
      <c r="H74" s="966"/>
      <c r="I74" s="966"/>
      <c r="J74" s="966"/>
      <c r="K74" s="966"/>
      <c r="L74" s="966"/>
    </row>
    <row r="75" spans="1:12" s="902" customFormat="1" ht="34.5" customHeight="1">
      <c r="A75" s="936">
        <v>630</v>
      </c>
      <c r="B75" s="1000" t="s">
        <v>302</v>
      </c>
      <c r="C75" s="987" t="s">
        <v>21</v>
      </c>
      <c r="D75" s="910">
        <f>SUM(D76:D78)</f>
        <v>90000</v>
      </c>
      <c r="E75" s="910">
        <f>SUM(E76:E78)</f>
        <v>95000</v>
      </c>
      <c r="F75" s="1214">
        <f t="shared" si="2"/>
        <v>105.55555555555556</v>
      </c>
      <c r="G75" s="911"/>
      <c r="H75" s="966"/>
      <c r="I75" s="966"/>
      <c r="J75" s="966"/>
      <c r="K75" s="966"/>
      <c r="L75" s="966"/>
    </row>
    <row r="76" spans="1:12" s="902" customFormat="1" ht="39" customHeight="1">
      <c r="A76" s="943"/>
      <c r="B76" s="1001"/>
      <c r="C76" s="1002" t="s">
        <v>303</v>
      </c>
      <c r="D76" s="923">
        <v>60000</v>
      </c>
      <c r="E76" s="924">
        <v>60000</v>
      </c>
      <c r="F76" s="1215">
        <f t="shared" si="2"/>
        <v>100</v>
      </c>
      <c r="G76" s="911"/>
      <c r="H76" s="978"/>
      <c r="I76" s="966"/>
      <c r="J76" s="966"/>
      <c r="K76" s="966"/>
      <c r="L76" s="966"/>
    </row>
    <row r="77" spans="1:12" s="902" customFormat="1" ht="30" customHeight="1">
      <c r="A77" s="957"/>
      <c r="B77" s="1003"/>
      <c r="C77" s="680" t="s">
        <v>304</v>
      </c>
      <c r="D77" s="923">
        <v>30000</v>
      </c>
      <c r="E77" s="923">
        <v>30000</v>
      </c>
      <c r="F77" s="1215">
        <f t="shared" si="2"/>
        <v>100</v>
      </c>
      <c r="G77" s="911"/>
      <c r="H77" s="966"/>
      <c r="I77" s="966"/>
      <c r="J77" s="966"/>
      <c r="K77" s="966"/>
      <c r="L77" s="966"/>
    </row>
    <row r="78" spans="1:12" s="902" customFormat="1" ht="30" customHeight="1">
      <c r="A78" s="957"/>
      <c r="B78" s="1003"/>
      <c r="C78" s="680" t="s">
        <v>263</v>
      </c>
      <c r="D78" s="923"/>
      <c r="E78" s="923">
        <v>5000</v>
      </c>
      <c r="F78" s="1215"/>
      <c r="G78" s="911"/>
      <c r="H78" s="966"/>
      <c r="I78" s="966"/>
      <c r="J78" s="966"/>
      <c r="K78" s="966"/>
      <c r="L78" s="966"/>
    </row>
    <row r="79" spans="1:12" s="902" customFormat="1" ht="26.25" customHeight="1">
      <c r="A79" s="948">
        <v>852</v>
      </c>
      <c r="B79" s="1004" t="s">
        <v>378</v>
      </c>
      <c r="C79" s="990"/>
      <c r="D79" s="910">
        <f>SUM(D80:D80)</f>
        <v>200000</v>
      </c>
      <c r="E79" s="910">
        <f>SUM(E80:E80)</f>
        <v>200000</v>
      </c>
      <c r="F79" s="1214">
        <f t="shared" si="2"/>
        <v>100</v>
      </c>
      <c r="G79" s="911"/>
      <c r="H79" s="966"/>
      <c r="I79" s="966"/>
      <c r="J79" s="966"/>
      <c r="K79" s="966"/>
      <c r="L79" s="966"/>
    </row>
    <row r="80" spans="1:7" s="902" customFormat="1" ht="44.25" customHeight="1">
      <c r="A80" s="972"/>
      <c r="B80" s="972"/>
      <c r="C80" s="990" t="s">
        <v>305</v>
      </c>
      <c r="D80" s="923">
        <v>200000</v>
      </c>
      <c r="E80" s="923">
        <v>200000</v>
      </c>
      <c r="F80" s="1215">
        <f t="shared" si="2"/>
        <v>100</v>
      </c>
      <c r="G80" s="911"/>
    </row>
    <row r="81" spans="1:7" s="902" customFormat="1" ht="38.25">
      <c r="A81" s="934">
        <v>853</v>
      </c>
      <c r="B81" s="986" t="s">
        <v>401</v>
      </c>
      <c r="C81" s="990"/>
      <c r="D81" s="1005">
        <f>SUM(D82)</f>
        <v>475085</v>
      </c>
      <c r="E81" s="1005">
        <f>SUM(E82)</f>
        <v>524915</v>
      </c>
      <c r="F81" s="1214">
        <f t="shared" si="2"/>
        <v>110.48864939958112</v>
      </c>
      <c r="G81" s="915"/>
    </row>
    <row r="82" spans="1:7" s="902" customFormat="1" ht="48" customHeight="1">
      <c r="A82" s="930"/>
      <c r="B82" s="930"/>
      <c r="C82" s="990" t="s">
        <v>264</v>
      </c>
      <c r="D82" s="923">
        <f>1000000-524915</f>
        <v>475085</v>
      </c>
      <c r="E82" s="923">
        <v>524915</v>
      </c>
      <c r="F82" s="1215"/>
      <c r="G82" s="911"/>
    </row>
    <row r="83" spans="1:7" s="902" customFormat="1" ht="18.75">
      <c r="A83" s="1260" t="s">
        <v>138</v>
      </c>
      <c r="B83" s="1261"/>
      <c r="C83" s="1262"/>
      <c r="D83" s="1006">
        <f>D14+D63</f>
        <v>17738372.07</v>
      </c>
      <c r="E83" s="1006">
        <f>E14+E63</f>
        <v>17441557.5</v>
      </c>
      <c r="F83" s="1214">
        <f t="shared" si="2"/>
        <v>98.32670907550762</v>
      </c>
      <c r="G83" s="915"/>
    </row>
    <row r="84" spans="3:7" s="902" customFormat="1" ht="12.75">
      <c r="C84" s="901"/>
      <c r="F84" s="901"/>
      <c r="G84" s="915"/>
    </row>
    <row r="85" spans="3:7" s="902" customFormat="1" ht="12.75">
      <c r="C85" s="901"/>
      <c r="F85" s="901"/>
      <c r="G85" s="911"/>
    </row>
    <row r="86" spans="3:7" s="902" customFormat="1" ht="12.75">
      <c r="C86" s="901"/>
      <c r="F86" s="901"/>
      <c r="G86" s="911"/>
    </row>
    <row r="87" spans="3:7" s="902" customFormat="1" ht="12.75">
      <c r="C87" s="901"/>
      <c r="F87" s="901"/>
      <c r="G87" s="911"/>
    </row>
    <row r="88" spans="3:7" s="902" customFormat="1" ht="12.75">
      <c r="C88" s="901"/>
      <c r="F88" s="901"/>
      <c r="G88" s="911"/>
    </row>
    <row r="89" spans="3:7" s="902" customFormat="1" ht="12.75">
      <c r="C89" s="901"/>
      <c r="F89" s="901"/>
      <c r="G89" s="911"/>
    </row>
    <row r="90" spans="3:7" s="902" customFormat="1" ht="12.75">
      <c r="C90" s="901"/>
      <c r="F90" s="901"/>
      <c r="G90" s="911"/>
    </row>
    <row r="91" spans="3:7" s="902" customFormat="1" ht="12.75">
      <c r="C91" s="901"/>
      <c r="F91" s="901"/>
      <c r="G91" s="911"/>
    </row>
    <row r="92" spans="3:7" s="902" customFormat="1" ht="12.75">
      <c r="C92" s="901"/>
      <c r="F92" s="901"/>
      <c r="G92" s="911"/>
    </row>
    <row r="93" spans="3:7" s="902" customFormat="1" ht="12.75">
      <c r="C93" s="901"/>
      <c r="F93" s="901"/>
      <c r="G93" s="911"/>
    </row>
    <row r="94" spans="3:7" s="902" customFormat="1" ht="12.75">
      <c r="C94" s="901"/>
      <c r="F94" s="901"/>
      <c r="G94" s="911"/>
    </row>
    <row r="95" spans="3:7" s="902" customFormat="1" ht="12.75">
      <c r="C95" s="901"/>
      <c r="F95" s="901"/>
      <c r="G95" s="911"/>
    </row>
    <row r="96" spans="3:7" s="902" customFormat="1" ht="12.75">
      <c r="C96" s="901"/>
      <c r="F96" s="901"/>
      <c r="G96" s="911"/>
    </row>
    <row r="97" spans="3:7" s="902" customFormat="1" ht="12.75">
      <c r="C97" s="901"/>
      <c r="F97" s="901"/>
      <c r="G97" s="911"/>
    </row>
    <row r="98" spans="3:7" s="902" customFormat="1" ht="12.75">
      <c r="C98" s="901"/>
      <c r="F98" s="901"/>
      <c r="G98" s="911"/>
    </row>
    <row r="99" spans="3:7" s="902" customFormat="1" ht="12.75">
      <c r="C99" s="901"/>
      <c r="F99" s="901"/>
      <c r="G99" s="911"/>
    </row>
    <row r="100" spans="3:7" s="902" customFormat="1" ht="12.75">
      <c r="C100" s="901"/>
      <c r="F100" s="901"/>
      <c r="G100" s="911"/>
    </row>
    <row r="101" spans="3:7" s="902" customFormat="1" ht="12.75">
      <c r="C101" s="901"/>
      <c r="F101" s="901"/>
      <c r="G101" s="911"/>
    </row>
  </sheetData>
  <sheetProtection/>
  <mergeCells count="1">
    <mergeCell ref="A83:C83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421875" style="612" customWidth="1"/>
    <col min="2" max="2" width="23.8515625" style="612" customWidth="1"/>
    <col min="3" max="3" width="26.00390625" style="612" customWidth="1"/>
    <col min="4" max="4" width="19.57421875" style="612" customWidth="1"/>
    <col min="5" max="5" width="18.00390625" style="612" customWidth="1"/>
    <col min="6" max="6" width="6.7109375" style="899" customWidth="1"/>
    <col min="7" max="7" width="24.7109375" style="612" customWidth="1"/>
    <col min="8" max="8" width="9.140625" style="612" customWidth="1"/>
    <col min="9" max="9" width="8.8515625" style="612" customWidth="1"/>
    <col min="10" max="16384" width="9.140625" style="612" customWidth="1"/>
  </cols>
  <sheetData>
    <row r="1" spans="3:4" ht="25.5" customHeight="1">
      <c r="C1" s="614"/>
      <c r="D1" s="1211" t="s">
        <v>306</v>
      </c>
    </row>
    <row r="2" spans="3:4" ht="25.5" customHeight="1">
      <c r="C2" s="614"/>
      <c r="D2" s="613" t="s">
        <v>588</v>
      </c>
    </row>
    <row r="3" spans="3:4" ht="25.5" customHeight="1">
      <c r="C3" s="614"/>
      <c r="D3" s="613" t="s">
        <v>589</v>
      </c>
    </row>
    <row r="4" spans="3:4" ht="25.5" customHeight="1">
      <c r="C4" s="614"/>
      <c r="D4" s="613" t="s">
        <v>560</v>
      </c>
    </row>
    <row r="5" spans="3:4" ht="18" customHeight="1">
      <c r="C5" s="614"/>
      <c r="D5" s="614"/>
    </row>
    <row r="6" spans="1:6" s="726" customFormat="1" ht="17.25" customHeight="1">
      <c r="A6" s="900" t="s">
        <v>307</v>
      </c>
      <c r="B6" s="900"/>
      <c r="C6" s="1007"/>
      <c r="D6" s="612"/>
      <c r="E6" s="612"/>
      <c r="F6" s="899"/>
    </row>
    <row r="7" spans="1:6" s="726" customFormat="1" ht="17.25" customHeight="1">
      <c r="A7" s="900" t="s">
        <v>170</v>
      </c>
      <c r="B7" s="900"/>
      <c r="C7" s="1007"/>
      <c r="D7" s="612"/>
      <c r="E7" s="612"/>
      <c r="F7" s="899"/>
    </row>
    <row r="8" spans="1:2" ht="13.5">
      <c r="A8" s="685" t="s">
        <v>21</v>
      </c>
      <c r="B8" s="903"/>
    </row>
    <row r="9" spans="3:6" ht="11.25" customHeight="1">
      <c r="C9" s="1008"/>
      <c r="D9" s="1009"/>
      <c r="E9" s="1010" t="s">
        <v>22</v>
      </c>
      <c r="F9" s="1218"/>
    </row>
    <row r="10" spans="1:6" ht="29.25" customHeight="1">
      <c r="A10" s="905" t="s">
        <v>23</v>
      </c>
      <c r="B10" s="905" t="s">
        <v>625</v>
      </c>
      <c r="C10" s="905" t="s">
        <v>171</v>
      </c>
      <c r="D10" s="628" t="s">
        <v>172</v>
      </c>
      <c r="E10" s="628" t="s">
        <v>173</v>
      </c>
      <c r="F10" s="1213" t="s">
        <v>397</v>
      </c>
    </row>
    <row r="11" spans="1:6" ht="24" customHeight="1">
      <c r="A11" s="848" t="s">
        <v>492</v>
      </c>
      <c r="B11" s="1011"/>
      <c r="C11" s="1012"/>
      <c r="D11" s="1013">
        <f>D12+D16+D19</f>
        <v>16097923.58</v>
      </c>
      <c r="E11" s="1013">
        <f>E12+E16+E19</f>
        <v>15763972.25</v>
      </c>
      <c r="F11" s="1219">
        <f aca="true" t="shared" si="0" ref="F11:F41">E11*100/D11</f>
        <v>97.92550058807025</v>
      </c>
    </row>
    <row r="12" spans="1:6" s="815" customFormat="1" ht="24" customHeight="1">
      <c r="A12" s="981" t="s">
        <v>308</v>
      </c>
      <c r="B12" s="1014"/>
      <c r="C12" s="1015"/>
      <c r="D12" s="1016">
        <f>D13</f>
        <v>4915300</v>
      </c>
      <c r="E12" s="1016">
        <f>E13</f>
        <v>4712000</v>
      </c>
      <c r="F12" s="1219">
        <f t="shared" si="0"/>
        <v>95.86393505991497</v>
      </c>
    </row>
    <row r="13" spans="1:7" ht="31.5" customHeight="1">
      <c r="A13" s="1017">
        <v>921</v>
      </c>
      <c r="B13" s="953" t="s">
        <v>570</v>
      </c>
      <c r="C13" s="1018"/>
      <c r="D13" s="1013">
        <f>D14+D15</f>
        <v>4915300</v>
      </c>
      <c r="E13" s="1013">
        <f>E14+E15</f>
        <v>4712000</v>
      </c>
      <c r="F13" s="1219">
        <f t="shared" si="0"/>
        <v>95.86393505991497</v>
      </c>
      <c r="G13" s="870"/>
    </row>
    <row r="14" spans="1:7" ht="22.5" customHeight="1">
      <c r="A14" s="1019"/>
      <c r="B14" s="1020"/>
      <c r="C14" s="1021" t="s">
        <v>309</v>
      </c>
      <c r="D14" s="923">
        <v>3541900</v>
      </c>
      <c r="E14" s="923">
        <v>3472000</v>
      </c>
      <c r="F14" s="1220">
        <f t="shared" si="0"/>
        <v>98.02648296112257</v>
      </c>
      <c r="G14" s="870"/>
    </row>
    <row r="15" spans="1:7" ht="22.5" customHeight="1">
      <c r="A15" s="682"/>
      <c r="B15" s="1023"/>
      <c r="C15" s="1021" t="s">
        <v>310</v>
      </c>
      <c r="D15" s="940">
        <v>1373400</v>
      </c>
      <c r="E15" s="940">
        <v>1240000</v>
      </c>
      <c r="F15" s="1220">
        <f t="shared" si="0"/>
        <v>90.28687927770497</v>
      </c>
      <c r="G15" s="870"/>
    </row>
    <row r="16" spans="1:7" ht="26.25" customHeight="1">
      <c r="A16" s="981" t="s">
        <v>311</v>
      </c>
      <c r="B16" s="1024"/>
      <c r="C16" s="1021"/>
      <c r="D16" s="1016">
        <f>D17</f>
        <v>10840561.08</v>
      </c>
      <c r="E16" s="1016">
        <f>E17</f>
        <v>11000184.75</v>
      </c>
      <c r="F16" s="1219">
        <f t="shared" si="0"/>
        <v>101.47246686607849</v>
      </c>
      <c r="G16" s="870"/>
    </row>
    <row r="17" spans="1:7" ht="28.5" customHeight="1">
      <c r="A17" s="1025">
        <v>600</v>
      </c>
      <c r="B17" s="1004" t="s">
        <v>25</v>
      </c>
      <c r="C17" s="1021"/>
      <c r="D17" s="1013">
        <f>D18</f>
        <v>10840561.08</v>
      </c>
      <c r="E17" s="1013">
        <f>E18</f>
        <v>11000184.75</v>
      </c>
      <c r="F17" s="1219">
        <f t="shared" si="0"/>
        <v>101.47246686607849</v>
      </c>
      <c r="G17" s="870"/>
    </row>
    <row r="18" spans="1:7" ht="34.5" customHeight="1">
      <c r="A18" s="722"/>
      <c r="B18" s="1026"/>
      <c r="C18" s="680" t="s">
        <v>312</v>
      </c>
      <c r="D18" s="923">
        <f>10995992.22-92060.08+36631.61-100002.67</f>
        <v>10840561.08</v>
      </c>
      <c r="E18" s="923">
        <v>11000184.75</v>
      </c>
      <c r="F18" s="1220">
        <f t="shared" si="0"/>
        <v>101.47246686607849</v>
      </c>
      <c r="G18" s="870"/>
    </row>
    <row r="19" spans="1:7" ht="24" customHeight="1">
      <c r="A19" s="912" t="s">
        <v>175</v>
      </c>
      <c r="B19" s="1027"/>
      <c r="C19" s="1018"/>
      <c r="D19" s="1016">
        <f>D20+D22+D24+D27+D29</f>
        <v>342062.5</v>
      </c>
      <c r="E19" s="1016">
        <f>E20+E22+E24+E27+E29</f>
        <v>51787.5</v>
      </c>
      <c r="F19" s="1219">
        <f t="shared" si="0"/>
        <v>15.139777087520555</v>
      </c>
      <c r="G19" s="870"/>
    </row>
    <row r="20" spans="1:7" ht="24" customHeight="1">
      <c r="A20" s="1025">
        <v>600</v>
      </c>
      <c r="B20" s="1004" t="s">
        <v>25</v>
      </c>
      <c r="C20" s="1018"/>
      <c r="D20" s="1013">
        <f>SUM(D21)</f>
        <v>200000</v>
      </c>
      <c r="E20" s="1013">
        <f>SUM(E21)</f>
        <v>0</v>
      </c>
      <c r="F20" s="1219">
        <f t="shared" si="0"/>
        <v>0</v>
      </c>
      <c r="G20" s="870"/>
    </row>
    <row r="21" spans="1:7" ht="42.75" customHeight="1">
      <c r="A21" s="722"/>
      <c r="B21" s="987"/>
      <c r="C21" s="680" t="s">
        <v>326</v>
      </c>
      <c r="D21" s="1022">
        <v>200000</v>
      </c>
      <c r="E21" s="1016"/>
      <c r="F21" s="1219"/>
      <c r="G21" s="870"/>
    </row>
    <row r="22" spans="1:7" ht="24" customHeight="1">
      <c r="A22" s="660">
        <v>750</v>
      </c>
      <c r="B22" s="1028" t="s">
        <v>144</v>
      </c>
      <c r="C22" s="990"/>
      <c r="D22" s="1013">
        <f>SUM(D23)</f>
        <v>5062.5</v>
      </c>
      <c r="E22" s="1013">
        <f>SUM(E23)</f>
        <v>32287.5</v>
      </c>
      <c r="F22" s="1219">
        <f>E22*100/D22</f>
        <v>637.7777777777778</v>
      </c>
      <c r="G22" s="870"/>
    </row>
    <row r="23" spans="1:7" ht="52.5" customHeight="1">
      <c r="A23" s="929"/>
      <c r="B23" s="954"/>
      <c r="C23" s="990" t="s">
        <v>327</v>
      </c>
      <c r="D23" s="1022">
        <v>5062.5</v>
      </c>
      <c r="E23" s="1022">
        <v>32287.5</v>
      </c>
      <c r="F23" s="1219"/>
      <c r="G23" s="870"/>
    </row>
    <row r="24" spans="1:7" ht="24" customHeight="1">
      <c r="A24" s="936">
        <v>851</v>
      </c>
      <c r="B24" s="952" t="s">
        <v>20</v>
      </c>
      <c r="C24" s="1018"/>
      <c r="D24" s="1013">
        <f>SUM(D25:D26)</f>
        <v>100000</v>
      </c>
      <c r="E24" s="1013">
        <f>SUM(E25:E26)</f>
        <v>7500</v>
      </c>
      <c r="F24" s="1219">
        <f>E24*100/D24</f>
        <v>7.5</v>
      </c>
      <c r="G24" s="870"/>
    </row>
    <row r="25" spans="1:7" ht="69.75" customHeight="1">
      <c r="A25" s="1029"/>
      <c r="B25" s="944"/>
      <c r="C25" s="680" t="s">
        <v>328</v>
      </c>
      <c r="D25" s="1030">
        <f>100000</f>
        <v>100000</v>
      </c>
      <c r="E25" s="1022">
        <v>0</v>
      </c>
      <c r="F25" s="1219"/>
      <c r="G25" s="870"/>
    </row>
    <row r="26" spans="1:7" ht="84.75" customHeight="1">
      <c r="A26" s="1031"/>
      <c r="B26" s="699"/>
      <c r="C26" s="680" t="s">
        <v>329</v>
      </c>
      <c r="D26" s="1030"/>
      <c r="E26" s="1022">
        <v>7500</v>
      </c>
      <c r="F26" s="1219"/>
      <c r="G26" s="870"/>
    </row>
    <row r="27" spans="1:7" ht="33" customHeight="1">
      <c r="A27" s="936">
        <v>900</v>
      </c>
      <c r="B27" s="1032" t="s">
        <v>330</v>
      </c>
      <c r="C27" s="1033"/>
      <c r="D27" s="1005">
        <f>D28</f>
        <v>12000</v>
      </c>
      <c r="E27" s="1005">
        <f>E28</f>
        <v>12000</v>
      </c>
      <c r="F27" s="1220">
        <f t="shared" si="0"/>
        <v>100</v>
      </c>
      <c r="G27" s="870"/>
    </row>
    <row r="28" spans="1:11" ht="42.75" customHeight="1">
      <c r="A28" s="1019"/>
      <c r="B28" s="1034"/>
      <c r="C28" s="1035" t="s">
        <v>287</v>
      </c>
      <c r="D28" s="923">
        <v>12000</v>
      </c>
      <c r="E28" s="968">
        <v>12000</v>
      </c>
      <c r="F28" s="1220">
        <f t="shared" si="0"/>
        <v>100</v>
      </c>
      <c r="G28" s="1036"/>
      <c r="H28" s="1036"/>
      <c r="I28" s="1036"/>
      <c r="J28" s="1036"/>
      <c r="K28" s="1036"/>
    </row>
    <row r="29" spans="1:11" ht="30.75" customHeight="1">
      <c r="A29" s="1025">
        <v>921</v>
      </c>
      <c r="B29" s="949" t="s">
        <v>570</v>
      </c>
      <c r="C29" s="959"/>
      <c r="D29" s="910">
        <f>SUM(D30)</f>
        <v>25000</v>
      </c>
      <c r="E29" s="910">
        <f>SUM(E30)</f>
        <v>0</v>
      </c>
      <c r="F29" s="1220"/>
      <c r="G29" s="1036"/>
      <c r="H29" s="1036"/>
      <c r="I29" s="1036"/>
      <c r="J29" s="1036"/>
      <c r="K29" s="1036"/>
    </row>
    <row r="30" spans="1:11" ht="64.5" customHeight="1">
      <c r="A30" s="1019"/>
      <c r="B30" s="954"/>
      <c r="C30" s="959" t="s">
        <v>331</v>
      </c>
      <c r="D30" s="924">
        <v>25000</v>
      </c>
      <c r="E30" s="968"/>
      <c r="F30" s="1220"/>
      <c r="G30" s="1036"/>
      <c r="H30" s="1036"/>
      <c r="I30" s="1036"/>
      <c r="J30" s="1036"/>
      <c r="K30" s="1036"/>
    </row>
    <row r="31" spans="1:11" ht="30.75" customHeight="1">
      <c r="A31" s="848" t="s">
        <v>300</v>
      </c>
      <c r="B31" s="893"/>
      <c r="C31" s="1037"/>
      <c r="D31" s="1038">
        <f>D32+D35</f>
        <v>4774100</v>
      </c>
      <c r="E31" s="942">
        <f>E32+E35</f>
        <v>4669600</v>
      </c>
      <c r="F31" s="1219">
        <f t="shared" si="0"/>
        <v>97.81110575815337</v>
      </c>
      <c r="G31" s="1036"/>
      <c r="H31" s="1036"/>
      <c r="I31" s="1036"/>
      <c r="J31" s="1036"/>
      <c r="K31" s="1036"/>
    </row>
    <row r="32" spans="1:11" ht="33" customHeight="1">
      <c r="A32" s="1031" t="s">
        <v>308</v>
      </c>
      <c r="B32" s="1039"/>
      <c r="C32" s="1040"/>
      <c r="D32" s="1041">
        <f>D33</f>
        <v>2618700</v>
      </c>
      <c r="E32" s="1041">
        <f>E33</f>
        <v>2574000</v>
      </c>
      <c r="F32" s="1220">
        <f t="shared" si="0"/>
        <v>98.29304616794593</v>
      </c>
      <c r="G32" s="1036"/>
      <c r="H32" s="1036"/>
      <c r="I32" s="1036"/>
      <c r="J32" s="1036"/>
      <c r="K32" s="1036"/>
    </row>
    <row r="33" spans="1:6" ht="27" customHeight="1">
      <c r="A33" s="1025">
        <v>921</v>
      </c>
      <c r="B33" s="953" t="s">
        <v>570</v>
      </c>
      <c r="C33" s="980"/>
      <c r="D33" s="1038">
        <f>D34</f>
        <v>2618700</v>
      </c>
      <c r="E33" s="1038">
        <f>E34</f>
        <v>2574000</v>
      </c>
      <c r="F33" s="1219">
        <f t="shared" si="0"/>
        <v>98.29304616794593</v>
      </c>
    </row>
    <row r="34" spans="1:6" ht="19.5" customHeight="1">
      <c r="A34" s="1042"/>
      <c r="B34" s="954"/>
      <c r="C34" s="680" t="s">
        <v>332</v>
      </c>
      <c r="D34" s="923">
        <v>2618700</v>
      </c>
      <c r="E34" s="923">
        <v>2574000</v>
      </c>
      <c r="F34" s="1220">
        <f t="shared" si="0"/>
        <v>98.29304616794593</v>
      </c>
    </row>
    <row r="35" spans="1:6" ht="23.25" customHeight="1">
      <c r="A35" s="912" t="s">
        <v>175</v>
      </c>
      <c r="B35" s="1043"/>
      <c r="C35" s="680"/>
      <c r="D35" s="999">
        <f>D36+D39</f>
        <v>2155400</v>
      </c>
      <c r="E35" s="999">
        <f>E36+E39</f>
        <v>2095600</v>
      </c>
      <c r="F35" s="1219">
        <f t="shared" si="0"/>
        <v>97.22557297949336</v>
      </c>
    </row>
    <row r="36" spans="1:6" ht="21" customHeight="1">
      <c r="A36" s="1034">
        <v>852</v>
      </c>
      <c r="B36" s="1044" t="s">
        <v>378</v>
      </c>
      <c r="C36" s="990"/>
      <c r="D36" s="910">
        <f>D37+D38</f>
        <v>1005400</v>
      </c>
      <c r="E36" s="910">
        <f>E37+E38</f>
        <v>1015600</v>
      </c>
      <c r="F36" s="1219">
        <f t="shared" si="0"/>
        <v>101.01452158344938</v>
      </c>
    </row>
    <row r="37" spans="1:6" ht="58.5" customHeight="1">
      <c r="A37" s="1020"/>
      <c r="B37" s="1045"/>
      <c r="C37" s="965" t="s">
        <v>333</v>
      </c>
      <c r="D37" s="923">
        <v>598400</v>
      </c>
      <c r="E37" s="923">
        <v>608600</v>
      </c>
      <c r="F37" s="1220">
        <f t="shared" si="0"/>
        <v>101.70454545454545</v>
      </c>
    </row>
    <row r="38" spans="1:6" ht="45" customHeight="1">
      <c r="A38" s="1023"/>
      <c r="B38" s="1046"/>
      <c r="C38" s="965" t="s">
        <v>334</v>
      </c>
      <c r="D38" s="923">
        <v>407000</v>
      </c>
      <c r="E38" s="923">
        <v>407000</v>
      </c>
      <c r="F38" s="1220">
        <f t="shared" si="0"/>
        <v>100</v>
      </c>
    </row>
    <row r="39" spans="1:6" ht="30" customHeight="1">
      <c r="A39" s="667">
        <v>853</v>
      </c>
      <c r="B39" s="1047" t="s">
        <v>401</v>
      </c>
      <c r="C39" s="965"/>
      <c r="D39" s="910">
        <f>D40</f>
        <v>1150000</v>
      </c>
      <c r="E39" s="910">
        <f>E40</f>
        <v>1080000</v>
      </c>
      <c r="F39" s="1219">
        <f t="shared" si="0"/>
        <v>93.91304347826087</v>
      </c>
    </row>
    <row r="40" spans="1:6" ht="30.75" customHeight="1">
      <c r="A40" s="660"/>
      <c r="B40" s="1028"/>
      <c r="C40" s="965" t="s">
        <v>335</v>
      </c>
      <c r="D40" s="923">
        <v>1150000</v>
      </c>
      <c r="E40" s="923">
        <v>1080000</v>
      </c>
      <c r="F40" s="1220">
        <f t="shared" si="0"/>
        <v>93.91304347826087</v>
      </c>
    </row>
    <row r="41" spans="1:6" ht="18.75">
      <c r="A41" s="1263" t="s">
        <v>138</v>
      </c>
      <c r="B41" s="1264"/>
      <c r="C41" s="1262"/>
      <c r="D41" s="1006">
        <f>D11+D31</f>
        <v>20872023.58</v>
      </c>
      <c r="E41" s="1006">
        <f>E11+E31</f>
        <v>20433572.25</v>
      </c>
      <c r="F41" s="1219">
        <f t="shared" si="0"/>
        <v>97.89933482817578</v>
      </c>
    </row>
    <row r="42" spans="4:6" ht="15.75">
      <c r="D42" s="1048"/>
      <c r="E42" s="1048"/>
      <c r="F42" s="1221"/>
    </row>
    <row r="43" spans="4:6" ht="15.75">
      <c r="D43" s="1048"/>
      <c r="E43" s="1048"/>
      <c r="F43" s="1221"/>
    </row>
    <row r="44" spans="4:6" ht="12.75">
      <c r="D44" s="695"/>
      <c r="E44" s="695"/>
      <c r="F44" s="1221"/>
    </row>
    <row r="45" spans="4:6" ht="12.75">
      <c r="D45" s="695"/>
      <c r="E45" s="695"/>
      <c r="F45" s="1221"/>
    </row>
    <row r="46" spans="4:6" ht="12.75">
      <c r="D46" s="695"/>
      <c r="E46" s="695"/>
      <c r="F46" s="1221"/>
    </row>
    <row r="47" spans="4:6" ht="12.75">
      <c r="D47" s="695"/>
      <c r="E47" s="695"/>
      <c r="F47" s="1221"/>
    </row>
    <row r="48" spans="4:6" ht="12.75">
      <c r="D48" s="695"/>
      <c r="E48" s="695"/>
      <c r="F48" s="1221"/>
    </row>
    <row r="49" spans="4:6" ht="12.75">
      <c r="D49" s="695"/>
      <c r="E49" s="695"/>
      <c r="F49" s="1221"/>
    </row>
  </sheetData>
  <sheetProtection/>
  <mergeCells count="1">
    <mergeCell ref="A41:C41"/>
  </mergeCells>
  <printOptions/>
  <pageMargins left="0.5905511811023623" right="0" top="0.787401574803149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W22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28125" style="23" customWidth="1"/>
    <col min="2" max="2" width="31.28125" style="23" customWidth="1"/>
    <col min="3" max="3" width="9.140625" style="23" customWidth="1"/>
    <col min="4" max="4" width="16.00390625" style="23" customWidth="1"/>
    <col min="5" max="5" width="15.7109375" style="23" customWidth="1"/>
    <col min="6" max="6" width="16.7109375" style="23" customWidth="1"/>
    <col min="7" max="7" width="20.421875" style="23" customWidth="1"/>
    <col min="8" max="8" width="20.140625" style="23" customWidth="1"/>
    <col min="9" max="9" width="14.00390625" style="23" customWidth="1"/>
    <col min="10" max="10" width="12.8515625" style="23" customWidth="1"/>
    <col min="11" max="11" width="14.57421875" style="23" customWidth="1"/>
    <col min="12" max="16384" width="9.140625" style="23" customWidth="1"/>
  </cols>
  <sheetData>
    <row r="2" ht="20.25">
      <c r="G2" s="135" t="s">
        <v>336</v>
      </c>
    </row>
    <row r="3" ht="18.75">
      <c r="G3" s="136" t="s">
        <v>588</v>
      </c>
    </row>
    <row r="4" ht="18.75">
      <c r="G4" s="136" t="s">
        <v>589</v>
      </c>
    </row>
    <row r="5" spans="1:23" ht="21" customHeight="1">
      <c r="A5" s="360"/>
      <c r="B5" s="354"/>
      <c r="C5" s="43"/>
      <c r="D5" s="43"/>
      <c r="E5" s="43"/>
      <c r="F5" s="528"/>
      <c r="G5" s="136" t="s">
        <v>560</v>
      </c>
      <c r="H5" s="361"/>
      <c r="I5" s="154"/>
      <c r="J5" s="155"/>
      <c r="K5" s="155"/>
      <c r="L5" s="155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18.75" customHeight="1">
      <c r="A6" s="360"/>
      <c r="B6" s="354"/>
      <c r="C6" s="43"/>
      <c r="D6" s="43"/>
      <c r="E6" s="43"/>
      <c r="F6" s="262"/>
      <c r="G6" s="262"/>
      <c r="H6" s="361"/>
      <c r="I6" s="154"/>
      <c r="J6" s="155"/>
      <c r="K6" s="155"/>
      <c r="L6" s="155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2" customHeight="1">
      <c r="A7" s="360"/>
      <c r="B7" s="354"/>
      <c r="C7" s="43"/>
      <c r="D7" s="43"/>
      <c r="E7" s="43"/>
      <c r="F7" s="43"/>
      <c r="G7" s="362"/>
      <c r="H7" s="361"/>
      <c r="I7" s="154"/>
      <c r="J7" s="155"/>
      <c r="K7" s="155"/>
      <c r="L7" s="155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s="1049" customFormat="1" ht="18.75">
      <c r="A8" s="363" t="s">
        <v>337</v>
      </c>
      <c r="B8" s="364"/>
      <c r="C8" s="364"/>
      <c r="D8" s="364"/>
      <c r="E8" s="364"/>
      <c r="F8" s="364"/>
      <c r="G8" s="364"/>
      <c r="H8" s="364"/>
      <c r="I8" s="365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</row>
    <row r="9" spans="1:23" s="1049" customFormat="1" ht="18.75">
      <c r="A9" s="363" t="s">
        <v>338</v>
      </c>
      <c r="B9" s="363"/>
      <c r="C9" s="364"/>
      <c r="D9" s="364"/>
      <c r="E9" s="364"/>
      <c r="F9" s="364"/>
      <c r="G9" s="364"/>
      <c r="H9" s="364"/>
      <c r="I9" s="365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</row>
    <row r="10" spans="1:23" s="1049" customFormat="1" ht="18.75">
      <c r="A10" s="363"/>
      <c r="B10" s="364"/>
      <c r="C10" s="364"/>
      <c r="D10" s="364"/>
      <c r="E10" s="364"/>
      <c r="F10" s="364"/>
      <c r="G10" s="364"/>
      <c r="H10" s="352" t="s">
        <v>22</v>
      </c>
      <c r="I10" s="365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</row>
    <row r="11" spans="1:23" ht="19.5" customHeight="1">
      <c r="A11" s="366"/>
      <c r="B11" s="367"/>
      <c r="C11" s="253"/>
      <c r="D11" s="369" t="s">
        <v>339</v>
      </c>
      <c r="E11" s="1050"/>
      <c r="F11" s="368"/>
      <c r="G11" s="369" t="s">
        <v>110</v>
      </c>
      <c r="H11" s="1051"/>
      <c r="I11" s="1052"/>
      <c r="J11" s="370"/>
      <c r="K11" s="155"/>
      <c r="L11" s="155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21.75" customHeight="1">
      <c r="A12" s="1053"/>
      <c r="B12" s="1053"/>
      <c r="C12" s="1053"/>
      <c r="D12" s="380"/>
      <c r="E12" s="372" t="s">
        <v>356</v>
      </c>
      <c r="F12" s="373"/>
      <c r="G12" s="234"/>
      <c r="H12" s="374" t="s">
        <v>708</v>
      </c>
      <c r="I12" s="1052"/>
      <c r="J12" s="155"/>
      <c r="K12" s="155"/>
      <c r="L12" s="155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ht="12.75">
      <c r="A13" s="375" t="s">
        <v>624</v>
      </c>
      <c r="B13" s="1054" t="s">
        <v>357</v>
      </c>
      <c r="C13" s="376" t="s">
        <v>23</v>
      </c>
      <c r="D13" s="1055" t="s">
        <v>358</v>
      </c>
      <c r="E13" s="1265" t="s">
        <v>359</v>
      </c>
      <c r="F13" s="1267" t="s">
        <v>360</v>
      </c>
      <c r="G13" s="1054" t="s">
        <v>361</v>
      </c>
      <c r="H13" s="1269" t="s">
        <v>362</v>
      </c>
      <c r="I13" s="1052"/>
      <c r="J13" s="155"/>
      <c r="K13" s="155"/>
      <c r="L13" s="155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ht="19.5" customHeight="1">
      <c r="A14" s="377"/>
      <c r="B14" s="377"/>
      <c r="C14" s="378" t="s">
        <v>363</v>
      </c>
      <c r="D14" s="1056"/>
      <c r="E14" s="1266"/>
      <c r="F14" s="1268"/>
      <c r="G14" s="72"/>
      <c r="H14" s="1270"/>
      <c r="I14" s="154"/>
      <c r="J14" s="155"/>
      <c r="K14" s="155"/>
      <c r="L14" s="155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ht="12.75">
      <c r="A15" s="379">
        <v>1</v>
      </c>
      <c r="B15" s="379">
        <v>2</v>
      </c>
      <c r="C15" s="379">
        <v>3</v>
      </c>
      <c r="D15" s="379">
        <v>4</v>
      </c>
      <c r="E15" s="379">
        <v>5</v>
      </c>
      <c r="F15" s="379">
        <v>6</v>
      </c>
      <c r="G15" s="379">
        <v>7</v>
      </c>
      <c r="H15" s="379">
        <v>8</v>
      </c>
      <c r="I15" s="154"/>
      <c r="J15" s="155"/>
      <c r="K15" s="155"/>
      <c r="L15" s="155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21" customHeight="1">
      <c r="A16" s="380"/>
      <c r="B16" s="1057" t="s">
        <v>138</v>
      </c>
      <c r="C16" s="377"/>
      <c r="D16" s="1058">
        <f>SUM(D18:D22)</f>
        <v>27180480.75</v>
      </c>
      <c r="E16" s="1059">
        <f>SUM(E18,)</f>
        <v>11000184.75</v>
      </c>
      <c r="F16" s="1059"/>
      <c r="G16" s="1060">
        <f>SUM(G18:G22)</f>
        <v>27180480.75</v>
      </c>
      <c r="H16" s="1058">
        <f>SUM(H18:H22)</f>
        <v>0</v>
      </c>
      <c r="I16" s="1061"/>
      <c r="J16" s="355"/>
      <c r="K16" s="355"/>
      <c r="L16" s="155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ht="17.25" customHeight="1">
      <c r="A17" s="380"/>
      <c r="B17" s="381" t="s">
        <v>364</v>
      </c>
      <c r="C17" s="371"/>
      <c r="D17" s="382"/>
      <c r="E17" s="383"/>
      <c r="F17" s="380"/>
      <c r="G17" s="384"/>
      <c r="H17" s="385"/>
      <c r="I17" s="1061"/>
      <c r="J17" s="355"/>
      <c r="K17" s="355"/>
      <c r="L17" s="155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18.75" customHeight="1">
      <c r="A18" s="386" t="s">
        <v>365</v>
      </c>
      <c r="B18" s="1062" t="s">
        <v>366</v>
      </c>
      <c r="C18" s="119">
        <v>600</v>
      </c>
      <c r="D18" s="1063">
        <v>27180480.75</v>
      </c>
      <c r="E18" s="1064">
        <f>SUM(E20,)</f>
        <v>11000184.75</v>
      </c>
      <c r="F18" s="387"/>
      <c r="G18" s="1063">
        <v>27180480.75</v>
      </c>
      <c r="H18" s="1065"/>
      <c r="I18" s="1061"/>
      <c r="J18" s="345"/>
      <c r="K18" s="345"/>
      <c r="L18" s="388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12.75">
      <c r="A19" s="88"/>
      <c r="B19" s="234" t="s">
        <v>708</v>
      </c>
      <c r="C19" s="353">
        <v>60004</v>
      </c>
      <c r="D19" s="94"/>
      <c r="E19" s="389"/>
      <c r="F19" s="390"/>
      <c r="G19" s="94"/>
      <c r="H19" s="149"/>
      <c r="I19" s="1061"/>
      <c r="J19" s="391"/>
      <c r="K19" s="391"/>
      <c r="L19" s="388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54" customHeight="1">
      <c r="A20" s="88"/>
      <c r="B20" s="234" t="s">
        <v>367</v>
      </c>
      <c r="C20" s="353"/>
      <c r="D20" s="94"/>
      <c r="E20" s="389">
        <v>11000184.75</v>
      </c>
      <c r="F20" s="392" t="s">
        <v>368</v>
      </c>
      <c r="G20" s="94"/>
      <c r="H20" s="149"/>
      <c r="I20" s="1061"/>
      <c r="J20" s="391"/>
      <c r="K20" s="391"/>
      <c r="L20" s="61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2" customHeight="1">
      <c r="A21" s="88"/>
      <c r="B21" s="234" t="s">
        <v>369</v>
      </c>
      <c r="C21" s="353"/>
      <c r="D21" s="94"/>
      <c r="E21" s="389"/>
      <c r="F21" s="390"/>
      <c r="G21" s="94"/>
      <c r="H21" s="149"/>
      <c r="I21" s="1061"/>
      <c r="J21" s="391"/>
      <c r="K21" s="391"/>
      <c r="L21" s="61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21" customHeight="1">
      <c r="A22" s="95"/>
      <c r="B22" s="1066" t="s">
        <v>340</v>
      </c>
      <c r="C22" s="336"/>
      <c r="D22" s="96"/>
      <c r="E22" s="393">
        <v>1188634.75</v>
      </c>
      <c r="F22" s="394"/>
      <c r="G22" s="96"/>
      <c r="H22" s="162"/>
      <c r="I22" s="1061"/>
      <c r="J22" s="391"/>
      <c r="K22" s="391"/>
      <c r="L22" s="61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2.75">
      <c r="A23" s="43"/>
      <c r="B23" s="43"/>
      <c r="C23" s="43"/>
      <c r="D23" s="43"/>
      <c r="E23" s="43"/>
      <c r="F23" s="43"/>
      <c r="G23" s="43"/>
      <c r="H23" s="43"/>
      <c r="I23" s="154"/>
      <c r="J23" s="155"/>
      <c r="K23" s="155"/>
      <c r="L23" s="155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12.75">
      <c r="A24" s="43"/>
      <c r="B24" s="43"/>
      <c r="C24" s="43"/>
      <c r="D24" s="43"/>
      <c r="E24" s="43"/>
      <c r="F24" s="43"/>
      <c r="G24" s="43"/>
      <c r="H24" s="43"/>
      <c r="I24" s="154"/>
      <c r="J24" s="155"/>
      <c r="K24" s="155"/>
      <c r="L24" s="155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12.75">
      <c r="A25" s="43"/>
      <c r="B25" s="43"/>
      <c r="C25" s="43"/>
      <c r="D25" s="43"/>
      <c r="E25" s="43"/>
      <c r="F25" s="43"/>
      <c r="G25" s="43"/>
      <c r="H25" s="43"/>
      <c r="I25" s="154"/>
      <c r="J25" s="155"/>
      <c r="K25" s="155"/>
      <c r="L25" s="155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12.75">
      <c r="A26" s="43"/>
      <c r="B26" s="43"/>
      <c r="C26" s="43"/>
      <c r="D26" s="51"/>
      <c r="E26" s="43"/>
      <c r="F26" s="43"/>
      <c r="G26" s="51"/>
      <c r="H26" s="43"/>
      <c r="I26" s="154"/>
      <c r="J26" s="155"/>
      <c r="K26" s="155"/>
      <c r="L26" s="155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2.75">
      <c r="A27" s="43"/>
      <c r="B27" s="43"/>
      <c r="C27" s="43"/>
      <c r="D27" s="43"/>
      <c r="E27" s="43"/>
      <c r="F27" s="43"/>
      <c r="G27" s="43"/>
      <c r="H27" s="43"/>
      <c r="I27" s="154"/>
      <c r="J27" s="155"/>
      <c r="K27" s="155"/>
      <c r="L27" s="155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2.75">
      <c r="A28" s="43"/>
      <c r="B28" s="43"/>
      <c r="C28" s="43"/>
      <c r="D28" s="51"/>
      <c r="E28" s="51"/>
      <c r="F28" s="51"/>
      <c r="G28" s="51"/>
      <c r="H28" s="43"/>
      <c r="I28" s="154"/>
      <c r="J28" s="155"/>
      <c r="K28" s="155"/>
      <c r="L28" s="155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2.75">
      <c r="A29" s="43"/>
      <c r="B29" s="43"/>
      <c r="C29" s="43"/>
      <c r="D29" s="43"/>
      <c r="E29" s="43"/>
      <c r="F29" s="43"/>
      <c r="G29" s="43"/>
      <c r="H29" s="43"/>
      <c r="I29" s="154"/>
      <c r="J29" s="155"/>
      <c r="K29" s="155"/>
      <c r="L29" s="155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2.75">
      <c r="A30" s="43"/>
      <c r="B30" s="43"/>
      <c r="C30" s="51"/>
      <c r="D30" s="51"/>
      <c r="E30" s="51"/>
      <c r="F30" s="51"/>
      <c r="G30" s="43"/>
      <c r="H30" s="43"/>
      <c r="I30" s="154"/>
      <c r="J30" s="155"/>
      <c r="K30" s="155"/>
      <c r="L30" s="155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2.75">
      <c r="A31" s="43"/>
      <c r="B31" s="43"/>
      <c r="C31" s="51"/>
      <c r="D31" s="51"/>
      <c r="E31" s="51"/>
      <c r="F31" s="51"/>
      <c r="G31" s="43"/>
      <c r="H31" s="43"/>
      <c r="I31" s="154"/>
      <c r="J31" s="155"/>
      <c r="K31" s="155"/>
      <c r="L31" s="155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2.75">
      <c r="A32" s="43"/>
      <c r="B32" s="43"/>
      <c r="C32" s="51"/>
      <c r="D32" s="51"/>
      <c r="E32" s="51"/>
      <c r="F32" s="51"/>
      <c r="G32" s="43"/>
      <c r="H32" s="43"/>
      <c r="I32" s="154"/>
      <c r="J32" s="155"/>
      <c r="K32" s="155"/>
      <c r="L32" s="155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12.75">
      <c r="A33" s="43"/>
      <c r="B33" s="43"/>
      <c r="C33" s="51"/>
      <c r="D33" s="51"/>
      <c r="E33" s="51"/>
      <c r="F33" s="51"/>
      <c r="G33" s="43"/>
      <c r="H33" s="43"/>
      <c r="I33" s="154"/>
      <c r="J33" s="155"/>
      <c r="K33" s="155"/>
      <c r="L33" s="155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ht="12.75">
      <c r="A34" s="43"/>
      <c r="B34" s="43"/>
      <c r="C34" s="51"/>
      <c r="D34" s="51"/>
      <c r="E34" s="51"/>
      <c r="F34" s="51"/>
      <c r="G34" s="43"/>
      <c r="H34" s="43"/>
      <c r="I34" s="154"/>
      <c r="J34" s="155"/>
      <c r="K34" s="155"/>
      <c r="L34" s="155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12.75">
      <c r="A35" s="43"/>
      <c r="B35" s="43"/>
      <c r="C35" s="51"/>
      <c r="D35" s="51"/>
      <c r="E35" s="51"/>
      <c r="F35" s="51"/>
      <c r="G35" s="43"/>
      <c r="H35" s="43"/>
      <c r="I35" s="154"/>
      <c r="J35" s="155"/>
      <c r="K35" s="155"/>
      <c r="L35" s="155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12.75">
      <c r="A36" s="43"/>
      <c r="B36" s="43"/>
      <c r="C36" s="51"/>
      <c r="D36" s="51"/>
      <c r="E36" s="51"/>
      <c r="F36" s="51"/>
      <c r="G36" s="43"/>
      <c r="H36" s="43"/>
      <c r="I36" s="154"/>
      <c r="J36" s="155"/>
      <c r="K36" s="155"/>
      <c r="L36" s="155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ht="12.75">
      <c r="A37" s="43"/>
      <c r="B37" s="43"/>
      <c r="C37" s="43"/>
      <c r="D37" s="43"/>
      <c r="E37" s="43"/>
      <c r="F37" s="43"/>
      <c r="G37" s="43"/>
      <c r="H37" s="43"/>
      <c r="I37" s="154"/>
      <c r="J37" s="155"/>
      <c r="K37" s="155"/>
      <c r="L37" s="155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ht="12.75">
      <c r="A38" s="43"/>
      <c r="B38" s="43"/>
      <c r="C38" s="43"/>
      <c r="D38" s="43"/>
      <c r="E38" s="43"/>
      <c r="F38" s="43"/>
      <c r="G38" s="43"/>
      <c r="H38" s="43"/>
      <c r="I38" s="154"/>
      <c r="J38" s="155"/>
      <c r="K38" s="155"/>
      <c r="L38" s="155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12.75">
      <c r="A39" s="43"/>
      <c r="B39" s="43"/>
      <c r="C39" s="43"/>
      <c r="D39" s="43"/>
      <c r="E39" s="43"/>
      <c r="F39" s="43"/>
      <c r="G39" s="43"/>
      <c r="H39" s="43"/>
      <c r="I39" s="154"/>
      <c r="J39" s="155"/>
      <c r="K39" s="155"/>
      <c r="L39" s="155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3" ht="12.75">
      <c r="A40" s="43"/>
      <c r="B40" s="43"/>
      <c r="C40" s="43"/>
      <c r="D40" s="43"/>
      <c r="E40" s="43"/>
      <c r="F40" s="43"/>
      <c r="G40" s="43"/>
      <c r="H40" s="43"/>
      <c r="I40" s="154"/>
      <c r="J40" s="155"/>
      <c r="K40" s="155"/>
      <c r="L40" s="155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ht="12.75">
      <c r="A41" s="43"/>
      <c r="B41" s="43"/>
      <c r="C41" s="43"/>
      <c r="D41" s="43"/>
      <c r="E41" s="43"/>
      <c r="F41" s="43"/>
      <c r="G41" s="43"/>
      <c r="H41" s="43"/>
      <c r="I41" s="154"/>
      <c r="J41" s="155"/>
      <c r="K41" s="155"/>
      <c r="L41" s="155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ht="12.75">
      <c r="A42" s="43"/>
      <c r="B42" s="43"/>
      <c r="C42" s="43"/>
      <c r="D42" s="43"/>
      <c r="E42" s="43"/>
      <c r="F42" s="43"/>
      <c r="G42" s="43"/>
      <c r="H42" s="43"/>
      <c r="I42" s="154"/>
      <c r="J42" s="155"/>
      <c r="K42" s="155"/>
      <c r="L42" s="155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ht="12.75">
      <c r="A43" s="43"/>
      <c r="B43" s="43"/>
      <c r="C43" s="43"/>
      <c r="D43" s="43"/>
      <c r="E43" s="43"/>
      <c r="F43" s="43"/>
      <c r="G43" s="43"/>
      <c r="H43" s="43"/>
      <c r="I43" s="154"/>
      <c r="J43" s="155"/>
      <c r="K43" s="155"/>
      <c r="L43" s="155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ht="12.75">
      <c r="A44" s="43"/>
      <c r="B44" s="43"/>
      <c r="C44" s="43"/>
      <c r="D44" s="43"/>
      <c r="E44" s="43"/>
      <c r="F44" s="43"/>
      <c r="G44" s="43"/>
      <c r="H44" s="43"/>
      <c r="I44" s="154"/>
      <c r="J44" s="155"/>
      <c r="K44" s="155"/>
      <c r="L44" s="155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23" ht="12.75">
      <c r="A45" s="43"/>
      <c r="B45" s="43"/>
      <c r="C45" s="43"/>
      <c r="D45" s="43"/>
      <c r="E45" s="43"/>
      <c r="F45" s="43"/>
      <c r="G45" s="43"/>
      <c r="H45" s="43"/>
      <c r="I45" s="154"/>
      <c r="J45" s="155"/>
      <c r="K45" s="155"/>
      <c r="L45" s="155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3" ht="12.75">
      <c r="A46" s="43"/>
      <c r="B46" s="43"/>
      <c r="C46" s="43"/>
      <c r="D46" s="43"/>
      <c r="E46" s="43"/>
      <c r="F46" s="43"/>
      <c r="G46" s="43"/>
      <c r="H46" s="43"/>
      <c r="I46" s="154"/>
      <c r="J46" s="155"/>
      <c r="K46" s="155"/>
      <c r="L46" s="155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ht="12.75">
      <c r="A47" s="43"/>
      <c r="B47" s="43"/>
      <c r="C47" s="43"/>
      <c r="D47" s="43"/>
      <c r="E47" s="43"/>
      <c r="F47" s="43"/>
      <c r="G47" s="43"/>
      <c r="H47" s="43"/>
      <c r="I47" s="154"/>
      <c r="J47" s="155"/>
      <c r="K47" s="155"/>
      <c r="L47" s="155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ht="12.75">
      <c r="A48" s="43"/>
      <c r="B48" s="43"/>
      <c r="C48" s="43"/>
      <c r="D48" s="43"/>
      <c r="E48" s="43"/>
      <c r="F48" s="43"/>
      <c r="G48" s="43"/>
      <c r="H48" s="43"/>
      <c r="I48" s="154"/>
      <c r="J48" s="155"/>
      <c r="K48" s="155"/>
      <c r="L48" s="155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ht="12.75">
      <c r="A49" s="43"/>
      <c r="B49" s="43"/>
      <c r="C49" s="43"/>
      <c r="D49" s="43"/>
      <c r="E49" s="43"/>
      <c r="F49" s="43"/>
      <c r="G49" s="43"/>
      <c r="H49" s="43"/>
      <c r="I49" s="154"/>
      <c r="J49" s="155"/>
      <c r="K49" s="155"/>
      <c r="L49" s="155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ht="12.75">
      <c r="A50" s="43"/>
      <c r="B50" s="43"/>
      <c r="C50" s="43"/>
      <c r="D50" s="43"/>
      <c r="E50" s="43"/>
      <c r="F50" s="43"/>
      <c r="G50" s="43"/>
      <c r="H50" s="43"/>
      <c r="I50" s="154"/>
      <c r="J50" s="155"/>
      <c r="K50" s="155"/>
      <c r="L50" s="155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 ht="12.75">
      <c r="A51" s="43"/>
      <c r="B51" s="43"/>
      <c r="C51" s="43"/>
      <c r="D51" s="43"/>
      <c r="E51" s="43"/>
      <c r="F51" s="43"/>
      <c r="G51" s="43"/>
      <c r="H51" s="43"/>
      <c r="I51" s="154"/>
      <c r="J51" s="155"/>
      <c r="K51" s="155"/>
      <c r="L51" s="155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ht="12.75">
      <c r="A52" s="43"/>
      <c r="B52" s="43"/>
      <c r="C52" s="43"/>
      <c r="D52" s="43"/>
      <c r="E52" s="43"/>
      <c r="F52" s="43"/>
      <c r="G52" s="43"/>
      <c r="H52" s="43"/>
      <c r="I52" s="154"/>
      <c r="J52" s="155"/>
      <c r="K52" s="155"/>
      <c r="L52" s="155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 ht="12.75">
      <c r="A53" s="43"/>
      <c r="B53" s="43"/>
      <c r="C53" s="43"/>
      <c r="D53" s="43"/>
      <c r="E53" s="43"/>
      <c r="F53" s="43"/>
      <c r="G53" s="43"/>
      <c r="H53" s="43"/>
      <c r="I53" s="154"/>
      <c r="J53" s="155"/>
      <c r="K53" s="155"/>
      <c r="L53" s="155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 ht="12.75">
      <c r="A54" s="43"/>
      <c r="B54" s="43"/>
      <c r="C54" s="43"/>
      <c r="D54" s="43"/>
      <c r="E54" s="43"/>
      <c r="F54" s="43"/>
      <c r="G54" s="43"/>
      <c r="H54" s="43"/>
      <c r="I54" s="154"/>
      <c r="J54" s="155"/>
      <c r="K54" s="155"/>
      <c r="L54" s="155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ht="12.75">
      <c r="A55" s="43"/>
      <c r="B55" s="43"/>
      <c r="C55" s="43"/>
      <c r="D55" s="43"/>
      <c r="E55" s="43"/>
      <c r="F55" s="43"/>
      <c r="G55" s="43"/>
      <c r="H55" s="43"/>
      <c r="I55" s="154"/>
      <c r="J55" s="155"/>
      <c r="K55" s="155"/>
      <c r="L55" s="155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</row>
    <row r="56" spans="1:23" ht="12.75">
      <c r="A56" s="43"/>
      <c r="B56" s="43"/>
      <c r="C56" s="43"/>
      <c r="D56" s="43"/>
      <c r="E56" s="43"/>
      <c r="F56" s="43"/>
      <c r="G56" s="43"/>
      <c r="H56" s="43"/>
      <c r="I56" s="154"/>
      <c r="J56" s="155"/>
      <c r="K56" s="155"/>
      <c r="L56" s="155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3" ht="12.75">
      <c r="A57" s="43"/>
      <c r="B57" s="43"/>
      <c r="C57" s="43"/>
      <c r="D57" s="43"/>
      <c r="E57" s="43"/>
      <c r="F57" s="43"/>
      <c r="G57" s="43"/>
      <c r="H57" s="43"/>
      <c r="I57" s="154"/>
      <c r="J57" s="155"/>
      <c r="K57" s="155"/>
      <c r="L57" s="155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3" ht="12.75">
      <c r="A58" s="43"/>
      <c r="B58" s="43"/>
      <c r="C58" s="43"/>
      <c r="D58" s="43"/>
      <c r="E58" s="43"/>
      <c r="F58" s="43"/>
      <c r="G58" s="43"/>
      <c r="H58" s="43"/>
      <c r="I58" s="154"/>
      <c r="J58" s="155"/>
      <c r="K58" s="155"/>
      <c r="L58" s="155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1:23" ht="12.75">
      <c r="A59" s="43"/>
      <c r="B59" s="43"/>
      <c r="C59" s="43"/>
      <c r="D59" s="43"/>
      <c r="E59" s="43"/>
      <c r="F59" s="43"/>
      <c r="G59" s="43"/>
      <c r="H59" s="43"/>
      <c r="I59" s="154"/>
      <c r="J59" s="155"/>
      <c r="K59" s="155"/>
      <c r="L59" s="155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3" ht="12.75">
      <c r="A60" s="43"/>
      <c r="B60" s="43"/>
      <c r="C60" s="43"/>
      <c r="D60" s="43"/>
      <c r="E60" s="43"/>
      <c r="F60" s="43"/>
      <c r="G60" s="43"/>
      <c r="H60" s="43"/>
      <c r="I60" s="154"/>
      <c r="J60" s="155"/>
      <c r="K60" s="155"/>
      <c r="L60" s="155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3" ht="12.75">
      <c r="A61" s="43"/>
      <c r="B61" s="43"/>
      <c r="C61" s="43"/>
      <c r="D61" s="43"/>
      <c r="E61" s="43"/>
      <c r="F61" s="43"/>
      <c r="G61" s="43"/>
      <c r="H61" s="43"/>
      <c r="I61" s="154"/>
      <c r="J61" s="155"/>
      <c r="K61" s="155"/>
      <c r="L61" s="155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ht="12.75">
      <c r="A62" s="43"/>
      <c r="B62" s="43"/>
      <c r="C62" s="43"/>
      <c r="D62" s="43"/>
      <c r="E62" s="43"/>
      <c r="F62" s="43"/>
      <c r="G62" s="43"/>
      <c r="H62" s="43"/>
      <c r="I62" s="154"/>
      <c r="J62" s="155"/>
      <c r="K62" s="155"/>
      <c r="L62" s="155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1:23" ht="12.75">
      <c r="A63" s="43"/>
      <c r="B63" s="43"/>
      <c r="C63" s="43"/>
      <c r="D63" s="43"/>
      <c r="E63" s="43"/>
      <c r="F63" s="43"/>
      <c r="G63" s="43"/>
      <c r="H63" s="43"/>
      <c r="I63" s="154"/>
      <c r="J63" s="155"/>
      <c r="K63" s="155"/>
      <c r="L63" s="155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1:23" ht="12.75">
      <c r="A64" s="43"/>
      <c r="B64" s="43"/>
      <c r="C64" s="43"/>
      <c r="D64" s="43"/>
      <c r="E64" s="43"/>
      <c r="F64" s="43"/>
      <c r="G64" s="43"/>
      <c r="H64" s="43"/>
      <c r="I64" s="154"/>
      <c r="J64" s="155"/>
      <c r="K64" s="155"/>
      <c r="L64" s="155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ht="12.75">
      <c r="A65" s="43"/>
      <c r="B65" s="43"/>
      <c r="C65" s="43"/>
      <c r="D65" s="43"/>
      <c r="E65" s="43"/>
      <c r="F65" s="43"/>
      <c r="G65" s="43"/>
      <c r="H65" s="43"/>
      <c r="I65" s="154"/>
      <c r="J65" s="155"/>
      <c r="K65" s="155"/>
      <c r="L65" s="155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 ht="12.75">
      <c r="A66" s="43"/>
      <c r="B66" s="43"/>
      <c r="C66" s="43"/>
      <c r="D66" s="43"/>
      <c r="E66" s="43"/>
      <c r="F66" s="43"/>
      <c r="G66" s="43"/>
      <c r="H66" s="43"/>
      <c r="I66" s="154"/>
      <c r="J66" s="155"/>
      <c r="K66" s="155"/>
      <c r="L66" s="155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 ht="12.75">
      <c r="A67" s="43"/>
      <c r="B67" s="43"/>
      <c r="C67" s="43"/>
      <c r="D67" s="43"/>
      <c r="E67" s="43"/>
      <c r="F67" s="43"/>
      <c r="G67" s="43"/>
      <c r="H67" s="43"/>
      <c r="I67" s="154"/>
      <c r="J67" s="155"/>
      <c r="K67" s="155"/>
      <c r="L67" s="155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ht="12.75">
      <c r="A68" s="43"/>
      <c r="B68" s="43"/>
      <c r="C68" s="43"/>
      <c r="D68" s="43"/>
      <c r="E68" s="43"/>
      <c r="F68" s="43"/>
      <c r="G68" s="43"/>
      <c r="H68" s="43"/>
      <c r="I68" s="154"/>
      <c r="J68" s="155"/>
      <c r="K68" s="155"/>
      <c r="L68" s="155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ht="12.75">
      <c r="A69" s="43"/>
      <c r="B69" s="43"/>
      <c r="C69" s="43"/>
      <c r="D69" s="43"/>
      <c r="E69" s="43"/>
      <c r="F69" s="43"/>
      <c r="G69" s="43"/>
      <c r="H69" s="43"/>
      <c r="I69" s="154"/>
      <c r="J69" s="155"/>
      <c r="K69" s="155"/>
      <c r="L69" s="155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12.75">
      <c r="A70" s="43"/>
      <c r="B70" s="43"/>
      <c r="C70" s="43"/>
      <c r="D70" s="43"/>
      <c r="E70" s="43"/>
      <c r="F70" s="43"/>
      <c r="G70" s="43"/>
      <c r="H70" s="43"/>
      <c r="I70" s="154"/>
      <c r="J70" s="155"/>
      <c r="K70" s="155"/>
      <c r="L70" s="155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t="12.75">
      <c r="A71" s="43"/>
      <c r="B71" s="43"/>
      <c r="C71" s="43"/>
      <c r="D71" s="43"/>
      <c r="E71" s="43"/>
      <c r="F71" s="43"/>
      <c r="G71" s="43"/>
      <c r="H71" s="43"/>
      <c r="I71" s="154"/>
      <c r="J71" s="155"/>
      <c r="K71" s="155"/>
      <c r="L71" s="155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t="12.75">
      <c r="A72" s="43"/>
      <c r="B72" s="43"/>
      <c r="C72" s="43"/>
      <c r="D72" s="43"/>
      <c r="E72" s="43"/>
      <c r="F72" s="43"/>
      <c r="G72" s="43"/>
      <c r="H72" s="43"/>
      <c r="I72" s="154"/>
      <c r="J72" s="155"/>
      <c r="K72" s="155"/>
      <c r="L72" s="155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ht="12.75">
      <c r="A73" s="43"/>
      <c r="B73" s="43"/>
      <c r="C73" s="43"/>
      <c r="D73" s="43"/>
      <c r="E73" s="43"/>
      <c r="F73" s="43"/>
      <c r="G73" s="43"/>
      <c r="H73" s="43"/>
      <c r="I73" s="154"/>
      <c r="J73" s="155"/>
      <c r="K73" s="155"/>
      <c r="L73" s="155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 ht="12.75">
      <c r="A74" s="43"/>
      <c r="B74" s="43"/>
      <c r="C74" s="43"/>
      <c r="D74" s="43"/>
      <c r="E74" s="43"/>
      <c r="F74" s="43"/>
      <c r="G74" s="43"/>
      <c r="H74" s="43"/>
      <c r="I74" s="154"/>
      <c r="J74" s="155"/>
      <c r="K74" s="155"/>
      <c r="L74" s="155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 ht="12.75">
      <c r="A75" s="43"/>
      <c r="B75" s="43"/>
      <c r="C75" s="43"/>
      <c r="D75" s="43"/>
      <c r="E75" s="43"/>
      <c r="F75" s="43"/>
      <c r="G75" s="43"/>
      <c r="H75" s="43"/>
      <c r="I75" s="154"/>
      <c r="J75" s="155"/>
      <c r="K75" s="155"/>
      <c r="L75" s="155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ht="12.75">
      <c r="A76" s="43"/>
      <c r="B76" s="43"/>
      <c r="C76" s="43"/>
      <c r="D76" s="43"/>
      <c r="E76" s="43"/>
      <c r="F76" s="43"/>
      <c r="G76" s="43"/>
      <c r="H76" s="43"/>
      <c r="I76" s="154"/>
      <c r="J76" s="155"/>
      <c r="K76" s="155"/>
      <c r="L76" s="155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ht="12.75">
      <c r="A77" s="43"/>
      <c r="B77" s="43"/>
      <c r="C77" s="43"/>
      <c r="D77" s="43"/>
      <c r="E77" s="43"/>
      <c r="F77" s="43"/>
      <c r="G77" s="43"/>
      <c r="H77" s="43"/>
      <c r="I77" s="154"/>
      <c r="J77" s="155"/>
      <c r="K77" s="155"/>
      <c r="L77" s="155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ht="12.75">
      <c r="A78" s="43"/>
      <c r="B78" s="43"/>
      <c r="C78" s="43"/>
      <c r="D78" s="43"/>
      <c r="E78" s="43"/>
      <c r="F78" s="43"/>
      <c r="G78" s="43"/>
      <c r="H78" s="43"/>
      <c r="I78" s="154"/>
      <c r="J78" s="155"/>
      <c r="K78" s="155"/>
      <c r="L78" s="155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3" ht="12.75">
      <c r="A79" s="43"/>
      <c r="B79" s="43"/>
      <c r="C79" s="43"/>
      <c r="D79" s="43"/>
      <c r="E79" s="43"/>
      <c r="F79" s="43"/>
      <c r="G79" s="43"/>
      <c r="H79" s="43"/>
      <c r="I79" s="154"/>
      <c r="J79" s="155"/>
      <c r="K79" s="155"/>
      <c r="L79" s="155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1:23" ht="12.75">
      <c r="A80" s="43"/>
      <c r="B80" s="43"/>
      <c r="C80" s="43"/>
      <c r="D80" s="43"/>
      <c r="E80" s="43"/>
      <c r="F80" s="43"/>
      <c r="G80" s="43"/>
      <c r="H80" s="43"/>
      <c r="I80" s="154"/>
      <c r="J80" s="155"/>
      <c r="K80" s="155"/>
      <c r="L80" s="155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1:23" ht="12.75">
      <c r="A81" s="43"/>
      <c r="B81" s="43"/>
      <c r="C81" s="43"/>
      <c r="D81" s="43"/>
      <c r="E81" s="43"/>
      <c r="F81" s="43"/>
      <c r="G81" s="43"/>
      <c r="H81" s="43"/>
      <c r="I81" s="154"/>
      <c r="J81" s="155"/>
      <c r="K81" s="155"/>
      <c r="L81" s="155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1:23" ht="12.75">
      <c r="A82" s="43"/>
      <c r="B82" s="43"/>
      <c r="C82" s="43"/>
      <c r="D82" s="43"/>
      <c r="E82" s="43"/>
      <c r="F82" s="43"/>
      <c r="G82" s="43"/>
      <c r="H82" s="43"/>
      <c r="I82" s="154"/>
      <c r="J82" s="155"/>
      <c r="K82" s="155"/>
      <c r="L82" s="155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1:23" ht="12.75">
      <c r="A83" s="43"/>
      <c r="B83" s="43"/>
      <c r="C83" s="43"/>
      <c r="D83" s="43"/>
      <c r="E83" s="43"/>
      <c r="F83" s="43"/>
      <c r="G83" s="43"/>
      <c r="H83" s="43"/>
      <c r="I83" s="154"/>
      <c r="J83" s="155"/>
      <c r="K83" s="155"/>
      <c r="L83" s="155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1:23" ht="12.75">
      <c r="A84" s="43"/>
      <c r="B84" s="43"/>
      <c r="C84" s="43"/>
      <c r="D84" s="43"/>
      <c r="E84" s="43"/>
      <c r="F84" s="43"/>
      <c r="G84" s="43"/>
      <c r="H84" s="43"/>
      <c r="I84" s="154"/>
      <c r="J84" s="155"/>
      <c r="K84" s="155"/>
      <c r="L84" s="155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1:23" ht="12.75">
      <c r="A85" s="43"/>
      <c r="B85" s="43"/>
      <c r="C85" s="43"/>
      <c r="D85" s="43"/>
      <c r="E85" s="43"/>
      <c r="F85" s="43"/>
      <c r="G85" s="43"/>
      <c r="H85" s="43"/>
      <c r="I85" s="154"/>
      <c r="J85" s="155"/>
      <c r="K85" s="155"/>
      <c r="L85" s="155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1:23" ht="12.75">
      <c r="A86" s="43"/>
      <c r="B86" s="43"/>
      <c r="C86" s="43"/>
      <c r="D86" s="43"/>
      <c r="E86" s="43"/>
      <c r="F86" s="43"/>
      <c r="G86" s="43"/>
      <c r="H86" s="43"/>
      <c r="I86" s="154"/>
      <c r="J86" s="155"/>
      <c r="K86" s="155"/>
      <c r="L86" s="155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23" ht="12.75">
      <c r="A87" s="43"/>
      <c r="B87" s="43"/>
      <c r="C87" s="43"/>
      <c r="D87" s="43"/>
      <c r="E87" s="43"/>
      <c r="F87" s="43"/>
      <c r="G87" s="43"/>
      <c r="H87" s="43"/>
      <c r="I87" s="154"/>
      <c r="J87" s="155"/>
      <c r="K87" s="155"/>
      <c r="L87" s="155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1:23" ht="12.75">
      <c r="A88" s="43"/>
      <c r="B88" s="43"/>
      <c r="C88" s="43"/>
      <c r="D88" s="43"/>
      <c r="E88" s="43"/>
      <c r="F88" s="43"/>
      <c r="G88" s="43"/>
      <c r="H88" s="43"/>
      <c r="I88" s="154"/>
      <c r="J88" s="155"/>
      <c r="K88" s="155"/>
      <c r="L88" s="155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1:23" ht="12.75">
      <c r="A89" s="43"/>
      <c r="B89" s="43"/>
      <c r="C89" s="43"/>
      <c r="D89" s="43"/>
      <c r="E89" s="43"/>
      <c r="F89" s="43"/>
      <c r="G89" s="43"/>
      <c r="H89" s="43"/>
      <c r="I89" s="154"/>
      <c r="J89" s="155"/>
      <c r="K89" s="155"/>
      <c r="L89" s="155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1:23" ht="12.75">
      <c r="A90" s="43"/>
      <c r="B90" s="43"/>
      <c r="C90" s="43"/>
      <c r="D90" s="43"/>
      <c r="E90" s="43"/>
      <c r="F90" s="43"/>
      <c r="G90" s="43"/>
      <c r="H90" s="43"/>
      <c r="I90" s="154"/>
      <c r="J90" s="155"/>
      <c r="K90" s="155"/>
      <c r="L90" s="155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1:23" ht="12.75">
      <c r="A91" s="43"/>
      <c r="B91" s="43"/>
      <c r="C91" s="43"/>
      <c r="D91" s="43"/>
      <c r="E91" s="43"/>
      <c r="F91" s="43"/>
      <c r="G91" s="43"/>
      <c r="H91" s="43"/>
      <c r="I91" s="154"/>
      <c r="J91" s="155"/>
      <c r="K91" s="155"/>
      <c r="L91" s="155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1:23" ht="12.75">
      <c r="A92" s="43"/>
      <c r="B92" s="43"/>
      <c r="C92" s="43"/>
      <c r="D92" s="43"/>
      <c r="E92" s="43"/>
      <c r="F92" s="43"/>
      <c r="G92" s="43"/>
      <c r="H92" s="43"/>
      <c r="I92" s="154"/>
      <c r="J92" s="155"/>
      <c r="K92" s="155"/>
      <c r="L92" s="155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1:23" ht="12.75">
      <c r="A93" s="43"/>
      <c r="B93" s="43"/>
      <c r="C93" s="43"/>
      <c r="D93" s="43"/>
      <c r="E93" s="43"/>
      <c r="F93" s="43"/>
      <c r="G93" s="43"/>
      <c r="H93" s="43"/>
      <c r="I93" s="154"/>
      <c r="J93" s="155"/>
      <c r="K93" s="155"/>
      <c r="L93" s="155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1:23" ht="12.75">
      <c r="A94" s="43"/>
      <c r="B94" s="43"/>
      <c r="C94" s="43"/>
      <c r="D94" s="43"/>
      <c r="E94" s="43"/>
      <c r="F94" s="43"/>
      <c r="G94" s="43"/>
      <c r="H94" s="43"/>
      <c r="I94" s="154"/>
      <c r="J94" s="155"/>
      <c r="K94" s="155"/>
      <c r="L94" s="155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1:23" ht="12.75">
      <c r="A95" s="43"/>
      <c r="B95" s="43"/>
      <c r="C95" s="43"/>
      <c r="D95" s="43"/>
      <c r="E95" s="43"/>
      <c r="F95" s="43"/>
      <c r="G95" s="43"/>
      <c r="H95" s="43"/>
      <c r="I95" s="154"/>
      <c r="J95" s="155"/>
      <c r="K95" s="155"/>
      <c r="L95" s="155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1:23" ht="12.75">
      <c r="A96" s="43"/>
      <c r="B96" s="43"/>
      <c r="C96" s="43"/>
      <c r="D96" s="43"/>
      <c r="E96" s="43"/>
      <c r="F96" s="43"/>
      <c r="G96" s="43"/>
      <c r="H96" s="43"/>
      <c r="I96" s="154"/>
      <c r="J96" s="155"/>
      <c r="K96" s="155"/>
      <c r="L96" s="155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1:23" ht="12.75">
      <c r="A97" s="43"/>
      <c r="B97" s="43"/>
      <c r="C97" s="43"/>
      <c r="D97" s="43"/>
      <c r="E97" s="43"/>
      <c r="F97" s="43"/>
      <c r="G97" s="43"/>
      <c r="H97" s="43"/>
      <c r="I97" s="154"/>
      <c r="J97" s="155"/>
      <c r="K97" s="155"/>
      <c r="L97" s="155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1:23" ht="12.75">
      <c r="A98" s="43"/>
      <c r="B98" s="43"/>
      <c r="C98" s="43"/>
      <c r="D98" s="43"/>
      <c r="E98" s="43"/>
      <c r="F98" s="43"/>
      <c r="G98" s="43"/>
      <c r="H98" s="43"/>
      <c r="I98" s="154"/>
      <c r="J98" s="155"/>
      <c r="K98" s="155"/>
      <c r="L98" s="155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1:23" ht="12.75">
      <c r="A99" s="43"/>
      <c r="B99" s="43"/>
      <c r="C99" s="43"/>
      <c r="D99" s="43"/>
      <c r="E99" s="43"/>
      <c r="F99" s="43"/>
      <c r="G99" s="43"/>
      <c r="H99" s="43"/>
      <c r="I99" s="154"/>
      <c r="J99" s="155"/>
      <c r="K99" s="155"/>
      <c r="L99" s="155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1:23" ht="12.75">
      <c r="A100" s="43"/>
      <c r="B100" s="43"/>
      <c r="C100" s="43"/>
      <c r="D100" s="43"/>
      <c r="E100" s="43"/>
      <c r="F100" s="43"/>
      <c r="G100" s="43"/>
      <c r="H100" s="43"/>
      <c r="I100" s="154"/>
      <c r="J100" s="155"/>
      <c r="K100" s="155"/>
      <c r="L100" s="155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</row>
    <row r="101" spans="1:23" ht="12.75">
      <c r="A101" s="43"/>
      <c r="B101" s="43"/>
      <c r="C101" s="43"/>
      <c r="D101" s="43"/>
      <c r="E101" s="43"/>
      <c r="F101" s="43"/>
      <c r="G101" s="43"/>
      <c r="H101" s="43"/>
      <c r="I101" s="154"/>
      <c r="J101" s="155"/>
      <c r="K101" s="155"/>
      <c r="L101" s="155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1:23" ht="12.75">
      <c r="A102" s="43"/>
      <c r="B102" s="43"/>
      <c r="C102" s="43"/>
      <c r="D102" s="43"/>
      <c r="E102" s="43"/>
      <c r="F102" s="43"/>
      <c r="G102" s="43"/>
      <c r="H102" s="43"/>
      <c r="I102" s="154"/>
      <c r="J102" s="155"/>
      <c r="K102" s="155"/>
      <c r="L102" s="155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1:23" ht="12.75">
      <c r="A103" s="43"/>
      <c r="B103" s="43"/>
      <c r="C103" s="43"/>
      <c r="D103" s="43"/>
      <c r="E103" s="43"/>
      <c r="F103" s="43"/>
      <c r="G103" s="43"/>
      <c r="H103" s="43"/>
      <c r="I103" s="154"/>
      <c r="J103" s="155"/>
      <c r="K103" s="155"/>
      <c r="L103" s="155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1:23" ht="12.75">
      <c r="A104" s="43"/>
      <c r="B104" s="43"/>
      <c r="C104" s="43"/>
      <c r="D104" s="43"/>
      <c r="E104" s="43"/>
      <c r="F104" s="43"/>
      <c r="G104" s="43"/>
      <c r="H104" s="43"/>
      <c r="I104" s="154"/>
      <c r="J104" s="155"/>
      <c r="K104" s="155"/>
      <c r="L104" s="155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1:23" ht="12.75">
      <c r="A105" s="43"/>
      <c r="B105" s="43"/>
      <c r="C105" s="43"/>
      <c r="D105" s="43"/>
      <c r="E105" s="43"/>
      <c r="F105" s="43"/>
      <c r="G105" s="43"/>
      <c r="H105" s="43"/>
      <c r="I105" s="154"/>
      <c r="J105" s="155"/>
      <c r="K105" s="155"/>
      <c r="L105" s="155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1:23" ht="12.75">
      <c r="A106" s="43"/>
      <c r="B106" s="43"/>
      <c r="C106" s="43"/>
      <c r="D106" s="43"/>
      <c r="E106" s="43"/>
      <c r="F106" s="43"/>
      <c r="G106" s="43"/>
      <c r="H106" s="43"/>
      <c r="I106" s="154"/>
      <c r="J106" s="155"/>
      <c r="K106" s="155"/>
      <c r="L106" s="155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1:23" ht="12.75">
      <c r="A107" s="43"/>
      <c r="B107" s="43"/>
      <c r="C107" s="43"/>
      <c r="D107" s="43"/>
      <c r="E107" s="43"/>
      <c r="F107" s="43"/>
      <c r="G107" s="43"/>
      <c r="H107" s="43"/>
      <c r="I107" s="154"/>
      <c r="J107" s="155"/>
      <c r="K107" s="155"/>
      <c r="L107" s="155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1:23" ht="12.75">
      <c r="A108" s="43"/>
      <c r="B108" s="43"/>
      <c r="C108" s="43"/>
      <c r="D108" s="43"/>
      <c r="E108" s="43"/>
      <c r="F108" s="43"/>
      <c r="G108" s="43"/>
      <c r="H108" s="43"/>
      <c r="I108" s="154"/>
      <c r="J108" s="155"/>
      <c r="K108" s="155"/>
      <c r="L108" s="155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1:23" ht="12.75">
      <c r="A109" s="43"/>
      <c r="B109" s="43"/>
      <c r="C109" s="43"/>
      <c r="D109" s="43"/>
      <c r="E109" s="43"/>
      <c r="F109" s="43"/>
      <c r="G109" s="43"/>
      <c r="H109" s="43"/>
      <c r="I109" s="154"/>
      <c r="J109" s="155"/>
      <c r="K109" s="155"/>
      <c r="L109" s="155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</row>
    <row r="110" spans="1:23" ht="12.75">
      <c r="A110" s="43"/>
      <c r="B110" s="43"/>
      <c r="C110" s="43"/>
      <c r="D110" s="43"/>
      <c r="E110" s="43"/>
      <c r="F110" s="43"/>
      <c r="G110" s="43"/>
      <c r="H110" s="43"/>
      <c r="I110" s="154"/>
      <c r="J110" s="155"/>
      <c r="K110" s="155"/>
      <c r="L110" s="155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</row>
    <row r="111" spans="1:23" ht="12.75">
      <c r="A111" s="43"/>
      <c r="B111" s="43"/>
      <c r="C111" s="43"/>
      <c r="D111" s="43"/>
      <c r="E111" s="43"/>
      <c r="F111" s="43"/>
      <c r="G111" s="43"/>
      <c r="H111" s="43"/>
      <c r="I111" s="154"/>
      <c r="J111" s="155"/>
      <c r="K111" s="155"/>
      <c r="L111" s="155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</row>
    <row r="112" spans="1:23" ht="12.75">
      <c r="A112" s="43"/>
      <c r="B112" s="43"/>
      <c r="C112" s="43"/>
      <c r="D112" s="43"/>
      <c r="E112" s="43"/>
      <c r="F112" s="43"/>
      <c r="G112" s="43"/>
      <c r="H112" s="43"/>
      <c r="I112" s="154"/>
      <c r="J112" s="155"/>
      <c r="K112" s="155"/>
      <c r="L112" s="155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</row>
    <row r="113" spans="1:23" ht="12.75">
      <c r="A113" s="43"/>
      <c r="B113" s="43"/>
      <c r="C113" s="43"/>
      <c r="D113" s="43"/>
      <c r="E113" s="43"/>
      <c r="F113" s="43"/>
      <c r="G113" s="43"/>
      <c r="H113" s="43"/>
      <c r="I113" s="154"/>
      <c r="J113" s="155"/>
      <c r="K113" s="155"/>
      <c r="L113" s="155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</row>
    <row r="114" spans="1:23" ht="12.75">
      <c r="A114" s="43"/>
      <c r="B114" s="43"/>
      <c r="C114" s="43"/>
      <c r="D114" s="43"/>
      <c r="E114" s="43"/>
      <c r="F114" s="43"/>
      <c r="G114" s="43"/>
      <c r="H114" s="43"/>
      <c r="I114" s="154"/>
      <c r="J114" s="155"/>
      <c r="K114" s="155"/>
      <c r="L114" s="155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</row>
    <row r="115" spans="1:23" ht="12.75">
      <c r="A115" s="43"/>
      <c r="B115" s="43"/>
      <c r="C115" s="43"/>
      <c r="D115" s="43"/>
      <c r="E115" s="43"/>
      <c r="F115" s="43"/>
      <c r="G115" s="43"/>
      <c r="H115" s="43"/>
      <c r="I115" s="154"/>
      <c r="J115" s="155"/>
      <c r="K115" s="155"/>
      <c r="L115" s="155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</row>
    <row r="116" spans="1:23" ht="12.75">
      <c r="A116" s="43"/>
      <c r="B116" s="43"/>
      <c r="C116" s="43"/>
      <c r="D116" s="43"/>
      <c r="E116" s="43"/>
      <c r="F116" s="43"/>
      <c r="G116" s="43"/>
      <c r="H116" s="43"/>
      <c r="I116" s="154"/>
      <c r="J116" s="155"/>
      <c r="K116" s="155"/>
      <c r="L116" s="155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</row>
    <row r="117" spans="1:23" ht="12.75">
      <c r="A117" s="43"/>
      <c r="B117" s="43"/>
      <c r="C117" s="43"/>
      <c r="D117" s="43"/>
      <c r="E117" s="43"/>
      <c r="F117" s="43"/>
      <c r="G117" s="43"/>
      <c r="H117" s="43"/>
      <c r="I117" s="154"/>
      <c r="J117" s="155"/>
      <c r="K117" s="155"/>
      <c r="L117" s="155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</row>
    <row r="118" spans="1:23" ht="12.75">
      <c r="A118" s="43"/>
      <c r="B118" s="43"/>
      <c r="C118" s="43"/>
      <c r="D118" s="43"/>
      <c r="E118" s="43"/>
      <c r="F118" s="43"/>
      <c r="G118" s="43"/>
      <c r="H118" s="43"/>
      <c r="I118" s="154"/>
      <c r="J118" s="155"/>
      <c r="K118" s="155"/>
      <c r="L118" s="155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</row>
    <row r="119" spans="1:23" ht="12.75">
      <c r="A119" s="43"/>
      <c r="B119" s="43"/>
      <c r="C119" s="43"/>
      <c r="D119" s="43"/>
      <c r="E119" s="43"/>
      <c r="F119" s="43"/>
      <c r="G119" s="43"/>
      <c r="H119" s="43"/>
      <c r="I119" s="154"/>
      <c r="J119" s="155"/>
      <c r="K119" s="155"/>
      <c r="L119" s="155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</row>
    <row r="120" spans="1:23" ht="12.75">
      <c r="A120" s="43"/>
      <c r="B120" s="43"/>
      <c r="C120" s="43"/>
      <c r="D120" s="43"/>
      <c r="E120" s="43"/>
      <c r="F120" s="43"/>
      <c r="G120" s="43"/>
      <c r="H120" s="43"/>
      <c r="I120" s="154"/>
      <c r="J120" s="155"/>
      <c r="K120" s="155"/>
      <c r="L120" s="155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</row>
    <row r="121" spans="1:23" ht="12.75">
      <c r="A121" s="43"/>
      <c r="B121" s="43"/>
      <c r="C121" s="43"/>
      <c r="D121" s="43"/>
      <c r="E121" s="43"/>
      <c r="F121" s="43"/>
      <c r="G121" s="43"/>
      <c r="H121" s="43"/>
      <c r="I121" s="154"/>
      <c r="J121" s="155"/>
      <c r="K121" s="155"/>
      <c r="L121" s="155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</row>
    <row r="122" spans="1:23" ht="12.75">
      <c r="A122" s="43"/>
      <c r="B122" s="43"/>
      <c r="C122" s="43"/>
      <c r="D122" s="43"/>
      <c r="E122" s="43"/>
      <c r="F122" s="43"/>
      <c r="G122" s="43"/>
      <c r="H122" s="43"/>
      <c r="I122" s="154"/>
      <c r="J122" s="155"/>
      <c r="K122" s="155"/>
      <c r="L122" s="155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</row>
    <row r="123" spans="1:23" ht="12.75">
      <c r="A123" s="43"/>
      <c r="B123" s="43"/>
      <c r="C123" s="43"/>
      <c r="D123" s="43"/>
      <c r="E123" s="43"/>
      <c r="F123" s="43"/>
      <c r="G123" s="43"/>
      <c r="H123" s="43"/>
      <c r="I123" s="154"/>
      <c r="J123" s="155"/>
      <c r="K123" s="155"/>
      <c r="L123" s="155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</row>
    <row r="124" spans="1:23" ht="12.75">
      <c r="A124" s="43"/>
      <c r="B124" s="43"/>
      <c r="C124" s="43"/>
      <c r="D124" s="43"/>
      <c r="E124" s="43"/>
      <c r="F124" s="43"/>
      <c r="G124" s="43"/>
      <c r="H124" s="43"/>
      <c r="I124" s="154"/>
      <c r="J124" s="155"/>
      <c r="K124" s="155"/>
      <c r="L124" s="155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</row>
    <row r="125" spans="1:23" ht="12.75">
      <c r="A125" s="43"/>
      <c r="B125" s="43"/>
      <c r="C125" s="43"/>
      <c r="D125" s="43"/>
      <c r="E125" s="43"/>
      <c r="F125" s="43"/>
      <c r="G125" s="43"/>
      <c r="H125" s="43"/>
      <c r="I125" s="154"/>
      <c r="J125" s="155"/>
      <c r="K125" s="155"/>
      <c r="L125" s="155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</row>
    <row r="126" spans="1:23" ht="12.75">
      <c r="A126" s="43"/>
      <c r="B126" s="43"/>
      <c r="C126" s="43"/>
      <c r="D126" s="43"/>
      <c r="E126" s="43"/>
      <c r="F126" s="43"/>
      <c r="G126" s="43"/>
      <c r="H126" s="43"/>
      <c r="I126" s="154"/>
      <c r="J126" s="155"/>
      <c r="K126" s="155"/>
      <c r="L126" s="155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</row>
    <row r="127" spans="1:23" ht="12.75">
      <c r="A127" s="43"/>
      <c r="B127" s="43"/>
      <c r="C127" s="43"/>
      <c r="D127" s="43"/>
      <c r="E127" s="43"/>
      <c r="F127" s="43"/>
      <c r="G127" s="43"/>
      <c r="H127" s="43"/>
      <c r="I127" s="154"/>
      <c r="J127" s="155"/>
      <c r="K127" s="155"/>
      <c r="L127" s="155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</row>
    <row r="128" spans="1:23" ht="12.75">
      <c r="A128" s="43"/>
      <c r="B128" s="43"/>
      <c r="C128" s="43"/>
      <c r="D128" s="43"/>
      <c r="E128" s="43"/>
      <c r="F128" s="43"/>
      <c r="G128" s="43"/>
      <c r="H128" s="43"/>
      <c r="I128" s="154"/>
      <c r="J128" s="155"/>
      <c r="K128" s="155"/>
      <c r="L128" s="155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</row>
    <row r="129" spans="1:23" ht="12.75">
      <c r="A129" s="43"/>
      <c r="B129" s="43"/>
      <c r="C129" s="43"/>
      <c r="D129" s="43"/>
      <c r="E129" s="43"/>
      <c r="F129" s="43"/>
      <c r="G129" s="43"/>
      <c r="H129" s="43"/>
      <c r="I129" s="154"/>
      <c r="J129" s="155"/>
      <c r="K129" s="155"/>
      <c r="L129" s="155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</row>
    <row r="130" spans="1:23" ht="12.75">
      <c r="A130" s="43"/>
      <c r="B130" s="43"/>
      <c r="C130" s="43"/>
      <c r="D130" s="43"/>
      <c r="E130" s="43"/>
      <c r="F130" s="43"/>
      <c r="G130" s="43"/>
      <c r="H130" s="43"/>
      <c r="I130" s="154"/>
      <c r="J130" s="155"/>
      <c r="K130" s="155"/>
      <c r="L130" s="155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</row>
    <row r="131" spans="1:23" ht="12.75">
      <c r="A131" s="43"/>
      <c r="B131" s="43"/>
      <c r="C131" s="43"/>
      <c r="D131" s="43"/>
      <c r="E131" s="43"/>
      <c r="F131" s="43"/>
      <c r="G131" s="43"/>
      <c r="H131" s="43"/>
      <c r="I131" s="154"/>
      <c r="J131" s="155"/>
      <c r="K131" s="155"/>
      <c r="L131" s="155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</row>
    <row r="132" spans="1:23" ht="12.75">
      <c r="A132" s="43"/>
      <c r="B132" s="43"/>
      <c r="C132" s="43"/>
      <c r="D132" s="43"/>
      <c r="E132" s="43"/>
      <c r="F132" s="43"/>
      <c r="G132" s="43"/>
      <c r="H132" s="43"/>
      <c r="I132" s="154"/>
      <c r="J132" s="155"/>
      <c r="K132" s="155"/>
      <c r="L132" s="155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</row>
    <row r="133" spans="1:23" ht="12.75">
      <c r="A133" s="43"/>
      <c r="B133" s="43"/>
      <c r="C133" s="43"/>
      <c r="D133" s="43"/>
      <c r="E133" s="43"/>
      <c r="F133" s="43"/>
      <c r="G133" s="43"/>
      <c r="H133" s="43"/>
      <c r="I133" s="154"/>
      <c r="J133" s="155"/>
      <c r="K133" s="155"/>
      <c r="L133" s="155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</row>
    <row r="134" spans="1:23" ht="12.75">
      <c r="A134" s="43"/>
      <c r="B134" s="43"/>
      <c r="C134" s="43"/>
      <c r="D134" s="43"/>
      <c r="E134" s="43"/>
      <c r="F134" s="43"/>
      <c r="G134" s="43"/>
      <c r="H134" s="43"/>
      <c r="I134" s="154"/>
      <c r="J134" s="155"/>
      <c r="K134" s="155"/>
      <c r="L134" s="155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</row>
    <row r="135" spans="1:23" ht="12.75">
      <c r="A135" s="43"/>
      <c r="B135" s="43"/>
      <c r="C135" s="43"/>
      <c r="D135" s="43"/>
      <c r="E135" s="43"/>
      <c r="F135" s="43"/>
      <c r="G135" s="43"/>
      <c r="H135" s="43"/>
      <c r="I135" s="154"/>
      <c r="J135" s="155"/>
      <c r="K135" s="155"/>
      <c r="L135" s="155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</row>
    <row r="136" spans="1:23" ht="12.75">
      <c r="A136" s="43"/>
      <c r="B136" s="43"/>
      <c r="C136" s="43"/>
      <c r="D136" s="43"/>
      <c r="E136" s="43"/>
      <c r="F136" s="43"/>
      <c r="G136" s="43"/>
      <c r="H136" s="43"/>
      <c r="I136" s="154"/>
      <c r="J136" s="155"/>
      <c r="K136" s="155"/>
      <c r="L136" s="155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</row>
    <row r="137" spans="1:23" ht="12.75">
      <c r="A137" s="43"/>
      <c r="B137" s="43"/>
      <c r="C137" s="43"/>
      <c r="D137" s="43"/>
      <c r="E137" s="43"/>
      <c r="F137" s="43"/>
      <c r="G137" s="43"/>
      <c r="H137" s="43"/>
      <c r="I137" s="154"/>
      <c r="J137" s="155"/>
      <c r="K137" s="155"/>
      <c r="L137" s="155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</row>
    <row r="138" spans="1:23" ht="12.75">
      <c r="A138" s="43"/>
      <c r="B138" s="43"/>
      <c r="C138" s="43"/>
      <c r="D138" s="43"/>
      <c r="E138" s="43"/>
      <c r="F138" s="43"/>
      <c r="G138" s="43"/>
      <c r="H138" s="43"/>
      <c r="I138" s="154"/>
      <c r="J138" s="155"/>
      <c r="K138" s="155"/>
      <c r="L138" s="155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</row>
    <row r="139" spans="1:23" ht="12.75">
      <c r="A139" s="43"/>
      <c r="B139" s="43"/>
      <c r="C139" s="43"/>
      <c r="D139" s="43"/>
      <c r="E139" s="43"/>
      <c r="F139" s="43"/>
      <c r="G139" s="43"/>
      <c r="H139" s="43"/>
      <c r="I139" s="154"/>
      <c r="J139" s="155"/>
      <c r="K139" s="155"/>
      <c r="L139" s="155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</row>
    <row r="140" spans="1:23" ht="12.75">
      <c r="A140" s="43"/>
      <c r="B140" s="43"/>
      <c r="C140" s="43"/>
      <c r="D140" s="43"/>
      <c r="E140" s="43"/>
      <c r="F140" s="43"/>
      <c r="G140" s="43"/>
      <c r="H140" s="43"/>
      <c r="I140" s="154"/>
      <c r="J140" s="155"/>
      <c r="K140" s="155"/>
      <c r="L140" s="155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</row>
    <row r="141" spans="1:23" ht="12.75">
      <c r="A141" s="43"/>
      <c r="B141" s="43"/>
      <c r="C141" s="43"/>
      <c r="D141" s="43"/>
      <c r="E141" s="43"/>
      <c r="F141" s="43"/>
      <c r="G141" s="43"/>
      <c r="H141" s="43"/>
      <c r="I141" s="154"/>
      <c r="J141" s="155"/>
      <c r="K141" s="155"/>
      <c r="L141" s="155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</row>
    <row r="142" spans="1:23" ht="12.75">
      <c r="A142" s="43"/>
      <c r="B142" s="43"/>
      <c r="C142" s="43"/>
      <c r="D142" s="43"/>
      <c r="E142" s="43"/>
      <c r="F142" s="43"/>
      <c r="G142" s="43"/>
      <c r="H142" s="43"/>
      <c r="I142" s="154"/>
      <c r="J142" s="155"/>
      <c r="K142" s="155"/>
      <c r="L142" s="155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</row>
    <row r="143" spans="1:23" ht="12.75">
      <c r="A143" s="43"/>
      <c r="B143" s="43"/>
      <c r="C143" s="43"/>
      <c r="D143" s="43"/>
      <c r="E143" s="43"/>
      <c r="F143" s="43"/>
      <c r="G143" s="43"/>
      <c r="H143" s="43"/>
      <c r="I143" s="154"/>
      <c r="J143" s="155"/>
      <c r="K143" s="155"/>
      <c r="L143" s="155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</row>
    <row r="144" spans="1:23" ht="12.75">
      <c r="A144" s="43"/>
      <c r="B144" s="43"/>
      <c r="C144" s="43"/>
      <c r="D144" s="43"/>
      <c r="E144" s="43"/>
      <c r="F144" s="43"/>
      <c r="G144" s="43"/>
      <c r="H144" s="43"/>
      <c r="I144" s="154"/>
      <c r="J144" s="155"/>
      <c r="K144" s="155"/>
      <c r="L144" s="155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</row>
    <row r="145" spans="1:23" ht="12.75">
      <c r="A145" s="43"/>
      <c r="B145" s="43"/>
      <c r="C145" s="43"/>
      <c r="D145" s="43"/>
      <c r="E145" s="43"/>
      <c r="F145" s="43"/>
      <c r="G145" s="43"/>
      <c r="H145" s="43"/>
      <c r="I145" s="154"/>
      <c r="J145" s="155"/>
      <c r="K145" s="155"/>
      <c r="L145" s="155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</row>
    <row r="146" spans="1:23" ht="12.75">
      <c r="A146" s="43"/>
      <c r="B146" s="43"/>
      <c r="C146" s="43"/>
      <c r="D146" s="43"/>
      <c r="E146" s="43"/>
      <c r="F146" s="43"/>
      <c r="G146" s="43"/>
      <c r="H146" s="43"/>
      <c r="I146" s="154"/>
      <c r="J146" s="155"/>
      <c r="K146" s="155"/>
      <c r="L146" s="155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</row>
    <row r="147" spans="1:23" ht="12.75">
      <c r="A147" s="43"/>
      <c r="B147" s="43"/>
      <c r="C147" s="43"/>
      <c r="D147" s="43"/>
      <c r="E147" s="43"/>
      <c r="F147" s="43"/>
      <c r="G147" s="43"/>
      <c r="H147" s="43"/>
      <c r="I147" s="154"/>
      <c r="J147" s="155"/>
      <c r="K147" s="155"/>
      <c r="L147" s="155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</row>
    <row r="148" spans="1:23" ht="12.75">
      <c r="A148" s="43"/>
      <c r="B148" s="43"/>
      <c r="C148" s="43"/>
      <c r="D148" s="43"/>
      <c r="E148" s="43"/>
      <c r="F148" s="43"/>
      <c r="G148" s="43"/>
      <c r="H148" s="43"/>
      <c r="I148" s="154"/>
      <c r="J148" s="155"/>
      <c r="K148" s="155"/>
      <c r="L148" s="155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</row>
    <row r="149" spans="1:23" ht="12.75">
      <c r="A149" s="43"/>
      <c r="B149" s="43"/>
      <c r="C149" s="43"/>
      <c r="D149" s="43"/>
      <c r="E149" s="43"/>
      <c r="F149" s="43"/>
      <c r="G149" s="43"/>
      <c r="H149" s="43"/>
      <c r="I149" s="154"/>
      <c r="J149" s="155"/>
      <c r="K149" s="155"/>
      <c r="L149" s="155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</row>
    <row r="150" spans="1:23" ht="12.75">
      <c r="A150" s="43"/>
      <c r="B150" s="43"/>
      <c r="C150" s="43"/>
      <c r="D150" s="43"/>
      <c r="E150" s="43"/>
      <c r="F150" s="43"/>
      <c r="G150" s="43"/>
      <c r="H150" s="43"/>
      <c r="I150" s="154"/>
      <c r="J150" s="155"/>
      <c r="K150" s="155"/>
      <c r="L150" s="155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</row>
    <row r="151" spans="1:23" ht="12.75">
      <c r="A151" s="43"/>
      <c r="B151" s="43"/>
      <c r="C151" s="43"/>
      <c r="D151" s="43"/>
      <c r="E151" s="43"/>
      <c r="F151" s="43"/>
      <c r="G151" s="43"/>
      <c r="H151" s="43"/>
      <c r="I151" s="154"/>
      <c r="J151" s="155"/>
      <c r="K151" s="155"/>
      <c r="L151" s="155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</row>
    <row r="152" spans="1:23" ht="12.75">
      <c r="A152" s="43"/>
      <c r="B152" s="43"/>
      <c r="C152" s="43"/>
      <c r="D152" s="43"/>
      <c r="E152" s="43"/>
      <c r="F152" s="43"/>
      <c r="G152" s="43"/>
      <c r="H152" s="43"/>
      <c r="I152" s="154"/>
      <c r="J152" s="155"/>
      <c r="K152" s="155"/>
      <c r="L152" s="155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</row>
    <row r="153" spans="1:23" ht="12.75">
      <c r="A153" s="43"/>
      <c r="B153" s="43"/>
      <c r="C153" s="43"/>
      <c r="D153" s="43"/>
      <c r="E153" s="43"/>
      <c r="F153" s="43"/>
      <c r="G153" s="43"/>
      <c r="H153" s="43"/>
      <c r="I153" s="154"/>
      <c r="J153" s="155"/>
      <c r="K153" s="155"/>
      <c r="L153" s="155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</row>
    <row r="154" spans="1:23" ht="12.75">
      <c r="A154" s="43"/>
      <c r="B154" s="43"/>
      <c r="C154" s="43"/>
      <c r="D154" s="43"/>
      <c r="E154" s="43"/>
      <c r="F154" s="43"/>
      <c r="G154" s="43"/>
      <c r="H154" s="43"/>
      <c r="I154" s="154"/>
      <c r="J154" s="155"/>
      <c r="K154" s="155"/>
      <c r="L154" s="155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</row>
    <row r="155" spans="1:23" ht="12.75">
      <c r="A155" s="43"/>
      <c r="B155" s="43"/>
      <c r="C155" s="43"/>
      <c r="D155" s="43"/>
      <c r="E155" s="43"/>
      <c r="F155" s="43"/>
      <c r="G155" s="43"/>
      <c r="H155" s="43"/>
      <c r="I155" s="154"/>
      <c r="J155" s="155"/>
      <c r="K155" s="155"/>
      <c r="L155" s="155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</row>
    <row r="156" spans="1:23" ht="12.75">
      <c r="A156" s="43"/>
      <c r="B156" s="43"/>
      <c r="C156" s="43"/>
      <c r="D156" s="43"/>
      <c r="E156" s="43"/>
      <c r="F156" s="43"/>
      <c r="G156" s="43"/>
      <c r="H156" s="43"/>
      <c r="I156" s="154"/>
      <c r="J156" s="155"/>
      <c r="K156" s="155"/>
      <c r="L156" s="155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</row>
    <row r="157" spans="1:23" ht="12.75">
      <c r="A157" s="43"/>
      <c r="B157" s="43"/>
      <c r="C157" s="43"/>
      <c r="D157" s="43"/>
      <c r="E157" s="43"/>
      <c r="F157" s="43"/>
      <c r="G157" s="43"/>
      <c r="H157" s="43"/>
      <c r="I157" s="154"/>
      <c r="J157" s="155"/>
      <c r="K157" s="155"/>
      <c r="L157" s="155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</row>
    <row r="158" spans="1:23" ht="12.75">
      <c r="A158" s="43"/>
      <c r="B158" s="43"/>
      <c r="C158" s="43"/>
      <c r="D158" s="43"/>
      <c r="E158" s="43"/>
      <c r="F158" s="43"/>
      <c r="G158" s="43"/>
      <c r="H158" s="43"/>
      <c r="I158" s="154"/>
      <c r="J158" s="155"/>
      <c r="K158" s="155"/>
      <c r="L158" s="155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</row>
    <row r="159" spans="1:23" ht="12.75">
      <c r="A159" s="43"/>
      <c r="B159" s="43"/>
      <c r="C159" s="43"/>
      <c r="D159" s="43"/>
      <c r="E159" s="43"/>
      <c r="F159" s="43"/>
      <c r="G159" s="43"/>
      <c r="H159" s="43"/>
      <c r="I159" s="154"/>
      <c r="J159" s="155"/>
      <c r="K159" s="155"/>
      <c r="L159" s="155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</row>
    <row r="160" spans="1:23" ht="12.75">
      <c r="A160" s="43"/>
      <c r="B160" s="43"/>
      <c r="C160" s="43"/>
      <c r="D160" s="43"/>
      <c r="E160" s="43"/>
      <c r="F160" s="43"/>
      <c r="G160" s="43"/>
      <c r="H160" s="43"/>
      <c r="I160" s="154"/>
      <c r="J160" s="155"/>
      <c r="K160" s="155"/>
      <c r="L160" s="155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spans="1:23" ht="12.75">
      <c r="A161" s="43"/>
      <c r="B161" s="43"/>
      <c r="C161" s="43"/>
      <c r="D161" s="43"/>
      <c r="E161" s="43"/>
      <c r="F161" s="43"/>
      <c r="G161" s="43"/>
      <c r="H161" s="43"/>
      <c r="I161" s="154"/>
      <c r="J161" s="155"/>
      <c r="K161" s="155"/>
      <c r="L161" s="155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</row>
    <row r="162" spans="1:23" ht="12.75">
      <c r="A162" s="43"/>
      <c r="B162" s="43"/>
      <c r="C162" s="43"/>
      <c r="D162" s="43"/>
      <c r="E162" s="43"/>
      <c r="F162" s="43"/>
      <c r="G162" s="43"/>
      <c r="H162" s="43"/>
      <c r="I162" s="154"/>
      <c r="J162" s="155"/>
      <c r="K162" s="155"/>
      <c r="L162" s="155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</row>
    <row r="163" spans="1:23" ht="12.75">
      <c r="A163" s="43"/>
      <c r="B163" s="43"/>
      <c r="C163" s="43"/>
      <c r="D163" s="43"/>
      <c r="E163" s="43"/>
      <c r="F163" s="43"/>
      <c r="G163" s="43"/>
      <c r="H163" s="43"/>
      <c r="I163" s="154"/>
      <c r="J163" s="155"/>
      <c r="K163" s="155"/>
      <c r="L163" s="155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</row>
    <row r="164" spans="1:23" ht="12.75">
      <c r="A164" s="43"/>
      <c r="B164" s="43"/>
      <c r="C164" s="43"/>
      <c r="D164" s="43"/>
      <c r="E164" s="43"/>
      <c r="F164" s="43"/>
      <c r="G164" s="43"/>
      <c r="H164" s="43"/>
      <c r="I164" s="154"/>
      <c r="J164" s="155"/>
      <c r="K164" s="155"/>
      <c r="L164" s="155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</row>
    <row r="165" spans="1:23" ht="12.75">
      <c r="A165" s="43"/>
      <c r="B165" s="43"/>
      <c r="C165" s="43"/>
      <c r="D165" s="43"/>
      <c r="E165" s="43"/>
      <c r="F165" s="43"/>
      <c r="G165" s="43"/>
      <c r="H165" s="43"/>
      <c r="I165" s="154"/>
      <c r="J165" s="155"/>
      <c r="K165" s="155"/>
      <c r="L165" s="155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</row>
    <row r="166" spans="1:23" ht="12.75">
      <c r="A166" s="43"/>
      <c r="B166" s="43"/>
      <c r="C166" s="43"/>
      <c r="D166" s="43"/>
      <c r="E166" s="43"/>
      <c r="F166" s="43"/>
      <c r="G166" s="43"/>
      <c r="H166" s="43"/>
      <c r="I166" s="154"/>
      <c r="J166" s="155"/>
      <c r="K166" s="155"/>
      <c r="L166" s="155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</row>
    <row r="167" spans="1:23" ht="12.75">
      <c r="A167" s="43"/>
      <c r="B167" s="43"/>
      <c r="C167" s="43"/>
      <c r="D167" s="43"/>
      <c r="E167" s="43"/>
      <c r="F167" s="43"/>
      <c r="G167" s="43"/>
      <c r="H167" s="43"/>
      <c r="I167" s="154"/>
      <c r="J167" s="155"/>
      <c r="K167" s="155"/>
      <c r="L167" s="155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</row>
    <row r="168" spans="1:23" ht="12.75">
      <c r="A168" s="43"/>
      <c r="B168" s="43"/>
      <c r="C168" s="43"/>
      <c r="D168" s="43"/>
      <c r="E168" s="43"/>
      <c r="F168" s="43"/>
      <c r="G168" s="43"/>
      <c r="H168" s="43"/>
      <c r="I168" s="154"/>
      <c r="J168" s="155"/>
      <c r="K168" s="155"/>
      <c r="L168" s="155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</row>
    <row r="169" spans="1:23" ht="12.75">
      <c r="A169" s="43"/>
      <c r="B169" s="43"/>
      <c r="C169" s="43"/>
      <c r="D169" s="43"/>
      <c r="E169" s="43"/>
      <c r="F169" s="43"/>
      <c r="G169" s="43"/>
      <c r="H169" s="43"/>
      <c r="I169" s="154"/>
      <c r="J169" s="155"/>
      <c r="K169" s="155"/>
      <c r="L169" s="155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</row>
    <row r="170" spans="1:23" ht="12.75">
      <c r="A170" s="43"/>
      <c r="B170" s="43"/>
      <c r="C170" s="43"/>
      <c r="D170" s="43"/>
      <c r="E170" s="43"/>
      <c r="F170" s="43"/>
      <c r="G170" s="43"/>
      <c r="H170" s="43"/>
      <c r="I170" s="154"/>
      <c r="J170" s="155"/>
      <c r="K170" s="155"/>
      <c r="L170" s="155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</row>
    <row r="171" spans="1:23" ht="12.75">
      <c r="A171" s="43"/>
      <c r="B171" s="43"/>
      <c r="C171" s="43"/>
      <c r="D171" s="43"/>
      <c r="E171" s="43"/>
      <c r="F171" s="43"/>
      <c r="G171" s="43"/>
      <c r="H171" s="43"/>
      <c r="I171" s="154"/>
      <c r="J171" s="155"/>
      <c r="K171" s="155"/>
      <c r="L171" s="155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</row>
    <row r="172" spans="1:23" ht="12.75">
      <c r="A172" s="43"/>
      <c r="B172" s="43"/>
      <c r="C172" s="43"/>
      <c r="D172" s="43"/>
      <c r="E172" s="43"/>
      <c r="F172" s="43"/>
      <c r="G172" s="43"/>
      <c r="H172" s="43"/>
      <c r="I172" s="154"/>
      <c r="J172" s="155"/>
      <c r="K172" s="155"/>
      <c r="L172" s="155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</row>
    <row r="173" spans="1:23" ht="12.75">
      <c r="A173" s="43"/>
      <c r="B173" s="43"/>
      <c r="C173" s="43"/>
      <c r="D173" s="43"/>
      <c r="E173" s="43"/>
      <c r="F173" s="43"/>
      <c r="G173" s="43"/>
      <c r="H173" s="43"/>
      <c r="I173" s="154"/>
      <c r="J173" s="155"/>
      <c r="K173" s="155"/>
      <c r="L173" s="155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</row>
    <row r="174" spans="1:23" ht="12.75">
      <c r="A174" s="43"/>
      <c r="B174" s="43"/>
      <c r="C174" s="43"/>
      <c r="D174" s="43"/>
      <c r="E174" s="43"/>
      <c r="F174" s="43"/>
      <c r="G174" s="43"/>
      <c r="H174" s="43"/>
      <c r="I174" s="154"/>
      <c r="J174" s="155"/>
      <c r="K174" s="155"/>
      <c r="L174" s="155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</row>
    <row r="175" spans="1:23" ht="12.75">
      <c r="A175" s="43"/>
      <c r="B175" s="43"/>
      <c r="C175" s="43"/>
      <c r="D175" s="43"/>
      <c r="E175" s="43"/>
      <c r="F175" s="43"/>
      <c r="G175" s="43"/>
      <c r="H175" s="43"/>
      <c r="I175" s="154"/>
      <c r="J175" s="155"/>
      <c r="K175" s="155"/>
      <c r="L175" s="155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</row>
    <row r="176" spans="1:23" ht="12.75">
      <c r="A176" s="43"/>
      <c r="B176" s="43"/>
      <c r="C176" s="43"/>
      <c r="D176" s="43"/>
      <c r="E176" s="43"/>
      <c r="F176" s="43"/>
      <c r="G176" s="43"/>
      <c r="H176" s="43"/>
      <c r="I176" s="154"/>
      <c r="J176" s="155"/>
      <c r="K176" s="155"/>
      <c r="L176" s="155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</row>
    <row r="177" spans="1:23" ht="12.75">
      <c r="A177" s="43"/>
      <c r="B177" s="43"/>
      <c r="C177" s="43"/>
      <c r="D177" s="43"/>
      <c r="E177" s="43"/>
      <c r="F177" s="43"/>
      <c r="G177" s="43"/>
      <c r="H177" s="43"/>
      <c r="I177" s="154"/>
      <c r="J177" s="155"/>
      <c r="K177" s="155"/>
      <c r="L177" s="155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</row>
    <row r="178" spans="1:23" ht="12.75">
      <c r="A178" s="43"/>
      <c r="B178" s="43"/>
      <c r="C178" s="43"/>
      <c r="D178" s="43"/>
      <c r="E178" s="43"/>
      <c r="F178" s="43"/>
      <c r="G178" s="43"/>
      <c r="H178" s="43"/>
      <c r="I178" s="154"/>
      <c r="J178" s="155"/>
      <c r="K178" s="155"/>
      <c r="L178" s="155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</row>
    <row r="179" spans="1:23" ht="12.75">
      <c r="A179" s="43"/>
      <c r="B179" s="43"/>
      <c r="C179" s="43"/>
      <c r="D179" s="43"/>
      <c r="E179" s="43"/>
      <c r="F179" s="43"/>
      <c r="G179" s="43"/>
      <c r="H179" s="43"/>
      <c r="I179" s="154"/>
      <c r="J179" s="155"/>
      <c r="K179" s="155"/>
      <c r="L179" s="155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</row>
    <row r="180" spans="1:23" ht="12.75">
      <c r="A180" s="43"/>
      <c r="B180" s="43"/>
      <c r="C180" s="43"/>
      <c r="D180" s="43"/>
      <c r="E180" s="43"/>
      <c r="F180" s="43"/>
      <c r="G180" s="43"/>
      <c r="H180" s="43"/>
      <c r="I180" s="154"/>
      <c r="J180" s="155"/>
      <c r="K180" s="155"/>
      <c r="L180" s="155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</row>
    <row r="181" spans="1:23" ht="12.75">
      <c r="A181" s="43"/>
      <c r="B181" s="43"/>
      <c r="C181" s="43"/>
      <c r="D181" s="43"/>
      <c r="E181" s="43"/>
      <c r="F181" s="43"/>
      <c r="G181" s="43"/>
      <c r="H181" s="43"/>
      <c r="I181" s="154"/>
      <c r="J181" s="155"/>
      <c r="K181" s="155"/>
      <c r="L181" s="155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</row>
    <row r="182" spans="1:23" ht="12.75">
      <c r="A182" s="43"/>
      <c r="B182" s="43"/>
      <c r="C182" s="43"/>
      <c r="D182" s="43"/>
      <c r="E182" s="43"/>
      <c r="F182" s="43"/>
      <c r="G182" s="43"/>
      <c r="H182" s="43"/>
      <c r="I182" s="154"/>
      <c r="J182" s="155"/>
      <c r="K182" s="155"/>
      <c r="L182" s="155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</row>
    <row r="183" spans="1:23" ht="12.75">
      <c r="A183" s="43"/>
      <c r="B183" s="43"/>
      <c r="C183" s="43"/>
      <c r="D183" s="43"/>
      <c r="E183" s="43"/>
      <c r="F183" s="43"/>
      <c r="G183" s="43"/>
      <c r="H183" s="43"/>
      <c r="I183" s="154"/>
      <c r="J183" s="155"/>
      <c r="K183" s="155"/>
      <c r="L183" s="155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</row>
    <row r="184" spans="1:23" ht="12.75">
      <c r="A184" s="43"/>
      <c r="B184" s="43"/>
      <c r="C184" s="43"/>
      <c r="D184" s="43"/>
      <c r="E184" s="43"/>
      <c r="F184" s="43"/>
      <c r="G184" s="43"/>
      <c r="H184" s="43"/>
      <c r="I184" s="154"/>
      <c r="J184" s="155"/>
      <c r="K184" s="155"/>
      <c r="L184" s="155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</row>
    <row r="185" spans="1:23" ht="12.75">
      <c r="A185" s="43"/>
      <c r="B185" s="43"/>
      <c r="C185" s="43"/>
      <c r="D185" s="43"/>
      <c r="E185" s="43"/>
      <c r="F185" s="43"/>
      <c r="G185" s="43"/>
      <c r="H185" s="43"/>
      <c r="I185" s="154"/>
      <c r="J185" s="155"/>
      <c r="K185" s="155"/>
      <c r="L185" s="155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</row>
    <row r="186" spans="1:23" ht="12.75">
      <c r="A186" s="43"/>
      <c r="B186" s="43"/>
      <c r="C186" s="43"/>
      <c r="D186" s="43"/>
      <c r="E186" s="43"/>
      <c r="F186" s="43"/>
      <c r="G186" s="43"/>
      <c r="H186" s="43"/>
      <c r="I186" s="154"/>
      <c r="J186" s="155"/>
      <c r="K186" s="155"/>
      <c r="L186" s="155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</row>
    <row r="187" spans="1:23" ht="12.75">
      <c r="A187" s="43"/>
      <c r="B187" s="43"/>
      <c r="C187" s="43"/>
      <c r="D187" s="43"/>
      <c r="E187" s="43"/>
      <c r="F187" s="43"/>
      <c r="G187" s="43"/>
      <c r="H187" s="43"/>
      <c r="I187" s="154"/>
      <c r="J187" s="155"/>
      <c r="K187" s="155"/>
      <c r="L187" s="155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</row>
    <row r="188" spans="1:23" ht="12.75">
      <c r="A188" s="43"/>
      <c r="B188" s="43"/>
      <c r="C188" s="43"/>
      <c r="D188" s="43"/>
      <c r="E188" s="43"/>
      <c r="F188" s="43"/>
      <c r="G188" s="43"/>
      <c r="H188" s="43"/>
      <c r="I188" s="154"/>
      <c r="J188" s="155"/>
      <c r="K188" s="155"/>
      <c r="L188" s="155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</row>
    <row r="189" spans="1:23" ht="12.75">
      <c r="A189" s="43"/>
      <c r="B189" s="43"/>
      <c r="C189" s="43"/>
      <c r="D189" s="43"/>
      <c r="E189" s="43"/>
      <c r="F189" s="43"/>
      <c r="G189" s="43"/>
      <c r="H189" s="43"/>
      <c r="I189" s="154"/>
      <c r="J189" s="155"/>
      <c r="K189" s="155"/>
      <c r="L189" s="155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</row>
    <row r="190" spans="1:23" ht="12.75">
      <c r="A190" s="43"/>
      <c r="B190" s="43"/>
      <c r="C190" s="43"/>
      <c r="D190" s="43"/>
      <c r="E190" s="43"/>
      <c r="F190" s="43"/>
      <c r="G190" s="43"/>
      <c r="H190" s="43"/>
      <c r="I190" s="154"/>
      <c r="J190" s="155"/>
      <c r="K190" s="155"/>
      <c r="L190" s="155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</row>
    <row r="191" spans="1:23" ht="12.75">
      <c r="A191" s="43"/>
      <c r="B191" s="43"/>
      <c r="C191" s="43"/>
      <c r="D191" s="43"/>
      <c r="E191" s="43"/>
      <c r="F191" s="43"/>
      <c r="G191" s="43"/>
      <c r="H191" s="43"/>
      <c r="I191" s="154"/>
      <c r="J191" s="155"/>
      <c r="K191" s="155"/>
      <c r="L191" s="155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</row>
    <row r="192" spans="1:23" ht="12.75">
      <c r="A192" s="43"/>
      <c r="B192" s="43"/>
      <c r="C192" s="43"/>
      <c r="D192" s="43"/>
      <c r="E192" s="43"/>
      <c r="F192" s="43"/>
      <c r="G192" s="43"/>
      <c r="H192" s="43"/>
      <c r="I192" s="154"/>
      <c r="J192" s="155"/>
      <c r="K192" s="155"/>
      <c r="L192" s="155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</row>
    <row r="193" spans="1:23" ht="12.75">
      <c r="A193" s="43"/>
      <c r="B193" s="43"/>
      <c r="C193" s="43"/>
      <c r="D193" s="43"/>
      <c r="E193" s="43"/>
      <c r="F193" s="43"/>
      <c r="G193" s="43"/>
      <c r="H193" s="43"/>
      <c r="I193" s="154"/>
      <c r="J193" s="155"/>
      <c r="K193" s="155"/>
      <c r="L193" s="155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</row>
    <row r="194" spans="1:23" ht="12.75">
      <c r="A194" s="43"/>
      <c r="B194" s="43"/>
      <c r="C194" s="43"/>
      <c r="D194" s="43"/>
      <c r="E194" s="43"/>
      <c r="F194" s="43"/>
      <c r="G194" s="43"/>
      <c r="H194" s="43"/>
      <c r="I194" s="154"/>
      <c r="J194" s="155"/>
      <c r="K194" s="155"/>
      <c r="L194" s="155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</row>
    <row r="195" spans="1:23" ht="12.75">
      <c r="A195" s="43"/>
      <c r="B195" s="43"/>
      <c r="C195" s="43"/>
      <c r="D195" s="43"/>
      <c r="E195" s="43"/>
      <c r="F195" s="43"/>
      <c r="G195" s="43"/>
      <c r="H195" s="43"/>
      <c r="I195" s="154"/>
      <c r="J195" s="155"/>
      <c r="K195" s="155"/>
      <c r="L195" s="155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</row>
    <row r="196" spans="1:23" ht="12.75">
      <c r="A196" s="43"/>
      <c r="B196" s="43"/>
      <c r="C196" s="43"/>
      <c r="D196" s="43"/>
      <c r="E196" s="43"/>
      <c r="F196" s="43"/>
      <c r="G196" s="43"/>
      <c r="H196" s="43"/>
      <c r="I196" s="154"/>
      <c r="J196" s="155"/>
      <c r="K196" s="155"/>
      <c r="L196" s="155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</row>
    <row r="197" spans="1:23" ht="12.75">
      <c r="A197" s="43"/>
      <c r="B197" s="43"/>
      <c r="C197" s="43"/>
      <c r="D197" s="43"/>
      <c r="E197" s="43"/>
      <c r="F197" s="43"/>
      <c r="G197" s="43"/>
      <c r="H197" s="43"/>
      <c r="I197" s="154"/>
      <c r="J197" s="155"/>
      <c r="K197" s="155"/>
      <c r="L197" s="155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</row>
    <row r="198" spans="1:23" ht="12.75">
      <c r="A198" s="43"/>
      <c r="B198" s="43"/>
      <c r="C198" s="43"/>
      <c r="D198" s="43"/>
      <c r="E198" s="43"/>
      <c r="F198" s="43"/>
      <c r="G198" s="43"/>
      <c r="H198" s="43"/>
      <c r="I198" s="154"/>
      <c r="J198" s="155"/>
      <c r="K198" s="155"/>
      <c r="L198" s="155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</row>
    <row r="199" spans="1:23" ht="12.75">
      <c r="A199" s="43"/>
      <c r="B199" s="43"/>
      <c r="C199" s="43"/>
      <c r="D199" s="43"/>
      <c r="E199" s="43"/>
      <c r="F199" s="43"/>
      <c r="G199" s="43"/>
      <c r="H199" s="43"/>
      <c r="I199" s="154"/>
      <c r="J199" s="155"/>
      <c r="K199" s="155"/>
      <c r="L199" s="155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</row>
    <row r="200" spans="1:23" ht="12.75">
      <c r="A200" s="43"/>
      <c r="B200" s="43"/>
      <c r="C200" s="43"/>
      <c r="D200" s="43"/>
      <c r="E200" s="43"/>
      <c r="F200" s="43"/>
      <c r="G200" s="43"/>
      <c r="H200" s="43"/>
      <c r="I200" s="154"/>
      <c r="J200" s="155"/>
      <c r="K200" s="155"/>
      <c r="L200" s="155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</row>
    <row r="201" spans="1:23" ht="12.75">
      <c r="A201" s="43"/>
      <c r="B201" s="43"/>
      <c r="C201" s="43"/>
      <c r="D201" s="43"/>
      <c r="E201" s="43"/>
      <c r="F201" s="43"/>
      <c r="G201" s="43"/>
      <c r="H201" s="43"/>
      <c r="I201" s="154"/>
      <c r="J201" s="155"/>
      <c r="K201" s="155"/>
      <c r="L201" s="155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</row>
    <row r="202" spans="1:23" ht="12.75">
      <c r="A202" s="43"/>
      <c r="B202" s="43"/>
      <c r="C202" s="43"/>
      <c r="D202" s="43"/>
      <c r="E202" s="43"/>
      <c r="F202" s="43"/>
      <c r="G202" s="43"/>
      <c r="H202" s="43"/>
      <c r="I202" s="154"/>
      <c r="J202" s="155"/>
      <c r="K202" s="155"/>
      <c r="L202" s="155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</row>
    <row r="203" spans="1:23" ht="12.75">
      <c r="A203" s="43"/>
      <c r="B203" s="43"/>
      <c r="C203" s="43"/>
      <c r="D203" s="43"/>
      <c r="E203" s="43"/>
      <c r="F203" s="43"/>
      <c r="G203" s="43"/>
      <c r="H203" s="43"/>
      <c r="I203" s="154"/>
      <c r="J203" s="155"/>
      <c r="K203" s="155"/>
      <c r="L203" s="155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</row>
    <row r="204" spans="1:23" ht="12.75">
      <c r="A204" s="43"/>
      <c r="B204" s="43"/>
      <c r="C204" s="43"/>
      <c r="D204" s="43"/>
      <c r="E204" s="43"/>
      <c r="F204" s="43"/>
      <c r="G204" s="43"/>
      <c r="H204" s="43"/>
      <c r="I204" s="154"/>
      <c r="J204" s="155"/>
      <c r="K204" s="155"/>
      <c r="L204" s="155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</row>
    <row r="205" spans="1:23" ht="12.75">
      <c r="A205" s="43"/>
      <c r="B205" s="43"/>
      <c r="C205" s="43"/>
      <c r="D205" s="43"/>
      <c r="E205" s="43"/>
      <c r="F205" s="43"/>
      <c r="G205" s="43"/>
      <c r="H205" s="43"/>
      <c r="I205" s="154"/>
      <c r="J205" s="155"/>
      <c r="K205" s="155"/>
      <c r="L205" s="155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</row>
    <row r="206" spans="1:23" ht="12.75">
      <c r="A206" s="43"/>
      <c r="B206" s="43"/>
      <c r="C206" s="43"/>
      <c r="D206" s="43"/>
      <c r="E206" s="43"/>
      <c r="F206" s="43"/>
      <c r="G206" s="43"/>
      <c r="H206" s="43"/>
      <c r="I206" s="154"/>
      <c r="J206" s="155"/>
      <c r="K206" s="155"/>
      <c r="L206" s="155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</row>
    <row r="207" spans="1:23" ht="12.75">
      <c r="A207" s="43"/>
      <c r="B207" s="43"/>
      <c r="C207" s="43"/>
      <c r="D207" s="43"/>
      <c r="E207" s="43"/>
      <c r="F207" s="43"/>
      <c r="G207" s="43"/>
      <c r="H207" s="43"/>
      <c r="I207" s="154"/>
      <c r="J207" s="155"/>
      <c r="K207" s="155"/>
      <c r="L207" s="155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</row>
    <row r="208" spans="1:23" ht="12.75">
      <c r="A208" s="43"/>
      <c r="B208" s="43"/>
      <c r="C208" s="43"/>
      <c r="D208" s="43"/>
      <c r="E208" s="43"/>
      <c r="F208" s="43"/>
      <c r="G208" s="43"/>
      <c r="H208" s="43"/>
      <c r="I208" s="154"/>
      <c r="J208" s="155"/>
      <c r="K208" s="155"/>
      <c r="L208" s="155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</row>
    <row r="209" spans="1:23" ht="12.75">
      <c r="A209" s="43"/>
      <c r="B209" s="43"/>
      <c r="C209" s="43"/>
      <c r="D209" s="43"/>
      <c r="E209" s="43"/>
      <c r="F209" s="43"/>
      <c r="G209" s="43"/>
      <c r="H209" s="43"/>
      <c r="I209" s="154"/>
      <c r="J209" s="155"/>
      <c r="K209" s="155"/>
      <c r="L209" s="155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</row>
    <row r="210" spans="1:23" ht="12.75">
      <c r="A210" s="43"/>
      <c r="B210" s="43"/>
      <c r="C210" s="43"/>
      <c r="D210" s="43"/>
      <c r="E210" s="43"/>
      <c r="F210" s="43"/>
      <c r="G210" s="43"/>
      <c r="H210" s="43"/>
      <c r="I210" s="154"/>
      <c r="J210" s="155"/>
      <c r="K210" s="155"/>
      <c r="L210" s="155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</row>
    <row r="211" spans="1:23" ht="12.75">
      <c r="A211" s="43"/>
      <c r="B211" s="43"/>
      <c r="C211" s="43"/>
      <c r="D211" s="43"/>
      <c r="E211" s="43"/>
      <c r="F211" s="43"/>
      <c r="G211" s="43"/>
      <c r="H211" s="43"/>
      <c r="I211" s="154"/>
      <c r="J211" s="155"/>
      <c r="K211" s="155"/>
      <c r="L211" s="155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</row>
    <row r="212" spans="1:23" ht="12.75">
      <c r="A212" s="43"/>
      <c r="B212" s="43"/>
      <c r="C212" s="43"/>
      <c r="D212" s="43"/>
      <c r="E212" s="43"/>
      <c r="F212" s="43"/>
      <c r="G212" s="43"/>
      <c r="H212" s="43"/>
      <c r="I212" s="154"/>
      <c r="J212" s="155"/>
      <c r="K212" s="155"/>
      <c r="L212" s="155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</row>
    <row r="213" spans="1:23" ht="12.75">
      <c r="A213" s="43"/>
      <c r="B213" s="43"/>
      <c r="C213" s="43"/>
      <c r="D213" s="43"/>
      <c r="E213" s="43"/>
      <c r="F213" s="43"/>
      <c r="G213" s="43"/>
      <c r="H213" s="43"/>
      <c r="I213" s="154"/>
      <c r="J213" s="155"/>
      <c r="K213" s="155"/>
      <c r="L213" s="155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</row>
    <row r="214" spans="1:23" ht="12.75">
      <c r="A214" s="43"/>
      <c r="B214" s="43"/>
      <c r="C214" s="43"/>
      <c r="D214" s="43"/>
      <c r="E214" s="43"/>
      <c r="F214" s="43"/>
      <c r="G214" s="43"/>
      <c r="H214" s="43"/>
      <c r="I214" s="154"/>
      <c r="J214" s="155"/>
      <c r="K214" s="155"/>
      <c r="L214" s="155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</row>
    <row r="215" spans="1:23" ht="12.75">
      <c r="A215" s="43"/>
      <c r="B215" s="43"/>
      <c r="C215" s="43"/>
      <c r="D215" s="43"/>
      <c r="E215" s="43"/>
      <c r="F215" s="43"/>
      <c r="G215" s="43"/>
      <c r="H215" s="43"/>
      <c r="I215" s="154"/>
      <c r="J215" s="155"/>
      <c r="K215" s="155"/>
      <c r="L215" s="155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</row>
    <row r="216" spans="1:23" ht="12.75">
      <c r="A216" s="43"/>
      <c r="B216" s="43"/>
      <c r="C216" s="43"/>
      <c r="D216" s="43"/>
      <c r="E216" s="43"/>
      <c r="F216" s="43"/>
      <c r="G216" s="43"/>
      <c r="H216" s="43"/>
      <c r="I216" s="154"/>
      <c r="J216" s="155"/>
      <c r="K216" s="155"/>
      <c r="L216" s="155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</row>
    <row r="217" spans="1:23" ht="12.75">
      <c r="A217" s="43"/>
      <c r="B217" s="43"/>
      <c r="C217" s="43"/>
      <c r="D217" s="43"/>
      <c r="E217" s="43"/>
      <c r="F217" s="43"/>
      <c r="G217" s="43"/>
      <c r="H217" s="43"/>
      <c r="I217" s="154"/>
      <c r="J217" s="155"/>
      <c r="K217" s="155"/>
      <c r="L217" s="155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</row>
    <row r="218" spans="1:23" ht="12.75">
      <c r="A218" s="43"/>
      <c r="B218" s="43"/>
      <c r="C218" s="43"/>
      <c r="D218" s="43"/>
      <c r="E218" s="43"/>
      <c r="F218" s="43"/>
      <c r="G218" s="43"/>
      <c r="H218" s="43"/>
      <c r="I218" s="154"/>
      <c r="J218" s="155"/>
      <c r="K218" s="155"/>
      <c r="L218" s="155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</row>
    <row r="219" spans="1:23" ht="12.75">
      <c r="A219" s="43"/>
      <c r="B219" s="43"/>
      <c r="C219" s="43"/>
      <c r="D219" s="43"/>
      <c r="E219" s="43"/>
      <c r="F219" s="43"/>
      <c r="G219" s="43"/>
      <c r="H219" s="43"/>
      <c r="I219" s="154"/>
      <c r="J219" s="155"/>
      <c r="K219" s="155"/>
      <c r="L219" s="155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</row>
    <row r="220" spans="1:23" ht="12.75">
      <c r="A220" s="43"/>
      <c r="B220" s="43"/>
      <c r="C220" s="43"/>
      <c r="D220" s="43"/>
      <c r="E220" s="43"/>
      <c r="F220" s="43"/>
      <c r="G220" s="43"/>
      <c r="H220" s="43"/>
      <c r="I220" s="154"/>
      <c r="J220" s="155"/>
      <c r="K220" s="155"/>
      <c r="L220" s="155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</row>
    <row r="221" spans="1:23" ht="12.75">
      <c r="A221" s="43"/>
      <c r="B221" s="43"/>
      <c r="C221" s="43"/>
      <c r="D221" s="43"/>
      <c r="E221" s="43"/>
      <c r="F221" s="43"/>
      <c r="G221" s="43"/>
      <c r="H221" s="43"/>
      <c r="I221" s="154"/>
      <c r="J221" s="155"/>
      <c r="K221" s="155"/>
      <c r="L221" s="155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</row>
    <row r="222" spans="1:23" ht="12.75">
      <c r="A222" s="43"/>
      <c r="B222" s="43"/>
      <c r="C222" s="43"/>
      <c r="D222" s="43"/>
      <c r="E222" s="43"/>
      <c r="F222" s="43"/>
      <c r="G222" s="43"/>
      <c r="H222" s="43"/>
      <c r="I222" s="154"/>
      <c r="J222" s="155"/>
      <c r="K222" s="155"/>
      <c r="L222" s="155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</row>
    <row r="223" spans="1:23" ht="12.75">
      <c r="A223" s="43"/>
      <c r="B223" s="43"/>
      <c r="C223" s="43"/>
      <c r="D223" s="43"/>
      <c r="E223" s="43"/>
      <c r="F223" s="43"/>
      <c r="G223" s="43"/>
      <c r="H223" s="43"/>
      <c r="I223" s="154"/>
      <c r="J223" s="155"/>
      <c r="K223" s="155"/>
      <c r="L223" s="155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</row>
    <row r="224" spans="1:23" ht="12.75">
      <c r="A224" s="43"/>
      <c r="B224" s="43"/>
      <c r="C224" s="43"/>
      <c r="D224" s="43"/>
      <c r="E224" s="43"/>
      <c r="F224" s="43"/>
      <c r="G224" s="43"/>
      <c r="H224" s="43"/>
      <c r="I224" s="154"/>
      <c r="J224" s="155"/>
      <c r="K224" s="155"/>
      <c r="L224" s="155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</row>
  </sheetData>
  <sheetProtection/>
  <mergeCells count="3">
    <mergeCell ref="E13:E14"/>
    <mergeCell ref="F13:F14"/>
    <mergeCell ref="H13:H14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23" customWidth="1"/>
    <col min="2" max="2" width="31.28125" style="23" customWidth="1"/>
    <col min="3" max="3" width="9.140625" style="23" customWidth="1"/>
    <col min="4" max="4" width="16.140625" style="23" customWidth="1"/>
    <col min="5" max="5" width="19.28125" style="23" customWidth="1"/>
    <col min="6" max="6" width="17.7109375" style="23" customWidth="1"/>
    <col min="7" max="7" width="18.421875" style="23" customWidth="1"/>
    <col min="8" max="8" width="13.140625" style="23" customWidth="1"/>
    <col min="9" max="9" width="16.00390625" style="23" customWidth="1"/>
    <col min="10" max="10" width="14.00390625" style="23" customWidth="1"/>
    <col min="11" max="11" width="9.140625" style="23" customWidth="1"/>
    <col min="12" max="12" width="14.57421875" style="23" customWidth="1"/>
    <col min="13" max="16384" width="9.140625" style="23" customWidth="1"/>
  </cols>
  <sheetData>
    <row r="1" spans="1:24" ht="12.75">
      <c r="A1" s="43"/>
      <c r="B1" s="43"/>
      <c r="C1" s="43"/>
      <c r="D1" s="43"/>
      <c r="E1" s="43"/>
      <c r="F1" s="43"/>
      <c r="G1" s="43"/>
      <c r="H1" s="43"/>
      <c r="I1" s="43"/>
      <c r="J1" s="154"/>
      <c r="K1" s="155"/>
      <c r="L1" s="155"/>
      <c r="M1" s="155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2.75">
      <c r="A2" s="43"/>
      <c r="B2" s="43"/>
      <c r="C2" s="43"/>
      <c r="D2" s="43"/>
      <c r="E2" s="43"/>
      <c r="F2" s="43"/>
      <c r="G2" s="43"/>
      <c r="H2" s="43"/>
      <c r="I2" s="43"/>
      <c r="J2" s="154"/>
      <c r="K2" s="155"/>
      <c r="L2" s="155"/>
      <c r="M2" s="155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2.75">
      <c r="A3" s="43"/>
      <c r="B3" s="43"/>
      <c r="C3" s="43"/>
      <c r="D3" s="43"/>
      <c r="E3" s="43"/>
      <c r="F3" s="43"/>
      <c r="G3" s="43"/>
      <c r="H3" s="43"/>
      <c r="I3" s="43"/>
      <c r="J3" s="154"/>
      <c r="K3" s="155"/>
      <c r="L3" s="155"/>
      <c r="M3" s="155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2.75">
      <c r="A4" s="43"/>
      <c r="B4" s="43"/>
      <c r="C4" s="43"/>
      <c r="D4" s="43"/>
      <c r="E4" s="43"/>
      <c r="F4" s="43"/>
      <c r="G4" s="43"/>
      <c r="H4" s="43"/>
      <c r="I4" s="43"/>
      <c r="J4" s="154"/>
      <c r="K4" s="155"/>
      <c r="L4" s="155"/>
      <c r="M4" s="155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12.75">
      <c r="A5" s="43"/>
      <c r="B5" s="43"/>
      <c r="C5" s="43"/>
      <c r="D5" s="43"/>
      <c r="E5" s="43"/>
      <c r="F5" s="43"/>
      <c r="G5" s="43"/>
      <c r="H5" s="43"/>
      <c r="I5" s="43"/>
      <c r="J5" s="154"/>
      <c r="K5" s="155"/>
      <c r="L5" s="155"/>
      <c r="M5" s="155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2.75">
      <c r="A6" s="43"/>
      <c r="B6" s="43"/>
      <c r="C6" s="43"/>
      <c r="D6" s="43"/>
      <c r="E6" s="43"/>
      <c r="F6" s="43"/>
      <c r="G6" s="43"/>
      <c r="H6" s="43"/>
      <c r="I6" s="43"/>
      <c r="J6" s="154"/>
      <c r="K6" s="155"/>
      <c r="L6" s="155"/>
      <c r="M6" s="155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12.75">
      <c r="A7" s="43"/>
      <c r="B7" s="43"/>
      <c r="C7" s="43"/>
      <c r="D7" s="43"/>
      <c r="E7" s="43"/>
      <c r="F7" s="43"/>
      <c r="G7" s="43"/>
      <c r="H7" s="43"/>
      <c r="I7" s="43"/>
      <c r="J7" s="154"/>
      <c r="K7" s="155"/>
      <c r="L7" s="155"/>
      <c r="M7" s="155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2.75">
      <c r="A8" s="43"/>
      <c r="B8" s="43"/>
      <c r="C8" s="43"/>
      <c r="D8" s="43"/>
      <c r="E8" s="43"/>
      <c r="F8" s="43"/>
      <c r="G8" s="43"/>
      <c r="H8" s="43"/>
      <c r="I8" s="43"/>
      <c r="J8" s="154"/>
      <c r="K8" s="155"/>
      <c r="L8" s="155"/>
      <c r="M8" s="155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12.75">
      <c r="A9" s="43"/>
      <c r="B9" s="43"/>
      <c r="C9" s="43"/>
      <c r="D9" s="43"/>
      <c r="E9" s="43"/>
      <c r="F9" s="43"/>
      <c r="G9" s="43"/>
      <c r="H9" s="43"/>
      <c r="I9" s="43"/>
      <c r="J9" s="154"/>
      <c r="K9" s="155"/>
      <c r="L9" s="155"/>
      <c r="M9" s="155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12.75">
      <c r="A10" s="43"/>
      <c r="B10" s="43"/>
      <c r="C10" s="43"/>
      <c r="D10" s="43"/>
      <c r="E10" s="43"/>
      <c r="F10" s="43"/>
      <c r="G10" s="43"/>
      <c r="H10" s="43"/>
      <c r="I10" s="43"/>
      <c r="J10" s="154"/>
      <c r="K10" s="155"/>
      <c r="L10" s="155"/>
      <c r="M10" s="155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12.75">
      <c r="A11" s="43"/>
      <c r="B11" s="43"/>
      <c r="C11" s="43"/>
      <c r="D11" s="43"/>
      <c r="E11" s="43"/>
      <c r="F11" s="43"/>
      <c r="G11" s="43"/>
      <c r="H11" s="43"/>
      <c r="I11" s="43"/>
      <c r="J11" s="154"/>
      <c r="K11" s="155"/>
      <c r="L11" s="155"/>
      <c r="M11" s="155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12.75">
      <c r="A12" s="43"/>
      <c r="B12" s="43"/>
      <c r="C12" s="43"/>
      <c r="D12" s="43"/>
      <c r="E12" s="43"/>
      <c r="F12" s="43"/>
      <c r="G12" s="43"/>
      <c r="H12" s="43"/>
      <c r="I12" s="43"/>
      <c r="J12" s="154"/>
      <c r="K12" s="155"/>
      <c r="L12" s="155"/>
      <c r="M12" s="155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12.75">
      <c r="A13" s="43"/>
      <c r="B13" s="43"/>
      <c r="C13" s="43"/>
      <c r="D13" s="43"/>
      <c r="E13" s="43"/>
      <c r="F13" s="43"/>
      <c r="G13" s="43"/>
      <c r="H13" s="43"/>
      <c r="I13" s="43"/>
      <c r="J13" s="154"/>
      <c r="K13" s="155"/>
      <c r="L13" s="155"/>
      <c r="M13" s="155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2.75">
      <c r="A14" s="43"/>
      <c r="B14" s="43"/>
      <c r="C14" s="43"/>
      <c r="D14" s="43"/>
      <c r="E14" s="43"/>
      <c r="F14" s="43"/>
      <c r="G14" s="43"/>
      <c r="H14" s="43"/>
      <c r="I14" s="43"/>
      <c r="J14" s="154"/>
      <c r="K14" s="155"/>
      <c r="L14" s="155"/>
      <c r="M14" s="155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12.75">
      <c r="A15" s="43"/>
      <c r="B15" s="43"/>
      <c r="C15" s="43"/>
      <c r="D15" s="43"/>
      <c r="E15" s="43"/>
      <c r="F15" s="43"/>
      <c r="G15" s="43"/>
      <c r="H15" s="43"/>
      <c r="I15" s="43"/>
      <c r="J15" s="154"/>
      <c r="K15" s="155"/>
      <c r="L15" s="155"/>
      <c r="M15" s="155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2.75">
      <c r="A16" s="43"/>
      <c r="B16" s="43"/>
      <c r="C16" s="43"/>
      <c r="D16" s="43"/>
      <c r="E16" s="43"/>
      <c r="F16" s="43"/>
      <c r="G16" s="43"/>
      <c r="H16" s="43"/>
      <c r="I16" s="43"/>
      <c r="J16" s="154"/>
      <c r="K16" s="155"/>
      <c r="L16" s="155"/>
      <c r="M16" s="155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12.75">
      <c r="A17" s="43"/>
      <c r="B17" s="43"/>
      <c r="C17" s="43"/>
      <c r="D17" s="43"/>
      <c r="E17" s="43"/>
      <c r="F17" s="43"/>
      <c r="G17" s="43"/>
      <c r="H17" s="43"/>
      <c r="I17" s="43"/>
      <c r="J17" s="154"/>
      <c r="K17" s="155"/>
      <c r="L17" s="155"/>
      <c r="M17" s="155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2.75">
      <c r="A18" s="43"/>
      <c r="B18" s="43"/>
      <c r="C18" s="43"/>
      <c r="D18" s="43"/>
      <c r="E18" s="43"/>
      <c r="F18" s="43"/>
      <c r="G18" s="43"/>
      <c r="H18" s="43"/>
      <c r="I18" s="43"/>
      <c r="J18" s="154"/>
      <c r="K18" s="155"/>
      <c r="L18" s="155"/>
      <c r="M18" s="155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12.75">
      <c r="A19" s="43"/>
      <c r="B19" s="43"/>
      <c r="C19" s="43"/>
      <c r="D19" s="43"/>
      <c r="E19" s="43"/>
      <c r="F19" s="43"/>
      <c r="G19" s="43"/>
      <c r="H19" s="43"/>
      <c r="I19" s="43"/>
      <c r="J19" s="154"/>
      <c r="K19" s="155"/>
      <c r="L19" s="155"/>
      <c r="M19" s="155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2.75">
      <c r="A20" s="43"/>
      <c r="B20" s="43"/>
      <c r="C20" s="43"/>
      <c r="D20" s="43"/>
      <c r="E20" s="43"/>
      <c r="F20" s="43"/>
      <c r="G20" s="43"/>
      <c r="H20" s="43"/>
      <c r="I20" s="43"/>
      <c r="J20" s="154"/>
      <c r="K20" s="155"/>
      <c r="L20" s="155"/>
      <c r="M20" s="155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2.75">
      <c r="A21" s="43"/>
      <c r="B21" s="43"/>
      <c r="C21" s="43"/>
      <c r="D21" s="43"/>
      <c r="E21" s="43"/>
      <c r="F21" s="43"/>
      <c r="G21" s="43"/>
      <c r="H21" s="43"/>
      <c r="I21" s="43"/>
      <c r="J21" s="154"/>
      <c r="K21" s="155"/>
      <c r="L21" s="155"/>
      <c r="M21" s="155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12.75">
      <c r="A22" s="43"/>
      <c r="B22" s="43"/>
      <c r="C22" s="43"/>
      <c r="D22" s="43"/>
      <c r="E22" s="43"/>
      <c r="F22" s="43"/>
      <c r="G22" s="43"/>
      <c r="H22" s="43"/>
      <c r="I22" s="43"/>
      <c r="J22" s="154"/>
      <c r="K22" s="155"/>
      <c r="L22" s="155"/>
      <c r="M22" s="155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2.75">
      <c r="A23" s="43"/>
      <c r="B23" s="43"/>
      <c r="C23" s="43"/>
      <c r="D23" s="43"/>
      <c r="E23" s="43"/>
      <c r="F23" s="43"/>
      <c r="G23" s="43"/>
      <c r="H23" s="43"/>
      <c r="I23" s="43"/>
      <c r="J23" s="154"/>
      <c r="K23" s="155"/>
      <c r="L23" s="155"/>
      <c r="M23" s="15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12.75">
      <c r="A24" s="43"/>
      <c r="B24" s="43"/>
      <c r="C24" s="43"/>
      <c r="D24" s="43"/>
      <c r="E24" s="43"/>
      <c r="F24" s="43"/>
      <c r="G24" s="43"/>
      <c r="H24" s="43"/>
      <c r="I24" s="43"/>
      <c r="J24" s="154"/>
      <c r="K24" s="155"/>
      <c r="L24" s="155"/>
      <c r="M24" s="155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12.75">
      <c r="A25" s="43"/>
      <c r="B25" s="43"/>
      <c r="C25" s="43"/>
      <c r="D25" s="43"/>
      <c r="E25" s="43"/>
      <c r="F25" s="43"/>
      <c r="G25" s="43"/>
      <c r="H25" s="43"/>
      <c r="I25" s="43"/>
      <c r="J25" s="154"/>
      <c r="K25" s="155"/>
      <c r="L25" s="155"/>
      <c r="M25" s="155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12.75">
      <c r="A26" s="43"/>
      <c r="B26" s="43"/>
      <c r="C26" s="43"/>
      <c r="D26" s="43"/>
      <c r="E26" s="43"/>
      <c r="F26" s="43"/>
      <c r="G26" s="43"/>
      <c r="H26" s="43"/>
      <c r="I26" s="43"/>
      <c r="J26" s="154"/>
      <c r="K26" s="155"/>
      <c r="L26" s="155"/>
      <c r="M26" s="155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12.75">
      <c r="A27" s="43"/>
      <c r="B27" s="43"/>
      <c r="C27" s="43"/>
      <c r="D27" s="43"/>
      <c r="E27" s="43"/>
      <c r="F27" s="43"/>
      <c r="G27" s="43"/>
      <c r="H27" s="43"/>
      <c r="I27" s="43"/>
      <c r="J27" s="154"/>
      <c r="K27" s="155"/>
      <c r="L27" s="155"/>
      <c r="M27" s="155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2.75">
      <c r="A28" s="43"/>
      <c r="B28" s="43"/>
      <c r="C28" s="43"/>
      <c r="D28" s="43"/>
      <c r="E28" s="43"/>
      <c r="F28" s="43"/>
      <c r="G28" s="43"/>
      <c r="H28" s="43"/>
      <c r="I28" s="43"/>
      <c r="J28" s="154"/>
      <c r="K28" s="155"/>
      <c r="L28" s="155"/>
      <c r="M28" s="155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2.75">
      <c r="A29" s="43"/>
      <c r="B29" s="43"/>
      <c r="C29" s="43"/>
      <c r="D29" s="43"/>
      <c r="E29" s="43"/>
      <c r="F29" s="43"/>
      <c r="G29" s="43"/>
      <c r="H29" s="43"/>
      <c r="I29" s="43"/>
      <c r="J29" s="154"/>
      <c r="K29" s="155"/>
      <c r="L29" s="155"/>
      <c r="M29" s="155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2.75">
      <c r="A30" s="43"/>
      <c r="B30" s="43"/>
      <c r="C30" s="43"/>
      <c r="D30" s="43"/>
      <c r="E30" s="43"/>
      <c r="F30" s="43"/>
      <c r="G30" s="43"/>
      <c r="H30" s="43"/>
      <c r="I30" s="43"/>
      <c r="J30" s="154"/>
      <c r="K30" s="155"/>
      <c r="L30" s="155"/>
      <c r="M30" s="155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12.75">
      <c r="A31" s="43"/>
      <c r="B31" s="43"/>
      <c r="C31" s="43"/>
      <c r="D31" s="43"/>
      <c r="E31" s="43"/>
      <c r="F31" s="43"/>
      <c r="G31" s="43"/>
      <c r="H31" s="43"/>
      <c r="I31" s="43"/>
      <c r="J31" s="154"/>
      <c r="K31" s="155"/>
      <c r="L31" s="155"/>
      <c r="M31" s="155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12.75">
      <c r="A32" s="43"/>
      <c r="B32" s="43"/>
      <c r="C32" s="43"/>
      <c r="D32" s="43"/>
      <c r="E32" s="43"/>
      <c r="F32" s="43"/>
      <c r="G32" s="43"/>
      <c r="H32" s="43"/>
      <c r="I32" s="43"/>
      <c r="J32" s="154"/>
      <c r="K32" s="155"/>
      <c r="L32" s="155"/>
      <c r="M32" s="155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12.75">
      <c r="A33" s="43"/>
      <c r="B33" s="43"/>
      <c r="C33" s="43"/>
      <c r="D33" s="43"/>
      <c r="E33" s="43"/>
      <c r="F33" s="43"/>
      <c r="G33" s="43"/>
      <c r="H33" s="43"/>
      <c r="I33" s="43"/>
      <c r="J33" s="154"/>
      <c r="K33" s="155"/>
      <c r="L33" s="155"/>
      <c r="M33" s="155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12.75">
      <c r="A34" s="43"/>
      <c r="B34" s="43"/>
      <c r="C34" s="43"/>
      <c r="D34" s="43"/>
      <c r="E34" s="43"/>
      <c r="F34" s="43"/>
      <c r="G34" s="43"/>
      <c r="H34" s="43"/>
      <c r="I34" s="43"/>
      <c r="J34" s="154"/>
      <c r="K34" s="155"/>
      <c r="L34" s="155"/>
      <c r="M34" s="155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2.75">
      <c r="A35" s="43"/>
      <c r="B35" s="43"/>
      <c r="C35" s="43"/>
      <c r="D35" s="43"/>
      <c r="E35" s="43"/>
      <c r="F35" s="43"/>
      <c r="G35" s="43"/>
      <c r="H35" s="43"/>
      <c r="I35" s="43"/>
      <c r="J35" s="154"/>
      <c r="K35" s="155"/>
      <c r="L35" s="155"/>
      <c r="M35" s="155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ht="12.75">
      <c r="A36" s="43"/>
      <c r="B36" s="43"/>
      <c r="C36" s="43"/>
      <c r="D36" s="43"/>
      <c r="E36" s="43"/>
      <c r="F36" s="43"/>
      <c r="G36" s="43"/>
      <c r="H36" s="43"/>
      <c r="I36" s="43"/>
      <c r="J36" s="154"/>
      <c r="K36" s="155"/>
      <c r="L36" s="155"/>
      <c r="M36" s="155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2.75">
      <c r="A37" s="43"/>
      <c r="B37" s="43"/>
      <c r="C37" s="43"/>
      <c r="D37" s="43"/>
      <c r="E37" s="43"/>
      <c r="F37" s="43"/>
      <c r="G37" s="43"/>
      <c r="H37" s="43"/>
      <c r="I37" s="43"/>
      <c r="J37" s="154"/>
      <c r="K37" s="155"/>
      <c r="L37" s="155"/>
      <c r="M37" s="155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2.75">
      <c r="A38" s="43"/>
      <c r="B38" s="43"/>
      <c r="C38" s="43"/>
      <c r="D38" s="43"/>
      <c r="E38" s="43"/>
      <c r="F38" s="43"/>
      <c r="G38" s="43"/>
      <c r="H38" s="43"/>
      <c r="I38" s="43"/>
      <c r="J38" s="154"/>
      <c r="K38" s="155"/>
      <c r="L38" s="155"/>
      <c r="M38" s="155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2.75">
      <c r="A39" s="43"/>
      <c r="B39" s="43"/>
      <c r="C39" s="43"/>
      <c r="D39" s="43"/>
      <c r="E39" s="43"/>
      <c r="F39" s="43"/>
      <c r="G39" s="43"/>
      <c r="H39" s="43"/>
      <c r="I39" s="43"/>
      <c r="J39" s="154"/>
      <c r="K39" s="155"/>
      <c r="L39" s="155"/>
      <c r="M39" s="155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2.75">
      <c r="A40" s="43"/>
      <c r="B40" s="43"/>
      <c r="C40" s="43"/>
      <c r="D40" s="43"/>
      <c r="E40" s="43"/>
      <c r="F40" s="43"/>
      <c r="G40" s="43"/>
      <c r="H40" s="43"/>
      <c r="I40" s="43"/>
      <c r="J40" s="154"/>
      <c r="K40" s="155"/>
      <c r="L40" s="155"/>
      <c r="M40" s="155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2.75">
      <c r="A41" s="43"/>
      <c r="B41" s="43"/>
      <c r="C41" s="43"/>
      <c r="D41" s="43"/>
      <c r="E41" s="43"/>
      <c r="F41" s="43"/>
      <c r="G41" s="43"/>
      <c r="H41" s="43"/>
      <c r="I41" s="43"/>
      <c r="J41" s="154"/>
      <c r="K41" s="155"/>
      <c r="L41" s="155"/>
      <c r="M41" s="155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2.75">
      <c r="A42" s="43"/>
      <c r="B42" s="43"/>
      <c r="C42" s="43"/>
      <c r="D42" s="43"/>
      <c r="E42" s="43"/>
      <c r="F42" s="43"/>
      <c r="G42" s="43"/>
      <c r="H42" s="43"/>
      <c r="I42" s="43"/>
      <c r="J42" s="154"/>
      <c r="K42" s="155"/>
      <c r="L42" s="155"/>
      <c r="M42" s="155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2.75">
      <c r="A43" s="43"/>
      <c r="B43" s="43"/>
      <c r="C43" s="43"/>
      <c r="D43" s="43"/>
      <c r="E43" s="43"/>
      <c r="F43" s="43"/>
      <c r="G43" s="43"/>
      <c r="H43" s="43"/>
      <c r="I43" s="43"/>
      <c r="J43" s="154"/>
      <c r="K43" s="155"/>
      <c r="L43" s="155"/>
      <c r="M43" s="155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2.75">
      <c r="A44" s="43"/>
      <c r="B44" s="43"/>
      <c r="C44" s="43"/>
      <c r="D44" s="43"/>
      <c r="E44" s="43"/>
      <c r="F44" s="43"/>
      <c r="G44" s="43"/>
      <c r="H44" s="43"/>
      <c r="I44" s="43"/>
      <c r="J44" s="154"/>
      <c r="K44" s="155"/>
      <c r="L44" s="155"/>
      <c r="M44" s="155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ht="12.75">
      <c r="A45" s="43"/>
      <c r="B45" s="43"/>
      <c r="C45" s="43"/>
      <c r="D45" s="43"/>
      <c r="E45" s="43"/>
      <c r="F45" s="43"/>
      <c r="G45" s="43"/>
      <c r="H45" s="43"/>
      <c r="I45" s="43"/>
      <c r="J45" s="154"/>
      <c r="K45" s="155"/>
      <c r="L45" s="155"/>
      <c r="M45" s="155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12.75">
      <c r="A46" s="43"/>
      <c r="B46" s="43"/>
      <c r="C46" s="43"/>
      <c r="D46" s="43"/>
      <c r="E46" s="43"/>
      <c r="F46" s="43"/>
      <c r="G46" s="43"/>
      <c r="H46" s="43"/>
      <c r="I46" s="43"/>
      <c r="J46" s="154"/>
      <c r="K46" s="155"/>
      <c r="L46" s="155"/>
      <c r="M46" s="1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ht="12.75">
      <c r="A47" s="43"/>
      <c r="B47" s="43"/>
      <c r="C47" s="43"/>
      <c r="D47" s="43"/>
      <c r="E47" s="43"/>
      <c r="F47" s="43"/>
      <c r="G47" s="43"/>
      <c r="H47" s="43"/>
      <c r="I47" s="43"/>
      <c r="J47" s="154"/>
      <c r="K47" s="155"/>
      <c r="L47" s="155"/>
      <c r="M47" s="155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ht="12.75">
      <c r="A48" s="43"/>
      <c r="B48" s="43"/>
      <c r="C48" s="43"/>
      <c r="D48" s="43"/>
      <c r="E48" s="43"/>
      <c r="F48" s="43"/>
      <c r="G48" s="43"/>
      <c r="H48" s="43"/>
      <c r="I48" s="43"/>
      <c r="J48" s="154"/>
      <c r="K48" s="155"/>
      <c r="L48" s="155"/>
      <c r="M48" s="155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ht="12.75">
      <c r="A49" s="43"/>
      <c r="B49" s="43"/>
      <c r="C49" s="43"/>
      <c r="D49" s="43"/>
      <c r="E49" s="43"/>
      <c r="F49" s="43"/>
      <c r="G49" s="43"/>
      <c r="H49" s="43"/>
      <c r="I49" s="43"/>
      <c r="J49" s="154"/>
      <c r="K49" s="155"/>
      <c r="L49" s="155"/>
      <c r="M49" s="155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2.75">
      <c r="A50" s="43"/>
      <c r="B50" s="43"/>
      <c r="C50" s="43"/>
      <c r="D50" s="43"/>
      <c r="E50" s="43"/>
      <c r="F50" s="43"/>
      <c r="G50" s="43"/>
      <c r="H50" s="43"/>
      <c r="I50" s="43"/>
      <c r="J50" s="154"/>
      <c r="K50" s="155"/>
      <c r="L50" s="155"/>
      <c r="M50" s="155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ht="12.75">
      <c r="A51" s="43"/>
      <c r="B51" s="43"/>
      <c r="C51" s="43"/>
      <c r="D51" s="43"/>
      <c r="E51" s="43"/>
      <c r="F51" s="43"/>
      <c r="G51" s="43"/>
      <c r="H51" s="43"/>
      <c r="I51" s="43"/>
      <c r="J51" s="154"/>
      <c r="K51" s="155"/>
      <c r="L51" s="155"/>
      <c r="M51" s="155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ht="12.75">
      <c r="A52" s="43"/>
      <c r="B52" s="43"/>
      <c r="C52" s="43"/>
      <c r="D52" s="43"/>
      <c r="E52" s="43"/>
      <c r="F52" s="43"/>
      <c r="G52" s="43"/>
      <c r="H52" s="43"/>
      <c r="I52" s="43"/>
      <c r="J52" s="154"/>
      <c r="K52" s="155"/>
      <c r="L52" s="155"/>
      <c r="M52" s="155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ht="12.75">
      <c r="A53" s="43"/>
      <c r="B53" s="43"/>
      <c r="C53" s="43"/>
      <c r="D53" s="43"/>
      <c r="E53" s="43"/>
      <c r="F53" s="43"/>
      <c r="G53" s="43"/>
      <c r="H53" s="43"/>
      <c r="I53" s="43"/>
      <c r="J53" s="154"/>
      <c r="K53" s="155"/>
      <c r="L53" s="155"/>
      <c r="M53" s="155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 ht="12.75">
      <c r="A54" s="43"/>
      <c r="B54" s="43"/>
      <c r="C54" s="43"/>
      <c r="D54" s="43"/>
      <c r="E54" s="43"/>
      <c r="F54" s="43"/>
      <c r="G54" s="43"/>
      <c r="H54" s="43"/>
      <c r="I54" s="43"/>
      <c r="J54" s="154"/>
      <c r="K54" s="155"/>
      <c r="L54" s="155"/>
      <c r="M54" s="155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ht="12.75">
      <c r="A55" s="43"/>
      <c r="B55" s="43"/>
      <c r="C55" s="43"/>
      <c r="D55" s="43"/>
      <c r="E55" s="43"/>
      <c r="F55" s="43"/>
      <c r="G55" s="43"/>
      <c r="H55" s="43"/>
      <c r="I55" s="43"/>
      <c r="J55" s="154"/>
      <c r="K55" s="155"/>
      <c r="L55" s="155"/>
      <c r="M55" s="155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ht="12.75">
      <c r="A56" s="43"/>
      <c r="B56" s="43"/>
      <c r="C56" s="43"/>
      <c r="D56" s="43"/>
      <c r="E56" s="43"/>
      <c r="F56" s="43"/>
      <c r="G56" s="43"/>
      <c r="H56" s="43"/>
      <c r="I56" s="43"/>
      <c r="J56" s="154"/>
      <c r="K56" s="155"/>
      <c r="L56" s="155"/>
      <c r="M56" s="155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12.75">
      <c r="A57" s="43"/>
      <c r="B57" s="43"/>
      <c r="C57" s="43"/>
      <c r="D57" s="43"/>
      <c r="E57" s="43"/>
      <c r="F57" s="43"/>
      <c r="G57" s="43"/>
      <c r="H57" s="43"/>
      <c r="I57" s="43"/>
      <c r="J57" s="154"/>
      <c r="K57" s="155"/>
      <c r="L57" s="155"/>
      <c r="M57" s="155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12.75">
      <c r="A58" s="43"/>
      <c r="B58" s="43"/>
      <c r="C58" s="43"/>
      <c r="D58" s="43"/>
      <c r="E58" s="43"/>
      <c r="F58" s="43"/>
      <c r="G58" s="43"/>
      <c r="H58" s="43"/>
      <c r="I58" s="43"/>
      <c r="J58" s="154"/>
      <c r="K58" s="155"/>
      <c r="L58" s="155"/>
      <c r="M58" s="155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12.75">
      <c r="A59" s="43"/>
      <c r="B59" s="43"/>
      <c r="C59" s="43"/>
      <c r="D59" s="43"/>
      <c r="E59" s="43"/>
      <c r="F59" s="43"/>
      <c r="G59" s="43"/>
      <c r="H59" s="43"/>
      <c r="I59" s="43"/>
      <c r="J59" s="154"/>
      <c r="K59" s="155"/>
      <c r="L59" s="155"/>
      <c r="M59" s="155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ht="12.75">
      <c r="A60" s="43"/>
      <c r="B60" s="43"/>
      <c r="C60" s="43"/>
      <c r="D60" s="43"/>
      <c r="E60" s="43"/>
      <c r="F60" s="43"/>
      <c r="G60" s="43"/>
      <c r="H60" s="43"/>
      <c r="I60" s="43"/>
      <c r="J60" s="154"/>
      <c r="K60" s="155"/>
      <c r="L60" s="155"/>
      <c r="M60" s="155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12.75">
      <c r="A61" s="43"/>
      <c r="B61" s="43"/>
      <c r="C61" s="43"/>
      <c r="D61" s="43"/>
      <c r="E61" s="43"/>
      <c r="F61" s="43"/>
      <c r="G61" s="43"/>
      <c r="H61" s="43"/>
      <c r="I61" s="43"/>
      <c r="J61" s="154"/>
      <c r="K61" s="155"/>
      <c r="L61" s="155"/>
      <c r="M61" s="155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12.75">
      <c r="A62" s="43"/>
      <c r="B62" s="43"/>
      <c r="C62" s="43"/>
      <c r="D62" s="43"/>
      <c r="E62" s="43"/>
      <c r="F62" s="43"/>
      <c r="G62" s="43"/>
      <c r="H62" s="43"/>
      <c r="I62" s="43"/>
      <c r="J62" s="154"/>
      <c r="K62" s="155"/>
      <c r="L62" s="155"/>
      <c r="M62" s="155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ht="12.75">
      <c r="A63" s="43"/>
      <c r="B63" s="43"/>
      <c r="C63" s="43"/>
      <c r="D63" s="43"/>
      <c r="E63" s="43"/>
      <c r="F63" s="43"/>
      <c r="G63" s="43"/>
      <c r="H63" s="43"/>
      <c r="I63" s="43"/>
      <c r="J63" s="154"/>
      <c r="K63" s="155"/>
      <c r="L63" s="155"/>
      <c r="M63" s="155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12.75">
      <c r="A64" s="43"/>
      <c r="B64" s="43"/>
      <c r="C64" s="43"/>
      <c r="D64" s="43"/>
      <c r="E64" s="43"/>
      <c r="F64" s="43"/>
      <c r="G64" s="43"/>
      <c r="H64" s="43"/>
      <c r="I64" s="43"/>
      <c r="J64" s="154"/>
      <c r="K64" s="155"/>
      <c r="L64" s="155"/>
      <c r="M64" s="155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12.75">
      <c r="A65" s="43"/>
      <c r="B65" s="43"/>
      <c r="C65" s="43"/>
      <c r="D65" s="43"/>
      <c r="E65" s="43"/>
      <c r="F65" s="43"/>
      <c r="G65" s="43"/>
      <c r="H65" s="43"/>
      <c r="I65" s="43"/>
      <c r="J65" s="154"/>
      <c r="K65" s="155"/>
      <c r="L65" s="155"/>
      <c r="M65" s="155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ht="12.75">
      <c r="A66" s="43"/>
      <c r="B66" s="43"/>
      <c r="C66" s="43"/>
      <c r="D66" s="43"/>
      <c r="E66" s="43"/>
      <c r="F66" s="43"/>
      <c r="G66" s="43"/>
      <c r="H66" s="43"/>
      <c r="I66" s="43"/>
      <c r="J66" s="154"/>
      <c r="K66" s="155"/>
      <c r="L66" s="155"/>
      <c r="M66" s="155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4" ht="12.75">
      <c r="A67" s="43"/>
      <c r="B67" s="43"/>
      <c r="C67" s="43"/>
      <c r="D67" s="43"/>
      <c r="E67" s="43"/>
      <c r="F67" s="43"/>
      <c r="G67" s="43"/>
      <c r="H67" s="43"/>
      <c r="I67" s="43"/>
      <c r="J67" s="154"/>
      <c r="K67" s="155"/>
      <c r="L67" s="155"/>
      <c r="M67" s="155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:24" ht="12.75">
      <c r="A68" s="43"/>
      <c r="B68" s="43"/>
      <c r="C68" s="43"/>
      <c r="D68" s="43"/>
      <c r="E68" s="43"/>
      <c r="F68" s="43"/>
      <c r="G68" s="43"/>
      <c r="H68" s="43"/>
      <c r="I68" s="43"/>
      <c r="J68" s="154"/>
      <c r="K68" s="155"/>
      <c r="L68" s="155"/>
      <c r="M68" s="155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 ht="12.75">
      <c r="A69" s="43"/>
      <c r="B69" s="43"/>
      <c r="C69" s="43"/>
      <c r="D69" s="43"/>
      <c r="E69" s="43"/>
      <c r="F69" s="43"/>
      <c r="G69" s="43"/>
      <c r="H69" s="43"/>
      <c r="I69" s="43"/>
      <c r="J69" s="154"/>
      <c r="K69" s="155"/>
      <c r="L69" s="155"/>
      <c r="M69" s="155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ht="12.75">
      <c r="A70" s="43"/>
      <c r="B70" s="43"/>
      <c r="C70" s="43"/>
      <c r="D70" s="43"/>
      <c r="E70" s="43"/>
      <c r="F70" s="43"/>
      <c r="G70" s="43"/>
      <c r="H70" s="43"/>
      <c r="I70" s="43"/>
      <c r="J70" s="154"/>
      <c r="K70" s="155"/>
      <c r="L70" s="155"/>
      <c r="M70" s="155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 ht="12.75">
      <c r="A71" s="43"/>
      <c r="B71" s="43"/>
      <c r="C71" s="43"/>
      <c r="D71" s="43"/>
      <c r="E71" s="43"/>
      <c r="F71" s="43"/>
      <c r="G71" s="43"/>
      <c r="H71" s="43"/>
      <c r="I71" s="43"/>
      <c r="J71" s="154"/>
      <c r="K71" s="155"/>
      <c r="L71" s="155"/>
      <c r="M71" s="155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2.75">
      <c r="A72" s="43"/>
      <c r="B72" s="43"/>
      <c r="C72" s="43"/>
      <c r="D72" s="43"/>
      <c r="E72" s="43"/>
      <c r="F72" s="43"/>
      <c r="G72" s="43"/>
      <c r="H72" s="43"/>
      <c r="I72" s="43"/>
      <c r="J72" s="154"/>
      <c r="K72" s="155"/>
      <c r="L72" s="155"/>
      <c r="M72" s="155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2.75">
      <c r="A73" s="43"/>
      <c r="B73" s="43"/>
      <c r="C73" s="43"/>
      <c r="D73" s="43"/>
      <c r="E73" s="43"/>
      <c r="F73" s="43"/>
      <c r="G73" s="43"/>
      <c r="H73" s="43"/>
      <c r="I73" s="43"/>
      <c r="J73" s="154"/>
      <c r="K73" s="155"/>
      <c r="L73" s="155"/>
      <c r="M73" s="155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2.75">
      <c r="A74" s="43"/>
      <c r="B74" s="43"/>
      <c r="C74" s="43"/>
      <c r="D74" s="43"/>
      <c r="E74" s="43"/>
      <c r="F74" s="43"/>
      <c r="G74" s="43"/>
      <c r="H74" s="43"/>
      <c r="I74" s="43"/>
      <c r="J74" s="154"/>
      <c r="K74" s="155"/>
      <c r="L74" s="155"/>
      <c r="M74" s="155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ht="12.75">
      <c r="A75" s="43"/>
      <c r="B75" s="43"/>
      <c r="C75" s="43"/>
      <c r="D75" s="43"/>
      <c r="E75" s="43"/>
      <c r="F75" s="43"/>
      <c r="G75" s="43"/>
      <c r="H75" s="43"/>
      <c r="I75" s="43"/>
      <c r="J75" s="154"/>
      <c r="K75" s="155"/>
      <c r="L75" s="155"/>
      <c r="M75" s="155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 ht="12.75">
      <c r="A76" s="43"/>
      <c r="B76" s="43"/>
      <c r="C76" s="43"/>
      <c r="D76" s="43"/>
      <c r="E76" s="43"/>
      <c r="F76" s="43"/>
      <c r="G76" s="43"/>
      <c r="H76" s="43"/>
      <c r="I76" s="43"/>
      <c r="J76" s="154"/>
      <c r="K76" s="155"/>
      <c r="L76" s="155"/>
      <c r="M76" s="155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 ht="12.75">
      <c r="A77" s="43"/>
      <c r="B77" s="43"/>
      <c r="C77" s="43"/>
      <c r="D77" s="43"/>
      <c r="E77" s="43"/>
      <c r="F77" s="43"/>
      <c r="G77" s="43"/>
      <c r="H77" s="43"/>
      <c r="I77" s="43"/>
      <c r="J77" s="154"/>
      <c r="K77" s="155"/>
      <c r="L77" s="155"/>
      <c r="M77" s="155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12.75">
      <c r="A78" s="43"/>
      <c r="B78" s="43"/>
      <c r="C78" s="43"/>
      <c r="D78" s="43"/>
      <c r="E78" s="43"/>
      <c r="F78" s="43"/>
      <c r="G78" s="43"/>
      <c r="H78" s="43"/>
      <c r="I78" s="43"/>
      <c r="J78" s="154"/>
      <c r="K78" s="155"/>
      <c r="L78" s="155"/>
      <c r="M78" s="155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12.75">
      <c r="A79" s="43"/>
      <c r="B79" s="43"/>
      <c r="C79" s="43"/>
      <c r="D79" s="43"/>
      <c r="E79" s="43"/>
      <c r="F79" s="43"/>
      <c r="G79" s="43"/>
      <c r="H79" s="43"/>
      <c r="I79" s="43"/>
      <c r="J79" s="154"/>
      <c r="K79" s="155"/>
      <c r="L79" s="155"/>
      <c r="M79" s="155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>
      <c r="A80" s="43"/>
      <c r="B80" s="43"/>
      <c r="C80" s="43"/>
      <c r="D80" s="43"/>
      <c r="E80" s="43"/>
      <c r="F80" s="43"/>
      <c r="G80" s="43"/>
      <c r="H80" s="43"/>
      <c r="I80" s="43"/>
      <c r="J80" s="154"/>
      <c r="K80" s="155"/>
      <c r="L80" s="155"/>
      <c r="M80" s="155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4" ht="12.75">
      <c r="A81" s="43"/>
      <c r="B81" s="43"/>
      <c r="C81" s="43"/>
      <c r="D81" s="43"/>
      <c r="E81" s="43"/>
      <c r="F81" s="43"/>
      <c r="G81" s="43"/>
      <c r="H81" s="43"/>
      <c r="I81" s="43"/>
      <c r="J81" s="154"/>
      <c r="K81" s="155"/>
      <c r="L81" s="155"/>
      <c r="M81" s="155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4" ht="12.75">
      <c r="A82" s="43"/>
      <c r="B82" s="43"/>
      <c r="C82" s="43"/>
      <c r="D82" s="43"/>
      <c r="E82" s="43"/>
      <c r="F82" s="43"/>
      <c r="G82" s="43"/>
      <c r="H82" s="43"/>
      <c r="I82" s="43"/>
      <c r="J82" s="154"/>
      <c r="K82" s="155"/>
      <c r="L82" s="155"/>
      <c r="M82" s="155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12.75">
      <c r="A83" s="43"/>
      <c r="B83" s="43"/>
      <c r="C83" s="43"/>
      <c r="D83" s="43"/>
      <c r="E83" s="43"/>
      <c r="F83" s="43"/>
      <c r="G83" s="43"/>
      <c r="H83" s="43"/>
      <c r="I83" s="43"/>
      <c r="J83" s="154"/>
      <c r="K83" s="155"/>
      <c r="L83" s="155"/>
      <c r="M83" s="155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2.75">
      <c r="A84" s="43"/>
      <c r="B84" s="43"/>
      <c r="C84" s="43"/>
      <c r="D84" s="43"/>
      <c r="E84" s="43"/>
      <c r="F84" s="43"/>
      <c r="G84" s="43"/>
      <c r="H84" s="43"/>
      <c r="I84" s="43"/>
      <c r="J84" s="154"/>
      <c r="K84" s="155"/>
      <c r="L84" s="155"/>
      <c r="M84" s="155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1:24" ht="12.75">
      <c r="A85" s="43"/>
      <c r="B85" s="43"/>
      <c r="C85" s="43"/>
      <c r="D85" s="43"/>
      <c r="E85" s="43"/>
      <c r="F85" s="43"/>
      <c r="G85" s="43"/>
      <c r="H85" s="43"/>
      <c r="I85" s="43"/>
      <c r="J85" s="154"/>
      <c r="K85" s="155"/>
      <c r="L85" s="155"/>
      <c r="M85" s="155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1:24" ht="12.75">
      <c r="A86" s="43"/>
      <c r="B86" s="43"/>
      <c r="C86" s="43"/>
      <c r="D86" s="43"/>
      <c r="E86" s="43"/>
      <c r="F86" s="43"/>
      <c r="G86" s="43"/>
      <c r="H86" s="43"/>
      <c r="I86" s="43"/>
      <c r="J86" s="154"/>
      <c r="K86" s="155"/>
      <c r="L86" s="155"/>
      <c r="M86" s="155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1:24" ht="12.75">
      <c r="A87" s="43"/>
      <c r="B87" s="43"/>
      <c r="C87" s="43"/>
      <c r="D87" s="43"/>
      <c r="E87" s="43"/>
      <c r="F87" s="43"/>
      <c r="G87" s="43"/>
      <c r="H87" s="43"/>
      <c r="I87" s="43"/>
      <c r="J87" s="154"/>
      <c r="K87" s="155"/>
      <c r="L87" s="155"/>
      <c r="M87" s="155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1:24" ht="12.75">
      <c r="A88" s="43"/>
      <c r="B88" s="43"/>
      <c r="C88" s="43"/>
      <c r="D88" s="43"/>
      <c r="E88" s="43"/>
      <c r="F88" s="43"/>
      <c r="G88" s="43"/>
      <c r="H88" s="43"/>
      <c r="I88" s="43"/>
      <c r="J88" s="154"/>
      <c r="K88" s="155"/>
      <c r="L88" s="155"/>
      <c r="M88" s="155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1:24" ht="12.75">
      <c r="A89" s="43"/>
      <c r="B89" s="43"/>
      <c r="C89" s="43"/>
      <c r="D89" s="43"/>
      <c r="E89" s="43"/>
      <c r="F89" s="43"/>
      <c r="G89" s="43"/>
      <c r="H89" s="43"/>
      <c r="I89" s="43"/>
      <c r="J89" s="154"/>
      <c r="K89" s="155"/>
      <c r="L89" s="155"/>
      <c r="M89" s="155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1:24" ht="12.75">
      <c r="A90" s="43"/>
      <c r="B90" s="43"/>
      <c r="C90" s="43"/>
      <c r="D90" s="43"/>
      <c r="E90" s="43"/>
      <c r="F90" s="43"/>
      <c r="G90" s="43"/>
      <c r="H90" s="43"/>
      <c r="I90" s="43"/>
      <c r="J90" s="154"/>
      <c r="K90" s="155"/>
      <c r="L90" s="155"/>
      <c r="M90" s="155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1:24" ht="12.75">
      <c r="A91" s="43"/>
      <c r="B91" s="43"/>
      <c r="C91" s="43"/>
      <c r="D91" s="43"/>
      <c r="E91" s="43"/>
      <c r="F91" s="43"/>
      <c r="G91" s="43"/>
      <c r="H91" s="43"/>
      <c r="I91" s="43"/>
      <c r="J91" s="154"/>
      <c r="K91" s="155"/>
      <c r="L91" s="155"/>
      <c r="M91" s="155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1:24" ht="12.75">
      <c r="A92" s="43"/>
      <c r="B92" s="43"/>
      <c r="C92" s="43"/>
      <c r="D92" s="43"/>
      <c r="E92" s="43"/>
      <c r="F92" s="43"/>
      <c r="G92" s="43"/>
      <c r="H92" s="43"/>
      <c r="I92" s="43"/>
      <c r="J92" s="154"/>
      <c r="K92" s="155"/>
      <c r="L92" s="155"/>
      <c r="M92" s="155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12.75">
      <c r="A93" s="43"/>
      <c r="B93" s="43"/>
      <c r="C93" s="43"/>
      <c r="D93" s="43"/>
      <c r="E93" s="43"/>
      <c r="F93" s="43"/>
      <c r="G93" s="43"/>
      <c r="H93" s="43"/>
      <c r="I93" s="43"/>
      <c r="J93" s="154"/>
      <c r="K93" s="155"/>
      <c r="L93" s="155"/>
      <c r="M93" s="155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12.75">
      <c r="A94" s="43"/>
      <c r="B94" s="43"/>
      <c r="C94" s="43"/>
      <c r="D94" s="43"/>
      <c r="E94" s="43"/>
      <c r="F94" s="43"/>
      <c r="G94" s="43"/>
      <c r="H94" s="43"/>
      <c r="I94" s="43"/>
      <c r="J94" s="154"/>
      <c r="K94" s="155"/>
      <c r="L94" s="155"/>
      <c r="M94" s="155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2.75">
      <c r="A95" s="43"/>
      <c r="B95" s="43"/>
      <c r="C95" s="43"/>
      <c r="D95" s="43"/>
      <c r="E95" s="43"/>
      <c r="F95" s="43"/>
      <c r="G95" s="43"/>
      <c r="H95" s="43"/>
      <c r="I95" s="43"/>
      <c r="J95" s="154"/>
      <c r="K95" s="155"/>
      <c r="L95" s="155"/>
      <c r="M95" s="155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2.75">
      <c r="A96" s="43"/>
      <c r="B96" s="43"/>
      <c r="C96" s="43"/>
      <c r="D96" s="43"/>
      <c r="E96" s="43"/>
      <c r="F96" s="43"/>
      <c r="G96" s="43"/>
      <c r="H96" s="43"/>
      <c r="I96" s="43"/>
      <c r="J96" s="154"/>
      <c r="K96" s="155"/>
      <c r="L96" s="155"/>
      <c r="M96" s="155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1:24" ht="12.75">
      <c r="A97" s="43"/>
      <c r="B97" s="43"/>
      <c r="C97" s="43"/>
      <c r="D97" s="43"/>
      <c r="E97" s="43"/>
      <c r="F97" s="43"/>
      <c r="G97" s="43"/>
      <c r="H97" s="43"/>
      <c r="I97" s="43"/>
      <c r="J97" s="154"/>
      <c r="K97" s="155"/>
      <c r="L97" s="155"/>
      <c r="M97" s="155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1:24" ht="12.75">
      <c r="A98" s="43"/>
      <c r="B98" s="43"/>
      <c r="C98" s="43"/>
      <c r="D98" s="43"/>
      <c r="E98" s="43"/>
      <c r="F98" s="43"/>
      <c r="G98" s="43"/>
      <c r="H98" s="43"/>
      <c r="I98" s="43"/>
      <c r="J98" s="154"/>
      <c r="K98" s="155"/>
      <c r="L98" s="155"/>
      <c r="M98" s="155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1:24" ht="12.75">
      <c r="A99" s="43"/>
      <c r="B99" s="43"/>
      <c r="C99" s="43"/>
      <c r="D99" s="43"/>
      <c r="E99" s="43"/>
      <c r="F99" s="43"/>
      <c r="G99" s="43"/>
      <c r="H99" s="43"/>
      <c r="I99" s="43"/>
      <c r="J99" s="154"/>
      <c r="K99" s="155"/>
      <c r="L99" s="155"/>
      <c r="M99" s="155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1:24" ht="12.75">
      <c r="A100" s="43"/>
      <c r="B100" s="43"/>
      <c r="C100" s="43"/>
      <c r="D100" s="43"/>
      <c r="E100" s="43"/>
      <c r="F100" s="43"/>
      <c r="G100" s="43"/>
      <c r="H100" s="43"/>
      <c r="I100" s="43"/>
      <c r="J100" s="154"/>
      <c r="K100" s="155"/>
      <c r="L100" s="155"/>
      <c r="M100" s="155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1:24" ht="12.75">
      <c r="A101" s="43"/>
      <c r="B101" s="43"/>
      <c r="C101" s="43"/>
      <c r="D101" s="43"/>
      <c r="E101" s="43"/>
      <c r="F101" s="43"/>
      <c r="G101" s="43"/>
      <c r="H101" s="43"/>
      <c r="I101" s="43"/>
      <c r="J101" s="154"/>
      <c r="K101" s="155"/>
      <c r="L101" s="155"/>
      <c r="M101" s="155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1:24" ht="12.75">
      <c r="A102" s="43"/>
      <c r="B102" s="43"/>
      <c r="C102" s="43"/>
      <c r="D102" s="43"/>
      <c r="E102" s="43"/>
      <c r="F102" s="43"/>
      <c r="G102" s="43"/>
      <c r="H102" s="43"/>
      <c r="I102" s="43"/>
      <c r="J102" s="154"/>
      <c r="K102" s="155"/>
      <c r="L102" s="155"/>
      <c r="M102" s="155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1:24" ht="12.75">
      <c r="A103" s="43"/>
      <c r="B103" s="43"/>
      <c r="C103" s="43"/>
      <c r="D103" s="43"/>
      <c r="E103" s="43"/>
      <c r="F103" s="43"/>
      <c r="G103" s="43"/>
      <c r="H103" s="43"/>
      <c r="I103" s="43"/>
      <c r="J103" s="154"/>
      <c r="K103" s="155"/>
      <c r="L103" s="155"/>
      <c r="M103" s="155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1:24" ht="12.75">
      <c r="A104" s="43"/>
      <c r="B104" s="43"/>
      <c r="C104" s="43"/>
      <c r="D104" s="43"/>
      <c r="E104" s="43"/>
      <c r="F104" s="43"/>
      <c r="G104" s="43"/>
      <c r="H104" s="43"/>
      <c r="I104" s="43"/>
      <c r="J104" s="154"/>
      <c r="K104" s="155"/>
      <c r="L104" s="155"/>
      <c r="M104" s="155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1:24" ht="12.75">
      <c r="A105" s="43"/>
      <c r="B105" s="43"/>
      <c r="C105" s="43"/>
      <c r="D105" s="43"/>
      <c r="E105" s="43"/>
      <c r="F105" s="43"/>
      <c r="G105" s="43"/>
      <c r="H105" s="43"/>
      <c r="I105" s="43"/>
      <c r="J105" s="154"/>
      <c r="K105" s="155"/>
      <c r="L105" s="155"/>
      <c r="M105" s="155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1:24" ht="12.75">
      <c r="A106" s="43"/>
      <c r="B106" s="43"/>
      <c r="C106" s="43"/>
      <c r="D106" s="43"/>
      <c r="E106" s="43"/>
      <c r="F106" s="43"/>
      <c r="G106" s="43"/>
      <c r="H106" s="43"/>
      <c r="I106" s="43"/>
      <c r="J106" s="154"/>
      <c r="K106" s="155"/>
      <c r="L106" s="155"/>
      <c r="M106" s="155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1:24" ht="12.75">
      <c r="A107" s="43"/>
      <c r="B107" s="43"/>
      <c r="C107" s="43"/>
      <c r="D107" s="43"/>
      <c r="E107" s="43"/>
      <c r="F107" s="43"/>
      <c r="G107" s="43"/>
      <c r="H107" s="43"/>
      <c r="I107" s="43"/>
      <c r="J107" s="154"/>
      <c r="K107" s="155"/>
      <c r="L107" s="155"/>
      <c r="M107" s="155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1:24" ht="12.75">
      <c r="A108" s="43"/>
      <c r="B108" s="43"/>
      <c r="C108" s="43"/>
      <c r="D108" s="43"/>
      <c r="E108" s="43"/>
      <c r="F108" s="43"/>
      <c r="G108" s="43"/>
      <c r="H108" s="43"/>
      <c r="I108" s="43"/>
      <c r="J108" s="154"/>
      <c r="K108" s="155"/>
      <c r="L108" s="155"/>
      <c r="M108" s="155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1:24" ht="12.75">
      <c r="A109" s="43"/>
      <c r="B109" s="43"/>
      <c r="C109" s="43"/>
      <c r="D109" s="43"/>
      <c r="E109" s="43"/>
      <c r="F109" s="43"/>
      <c r="G109" s="43"/>
      <c r="H109" s="43"/>
      <c r="I109" s="43"/>
      <c r="J109" s="154"/>
      <c r="K109" s="155"/>
      <c r="L109" s="155"/>
      <c r="M109" s="155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1:24" ht="12.75">
      <c r="A110" s="43"/>
      <c r="B110" s="43"/>
      <c r="C110" s="43"/>
      <c r="D110" s="43"/>
      <c r="E110" s="43"/>
      <c r="F110" s="43"/>
      <c r="G110" s="43"/>
      <c r="H110" s="43"/>
      <c r="I110" s="43"/>
      <c r="J110" s="154"/>
      <c r="K110" s="155"/>
      <c r="L110" s="155"/>
      <c r="M110" s="155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1:24" ht="12.75">
      <c r="A111" s="43"/>
      <c r="B111" s="43"/>
      <c r="C111" s="43"/>
      <c r="D111" s="43"/>
      <c r="E111" s="43"/>
      <c r="F111" s="43"/>
      <c r="G111" s="43"/>
      <c r="H111" s="43"/>
      <c r="I111" s="43"/>
      <c r="J111" s="154"/>
      <c r="K111" s="155"/>
      <c r="L111" s="155"/>
      <c r="M111" s="155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1:24" ht="12.75">
      <c r="A112" s="43"/>
      <c r="B112" s="43"/>
      <c r="C112" s="43"/>
      <c r="D112" s="43"/>
      <c r="E112" s="43"/>
      <c r="F112" s="43"/>
      <c r="G112" s="43"/>
      <c r="H112" s="43"/>
      <c r="I112" s="43"/>
      <c r="J112" s="154"/>
      <c r="K112" s="155"/>
      <c r="L112" s="155"/>
      <c r="M112" s="155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1:24" ht="12.75">
      <c r="A113" s="43"/>
      <c r="B113" s="43"/>
      <c r="C113" s="43"/>
      <c r="D113" s="43"/>
      <c r="E113" s="43"/>
      <c r="F113" s="43"/>
      <c r="G113" s="43"/>
      <c r="H113" s="43"/>
      <c r="I113" s="43"/>
      <c r="J113" s="154"/>
      <c r="K113" s="155"/>
      <c r="L113" s="155"/>
      <c r="M113" s="155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1:24" ht="12.75">
      <c r="A114" s="43"/>
      <c r="B114" s="43"/>
      <c r="C114" s="43"/>
      <c r="D114" s="43"/>
      <c r="E114" s="43"/>
      <c r="F114" s="43"/>
      <c r="G114" s="43"/>
      <c r="H114" s="43"/>
      <c r="I114" s="43"/>
      <c r="J114" s="154"/>
      <c r="K114" s="155"/>
      <c r="L114" s="155"/>
      <c r="M114" s="155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1:24" ht="12.75">
      <c r="A115" s="43"/>
      <c r="B115" s="43"/>
      <c r="C115" s="43"/>
      <c r="D115" s="43"/>
      <c r="E115" s="43"/>
      <c r="F115" s="43"/>
      <c r="G115" s="43"/>
      <c r="H115" s="43"/>
      <c r="I115" s="43"/>
      <c r="J115" s="154"/>
      <c r="K115" s="155"/>
      <c r="L115" s="155"/>
      <c r="M115" s="155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1:24" ht="12.75">
      <c r="A116" s="43"/>
      <c r="B116" s="43"/>
      <c r="C116" s="43"/>
      <c r="D116" s="43"/>
      <c r="E116" s="43"/>
      <c r="F116" s="43"/>
      <c r="G116" s="43"/>
      <c r="H116" s="43"/>
      <c r="I116" s="43"/>
      <c r="J116" s="154"/>
      <c r="K116" s="155"/>
      <c r="L116" s="155"/>
      <c r="M116" s="155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1:24" ht="12.75">
      <c r="A117" s="43"/>
      <c r="B117" s="43"/>
      <c r="C117" s="43"/>
      <c r="D117" s="43"/>
      <c r="E117" s="43"/>
      <c r="F117" s="43"/>
      <c r="G117" s="43"/>
      <c r="H117" s="43"/>
      <c r="I117" s="43"/>
      <c r="J117" s="154"/>
      <c r="K117" s="155"/>
      <c r="L117" s="155"/>
      <c r="M117" s="155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1:24" ht="12.75">
      <c r="A118" s="43"/>
      <c r="B118" s="43"/>
      <c r="C118" s="43"/>
      <c r="D118" s="43"/>
      <c r="E118" s="43"/>
      <c r="F118" s="43"/>
      <c r="G118" s="43"/>
      <c r="H118" s="43"/>
      <c r="I118" s="43"/>
      <c r="J118" s="154"/>
      <c r="K118" s="155"/>
      <c r="L118" s="155"/>
      <c r="M118" s="155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1:24" ht="12.75">
      <c r="A119" s="43"/>
      <c r="B119" s="43"/>
      <c r="C119" s="43"/>
      <c r="D119" s="43"/>
      <c r="E119" s="43"/>
      <c r="F119" s="43"/>
      <c r="G119" s="43"/>
      <c r="H119" s="43"/>
      <c r="I119" s="43"/>
      <c r="J119" s="154"/>
      <c r="K119" s="155"/>
      <c r="L119" s="155"/>
      <c r="M119" s="155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1:24" ht="12.75">
      <c r="A120" s="43"/>
      <c r="B120" s="43"/>
      <c r="C120" s="43"/>
      <c r="D120" s="43"/>
      <c r="E120" s="43"/>
      <c r="F120" s="43"/>
      <c r="G120" s="43"/>
      <c r="H120" s="43"/>
      <c r="I120" s="43"/>
      <c r="J120" s="154"/>
      <c r="K120" s="155"/>
      <c r="L120" s="155"/>
      <c r="M120" s="155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1:24" ht="12.75">
      <c r="A121" s="43"/>
      <c r="B121" s="43"/>
      <c r="C121" s="43"/>
      <c r="D121" s="43"/>
      <c r="E121" s="43"/>
      <c r="F121" s="43"/>
      <c r="G121" s="43"/>
      <c r="H121" s="43"/>
      <c r="I121" s="43"/>
      <c r="J121" s="154"/>
      <c r="K121" s="155"/>
      <c r="L121" s="155"/>
      <c r="M121" s="155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1:24" ht="12.75">
      <c r="A122" s="43"/>
      <c r="B122" s="43"/>
      <c r="C122" s="43"/>
      <c r="D122" s="43"/>
      <c r="E122" s="43"/>
      <c r="F122" s="43"/>
      <c r="G122" s="43"/>
      <c r="H122" s="43"/>
      <c r="I122" s="43"/>
      <c r="J122" s="154"/>
      <c r="K122" s="155"/>
      <c r="L122" s="155"/>
      <c r="M122" s="155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1:24" ht="12.75">
      <c r="A123" s="43"/>
      <c r="B123" s="43"/>
      <c r="C123" s="43"/>
      <c r="D123" s="43"/>
      <c r="E123" s="43"/>
      <c r="F123" s="43"/>
      <c r="G123" s="43"/>
      <c r="H123" s="43"/>
      <c r="I123" s="43"/>
      <c r="J123" s="154"/>
      <c r="K123" s="155"/>
      <c r="L123" s="155"/>
      <c r="M123" s="155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1:24" ht="12.75">
      <c r="A124" s="43"/>
      <c r="B124" s="43"/>
      <c r="C124" s="43"/>
      <c r="D124" s="43"/>
      <c r="E124" s="43"/>
      <c r="F124" s="43"/>
      <c r="G124" s="43"/>
      <c r="H124" s="43"/>
      <c r="I124" s="43"/>
      <c r="J124" s="154"/>
      <c r="K124" s="155"/>
      <c r="L124" s="155"/>
      <c r="M124" s="155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1:24" ht="12.75">
      <c r="A125" s="43"/>
      <c r="B125" s="43"/>
      <c r="C125" s="43"/>
      <c r="D125" s="43"/>
      <c r="E125" s="43"/>
      <c r="F125" s="43"/>
      <c r="G125" s="43"/>
      <c r="H125" s="43"/>
      <c r="I125" s="43"/>
      <c r="J125" s="154"/>
      <c r="K125" s="155"/>
      <c r="L125" s="155"/>
      <c r="M125" s="155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1:24" ht="12.75">
      <c r="A126" s="43"/>
      <c r="B126" s="43"/>
      <c r="C126" s="43"/>
      <c r="D126" s="43"/>
      <c r="E126" s="43"/>
      <c r="F126" s="43"/>
      <c r="G126" s="43"/>
      <c r="H126" s="43"/>
      <c r="I126" s="43"/>
      <c r="J126" s="154"/>
      <c r="K126" s="155"/>
      <c r="L126" s="155"/>
      <c r="M126" s="155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1:24" ht="12.75">
      <c r="A127" s="43"/>
      <c r="B127" s="43"/>
      <c r="C127" s="43"/>
      <c r="D127" s="43"/>
      <c r="E127" s="43"/>
      <c r="F127" s="43"/>
      <c r="G127" s="43"/>
      <c r="H127" s="43"/>
      <c r="I127" s="43"/>
      <c r="J127" s="154"/>
      <c r="K127" s="155"/>
      <c r="L127" s="155"/>
      <c r="M127" s="155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1:24" ht="12.75">
      <c r="A128" s="43"/>
      <c r="B128" s="43"/>
      <c r="C128" s="43"/>
      <c r="D128" s="43"/>
      <c r="E128" s="43"/>
      <c r="F128" s="43"/>
      <c r="G128" s="43"/>
      <c r="H128" s="43"/>
      <c r="I128" s="43"/>
      <c r="J128" s="154"/>
      <c r="K128" s="155"/>
      <c r="L128" s="155"/>
      <c r="M128" s="155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1:24" ht="12.75">
      <c r="A129" s="43"/>
      <c r="B129" s="43"/>
      <c r="C129" s="43"/>
      <c r="D129" s="43"/>
      <c r="E129" s="43"/>
      <c r="F129" s="43"/>
      <c r="G129" s="43"/>
      <c r="H129" s="43"/>
      <c r="I129" s="43"/>
      <c r="J129" s="154"/>
      <c r="K129" s="155"/>
      <c r="L129" s="155"/>
      <c r="M129" s="155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1:24" ht="12.75">
      <c r="A130" s="43"/>
      <c r="B130" s="43"/>
      <c r="C130" s="43"/>
      <c r="D130" s="43"/>
      <c r="E130" s="43"/>
      <c r="F130" s="43"/>
      <c r="G130" s="43"/>
      <c r="H130" s="43"/>
      <c r="I130" s="43"/>
      <c r="J130" s="154"/>
      <c r="K130" s="155"/>
      <c r="L130" s="155"/>
      <c r="M130" s="155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1:24" ht="12.75">
      <c r="A131" s="43"/>
      <c r="B131" s="43"/>
      <c r="C131" s="43"/>
      <c r="D131" s="43"/>
      <c r="E131" s="43"/>
      <c r="F131" s="43"/>
      <c r="G131" s="43"/>
      <c r="H131" s="43"/>
      <c r="I131" s="43"/>
      <c r="J131" s="154"/>
      <c r="K131" s="155"/>
      <c r="L131" s="155"/>
      <c r="M131" s="155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1:24" ht="12.75">
      <c r="A132" s="43"/>
      <c r="B132" s="43"/>
      <c r="C132" s="43"/>
      <c r="D132" s="43"/>
      <c r="E132" s="43"/>
      <c r="F132" s="43"/>
      <c r="G132" s="43"/>
      <c r="H132" s="43"/>
      <c r="I132" s="43"/>
      <c r="J132" s="154"/>
      <c r="K132" s="155"/>
      <c r="L132" s="155"/>
      <c r="M132" s="155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1:24" ht="12.75">
      <c r="A133" s="43"/>
      <c r="B133" s="43"/>
      <c r="C133" s="43"/>
      <c r="D133" s="43"/>
      <c r="E133" s="43"/>
      <c r="F133" s="43"/>
      <c r="G133" s="43"/>
      <c r="H133" s="43"/>
      <c r="I133" s="43"/>
      <c r="J133" s="154"/>
      <c r="K133" s="155"/>
      <c r="L133" s="155"/>
      <c r="M133" s="155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1:24" ht="12.75">
      <c r="A134" s="43"/>
      <c r="B134" s="43"/>
      <c r="C134" s="43"/>
      <c r="D134" s="43"/>
      <c r="E134" s="43"/>
      <c r="F134" s="43"/>
      <c r="G134" s="43"/>
      <c r="H134" s="43"/>
      <c r="I134" s="43"/>
      <c r="J134" s="154"/>
      <c r="K134" s="155"/>
      <c r="L134" s="155"/>
      <c r="M134" s="155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1:24" ht="12.75">
      <c r="A135" s="43"/>
      <c r="B135" s="43"/>
      <c r="C135" s="43"/>
      <c r="D135" s="43"/>
      <c r="E135" s="43"/>
      <c r="F135" s="43"/>
      <c r="G135" s="43"/>
      <c r="H135" s="43"/>
      <c r="I135" s="43"/>
      <c r="J135" s="154"/>
      <c r="K135" s="155"/>
      <c r="L135" s="155"/>
      <c r="M135" s="155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1:24" ht="12.75">
      <c r="A136" s="43"/>
      <c r="B136" s="43"/>
      <c r="C136" s="43"/>
      <c r="D136" s="43"/>
      <c r="E136" s="43"/>
      <c r="F136" s="43"/>
      <c r="G136" s="43"/>
      <c r="H136" s="43"/>
      <c r="I136" s="43"/>
      <c r="J136" s="154"/>
      <c r="K136" s="155"/>
      <c r="L136" s="155"/>
      <c r="M136" s="155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1:24" ht="12.75">
      <c r="A137" s="43"/>
      <c r="B137" s="43"/>
      <c r="C137" s="43"/>
      <c r="D137" s="43"/>
      <c r="E137" s="43"/>
      <c r="F137" s="43"/>
      <c r="G137" s="43"/>
      <c r="H137" s="43"/>
      <c r="I137" s="43"/>
      <c r="J137" s="154"/>
      <c r="K137" s="155"/>
      <c r="L137" s="155"/>
      <c r="M137" s="155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1:24" ht="12.75">
      <c r="A138" s="43"/>
      <c r="B138" s="43"/>
      <c r="C138" s="43"/>
      <c r="D138" s="43"/>
      <c r="E138" s="43"/>
      <c r="F138" s="43"/>
      <c r="G138" s="43"/>
      <c r="H138" s="43"/>
      <c r="I138" s="43"/>
      <c r="J138" s="154"/>
      <c r="K138" s="155"/>
      <c r="L138" s="155"/>
      <c r="M138" s="155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1:24" ht="12.75">
      <c r="A139" s="43"/>
      <c r="B139" s="43"/>
      <c r="C139" s="43"/>
      <c r="D139" s="43"/>
      <c r="E139" s="43"/>
      <c r="F139" s="43"/>
      <c r="G139" s="43"/>
      <c r="H139" s="43"/>
      <c r="I139" s="43"/>
      <c r="J139" s="154"/>
      <c r="K139" s="155"/>
      <c r="L139" s="155"/>
      <c r="M139" s="155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1:24" ht="12.75">
      <c r="A140" s="43"/>
      <c r="B140" s="43"/>
      <c r="C140" s="43"/>
      <c r="D140" s="43"/>
      <c r="E140" s="43"/>
      <c r="F140" s="43"/>
      <c r="G140" s="43"/>
      <c r="H140" s="43"/>
      <c r="I140" s="43"/>
      <c r="J140" s="154"/>
      <c r="K140" s="155"/>
      <c r="L140" s="155"/>
      <c r="M140" s="155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1:24" ht="12.75">
      <c r="A141" s="43"/>
      <c r="B141" s="43"/>
      <c r="C141" s="43"/>
      <c r="D141" s="43"/>
      <c r="E141" s="43"/>
      <c r="F141" s="43"/>
      <c r="G141" s="43"/>
      <c r="H141" s="43"/>
      <c r="I141" s="43"/>
      <c r="J141" s="154"/>
      <c r="K141" s="155"/>
      <c r="L141" s="155"/>
      <c r="M141" s="155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1:24" ht="12.75">
      <c r="A142" s="43"/>
      <c r="B142" s="43"/>
      <c r="C142" s="43"/>
      <c r="D142" s="43"/>
      <c r="E142" s="43"/>
      <c r="F142" s="43"/>
      <c r="G142" s="43"/>
      <c r="H142" s="43"/>
      <c r="I142" s="43"/>
      <c r="J142" s="154"/>
      <c r="K142" s="155"/>
      <c r="L142" s="155"/>
      <c r="M142" s="155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1:24" ht="12.75">
      <c r="A143" s="43"/>
      <c r="B143" s="43"/>
      <c r="C143" s="43"/>
      <c r="D143" s="43"/>
      <c r="E143" s="43"/>
      <c r="F143" s="43"/>
      <c r="G143" s="43"/>
      <c r="H143" s="43"/>
      <c r="I143" s="43"/>
      <c r="J143" s="154"/>
      <c r="K143" s="155"/>
      <c r="L143" s="155"/>
      <c r="M143" s="155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1:24" ht="12.75">
      <c r="A144" s="43"/>
      <c r="B144" s="43"/>
      <c r="C144" s="43"/>
      <c r="D144" s="43"/>
      <c r="E144" s="43"/>
      <c r="F144" s="43"/>
      <c r="G144" s="43"/>
      <c r="H144" s="43"/>
      <c r="I144" s="43"/>
      <c r="J144" s="154"/>
      <c r="K144" s="155"/>
      <c r="L144" s="155"/>
      <c r="M144" s="155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1:24" ht="12.75">
      <c r="A145" s="43"/>
      <c r="B145" s="43"/>
      <c r="C145" s="43"/>
      <c r="D145" s="43"/>
      <c r="E145" s="43"/>
      <c r="F145" s="43"/>
      <c r="G145" s="43"/>
      <c r="H145" s="43"/>
      <c r="I145" s="43"/>
      <c r="J145" s="154"/>
      <c r="K145" s="155"/>
      <c r="L145" s="155"/>
      <c r="M145" s="155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1:24" ht="12.75">
      <c r="A146" s="43"/>
      <c r="B146" s="43"/>
      <c r="C146" s="43"/>
      <c r="D146" s="43"/>
      <c r="E146" s="43"/>
      <c r="F146" s="43"/>
      <c r="G146" s="43"/>
      <c r="H146" s="43"/>
      <c r="I146" s="43"/>
      <c r="J146" s="154"/>
      <c r="K146" s="155"/>
      <c r="L146" s="155"/>
      <c r="M146" s="155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1:24" ht="12.75">
      <c r="A147" s="43"/>
      <c r="B147" s="43"/>
      <c r="C147" s="43"/>
      <c r="D147" s="43"/>
      <c r="E147" s="43"/>
      <c r="F147" s="43"/>
      <c r="G147" s="43"/>
      <c r="H147" s="43"/>
      <c r="I147" s="43"/>
      <c r="J147" s="154"/>
      <c r="K147" s="155"/>
      <c r="L147" s="155"/>
      <c r="M147" s="155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1:24" ht="12.75">
      <c r="A148" s="43"/>
      <c r="B148" s="43"/>
      <c r="C148" s="43"/>
      <c r="D148" s="43"/>
      <c r="E148" s="43"/>
      <c r="F148" s="43"/>
      <c r="G148" s="43"/>
      <c r="H148" s="43"/>
      <c r="I148" s="43"/>
      <c r="J148" s="154"/>
      <c r="K148" s="155"/>
      <c r="L148" s="155"/>
      <c r="M148" s="155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1:24" ht="12.75">
      <c r="A149" s="43"/>
      <c r="B149" s="43"/>
      <c r="C149" s="43"/>
      <c r="D149" s="43"/>
      <c r="E149" s="43"/>
      <c r="F149" s="43"/>
      <c r="G149" s="43"/>
      <c r="H149" s="43"/>
      <c r="I149" s="43"/>
      <c r="J149" s="154"/>
      <c r="K149" s="155"/>
      <c r="L149" s="155"/>
      <c r="M149" s="155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1:24" ht="12.75">
      <c r="A150" s="43"/>
      <c r="B150" s="43"/>
      <c r="C150" s="43"/>
      <c r="D150" s="43"/>
      <c r="E150" s="43"/>
      <c r="F150" s="43"/>
      <c r="G150" s="43"/>
      <c r="H150" s="43"/>
      <c r="I150" s="43"/>
      <c r="J150" s="154"/>
      <c r="K150" s="155"/>
      <c r="L150" s="155"/>
      <c r="M150" s="155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1:24" ht="12.75">
      <c r="A151" s="43"/>
      <c r="B151" s="43"/>
      <c r="C151" s="43"/>
      <c r="D151" s="43"/>
      <c r="E151" s="43"/>
      <c r="F151" s="43"/>
      <c r="G151" s="43"/>
      <c r="H151" s="43"/>
      <c r="I151" s="43"/>
      <c r="J151" s="154"/>
      <c r="K151" s="155"/>
      <c r="L151" s="155"/>
      <c r="M151" s="155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1:24" ht="12.75">
      <c r="A152" s="43"/>
      <c r="B152" s="43"/>
      <c r="C152" s="43"/>
      <c r="D152" s="43"/>
      <c r="E152" s="43"/>
      <c r="F152" s="43"/>
      <c r="G152" s="43"/>
      <c r="H152" s="43"/>
      <c r="I152" s="43"/>
      <c r="J152" s="154"/>
      <c r="K152" s="155"/>
      <c r="L152" s="155"/>
      <c r="M152" s="155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1:24" ht="12.75">
      <c r="A153" s="43"/>
      <c r="B153" s="43"/>
      <c r="C153" s="43"/>
      <c r="D153" s="43"/>
      <c r="E153" s="43"/>
      <c r="F153" s="43"/>
      <c r="G153" s="43"/>
      <c r="H153" s="43"/>
      <c r="I153" s="43"/>
      <c r="J153" s="154"/>
      <c r="K153" s="155"/>
      <c r="L153" s="155"/>
      <c r="M153" s="155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1:24" ht="12.75">
      <c r="A154" s="43"/>
      <c r="B154" s="43"/>
      <c r="C154" s="43"/>
      <c r="D154" s="43"/>
      <c r="E154" s="43"/>
      <c r="F154" s="43"/>
      <c r="G154" s="43"/>
      <c r="H154" s="43"/>
      <c r="I154" s="43"/>
      <c r="J154" s="154"/>
      <c r="K154" s="155"/>
      <c r="L154" s="155"/>
      <c r="M154" s="155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1:24" ht="12.75">
      <c r="A155" s="43"/>
      <c r="B155" s="43"/>
      <c r="C155" s="43"/>
      <c r="D155" s="43"/>
      <c r="E155" s="43"/>
      <c r="F155" s="43"/>
      <c r="G155" s="43"/>
      <c r="H155" s="43"/>
      <c r="I155" s="43"/>
      <c r="J155" s="154"/>
      <c r="K155" s="155"/>
      <c r="L155" s="155"/>
      <c r="M155" s="155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1:24" ht="12.75">
      <c r="A156" s="43"/>
      <c r="B156" s="43"/>
      <c r="C156" s="43"/>
      <c r="D156" s="43"/>
      <c r="E156" s="43"/>
      <c r="F156" s="43"/>
      <c r="G156" s="43"/>
      <c r="H156" s="43"/>
      <c r="I156" s="43"/>
      <c r="J156" s="154"/>
      <c r="K156" s="155"/>
      <c r="L156" s="155"/>
      <c r="M156" s="155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1:24" ht="12.75">
      <c r="A157" s="43"/>
      <c r="B157" s="43"/>
      <c r="C157" s="43"/>
      <c r="D157" s="43"/>
      <c r="E157" s="43"/>
      <c r="F157" s="43"/>
      <c r="G157" s="43"/>
      <c r="H157" s="43"/>
      <c r="I157" s="43"/>
      <c r="J157" s="154"/>
      <c r="K157" s="155"/>
      <c r="L157" s="155"/>
      <c r="M157" s="155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1:24" ht="12.75">
      <c r="A158" s="43"/>
      <c r="B158" s="43"/>
      <c r="C158" s="43"/>
      <c r="D158" s="43"/>
      <c r="E158" s="43"/>
      <c r="F158" s="43"/>
      <c r="G158" s="43"/>
      <c r="H158" s="43"/>
      <c r="I158" s="43"/>
      <c r="J158" s="154"/>
      <c r="K158" s="155"/>
      <c r="L158" s="155"/>
      <c r="M158" s="155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1:24" ht="12.75">
      <c r="A159" s="43"/>
      <c r="B159" s="43"/>
      <c r="C159" s="43"/>
      <c r="D159" s="43"/>
      <c r="E159" s="43"/>
      <c r="F159" s="43"/>
      <c r="G159" s="43"/>
      <c r="H159" s="43"/>
      <c r="I159" s="43"/>
      <c r="J159" s="154"/>
      <c r="K159" s="155"/>
      <c r="L159" s="155"/>
      <c r="M159" s="155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1:24" ht="12.75">
      <c r="A160" s="43"/>
      <c r="B160" s="43"/>
      <c r="C160" s="43"/>
      <c r="D160" s="43"/>
      <c r="E160" s="43"/>
      <c r="F160" s="43"/>
      <c r="G160" s="43"/>
      <c r="H160" s="43"/>
      <c r="I160" s="43"/>
      <c r="J160" s="154"/>
      <c r="K160" s="155"/>
      <c r="L160" s="155"/>
      <c r="M160" s="155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1:24" ht="12.75">
      <c r="A161" s="43"/>
      <c r="B161" s="43"/>
      <c r="C161" s="43"/>
      <c r="D161" s="43"/>
      <c r="E161" s="43"/>
      <c r="F161" s="43"/>
      <c r="G161" s="43"/>
      <c r="H161" s="43"/>
      <c r="I161" s="43"/>
      <c r="J161" s="154"/>
      <c r="K161" s="155"/>
      <c r="L161" s="155"/>
      <c r="M161" s="155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1:24" ht="12.75">
      <c r="A162" s="43"/>
      <c r="B162" s="43"/>
      <c r="C162" s="43"/>
      <c r="D162" s="43"/>
      <c r="E162" s="43"/>
      <c r="F162" s="43"/>
      <c r="G162" s="43"/>
      <c r="H162" s="43"/>
      <c r="I162" s="43"/>
      <c r="J162" s="154"/>
      <c r="K162" s="155"/>
      <c r="L162" s="155"/>
      <c r="M162" s="155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1:24" ht="12.75">
      <c r="A163" s="43"/>
      <c r="B163" s="43"/>
      <c r="C163" s="43"/>
      <c r="D163" s="43"/>
      <c r="E163" s="43"/>
      <c r="F163" s="43"/>
      <c r="G163" s="43"/>
      <c r="H163" s="43"/>
      <c r="I163" s="43"/>
      <c r="J163" s="154"/>
      <c r="K163" s="155"/>
      <c r="L163" s="155"/>
      <c r="M163" s="155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1:24" ht="12.75">
      <c r="A164" s="43"/>
      <c r="B164" s="43"/>
      <c r="C164" s="43"/>
      <c r="D164" s="43"/>
      <c r="E164" s="43"/>
      <c r="F164" s="43"/>
      <c r="G164" s="43"/>
      <c r="H164" s="43"/>
      <c r="I164" s="43"/>
      <c r="J164" s="154"/>
      <c r="K164" s="155"/>
      <c r="L164" s="155"/>
      <c r="M164" s="155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1:24" ht="12.75">
      <c r="A165" s="43"/>
      <c r="B165" s="43"/>
      <c r="C165" s="43"/>
      <c r="D165" s="43"/>
      <c r="E165" s="43"/>
      <c r="F165" s="43"/>
      <c r="G165" s="43"/>
      <c r="H165" s="43"/>
      <c r="I165" s="43"/>
      <c r="J165" s="154"/>
      <c r="K165" s="155"/>
      <c r="L165" s="155"/>
      <c r="M165" s="155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1:24" ht="12.75">
      <c r="A166" s="43"/>
      <c r="B166" s="43"/>
      <c r="C166" s="43"/>
      <c r="D166" s="43"/>
      <c r="E166" s="43"/>
      <c r="F166" s="43"/>
      <c r="G166" s="43"/>
      <c r="H166" s="43"/>
      <c r="I166" s="43"/>
      <c r="J166" s="154"/>
      <c r="K166" s="155"/>
      <c r="L166" s="155"/>
      <c r="M166" s="155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1:24" ht="12.75">
      <c r="A167" s="43"/>
      <c r="B167" s="43"/>
      <c r="C167" s="43"/>
      <c r="D167" s="43"/>
      <c r="E167" s="43"/>
      <c r="F167" s="43"/>
      <c r="G167" s="43"/>
      <c r="H167" s="43"/>
      <c r="I167" s="43"/>
      <c r="J167" s="154"/>
      <c r="K167" s="155"/>
      <c r="L167" s="155"/>
      <c r="M167" s="155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1:24" ht="12.75">
      <c r="A168" s="43"/>
      <c r="B168" s="43"/>
      <c r="C168" s="43"/>
      <c r="D168" s="43"/>
      <c r="E168" s="43"/>
      <c r="F168" s="43"/>
      <c r="G168" s="43"/>
      <c r="H168" s="43"/>
      <c r="I168" s="43"/>
      <c r="J168" s="154"/>
      <c r="K168" s="155"/>
      <c r="L168" s="155"/>
      <c r="M168" s="155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1:24" ht="12.75">
      <c r="A169" s="43"/>
      <c r="B169" s="43"/>
      <c r="C169" s="43"/>
      <c r="D169" s="43"/>
      <c r="E169" s="43"/>
      <c r="F169" s="43"/>
      <c r="G169" s="43"/>
      <c r="H169" s="43"/>
      <c r="I169" s="43"/>
      <c r="J169" s="154"/>
      <c r="K169" s="155"/>
      <c r="L169" s="155"/>
      <c r="M169" s="155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1:24" ht="12.75">
      <c r="A170" s="43"/>
      <c r="B170" s="43"/>
      <c r="C170" s="43"/>
      <c r="D170" s="43"/>
      <c r="E170" s="43"/>
      <c r="F170" s="43"/>
      <c r="G170" s="43"/>
      <c r="H170" s="43"/>
      <c r="I170" s="43"/>
      <c r="J170" s="154"/>
      <c r="K170" s="155"/>
      <c r="L170" s="155"/>
      <c r="M170" s="155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1:24" ht="12.75">
      <c r="A171" s="43"/>
      <c r="B171" s="43"/>
      <c r="C171" s="43"/>
      <c r="D171" s="43"/>
      <c r="E171" s="43"/>
      <c r="F171" s="43"/>
      <c r="G171" s="43"/>
      <c r="H171" s="43"/>
      <c r="I171" s="43"/>
      <c r="J171" s="154"/>
      <c r="K171" s="155"/>
      <c r="L171" s="155"/>
      <c r="M171" s="155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1:24" ht="12.75">
      <c r="A172" s="43"/>
      <c r="B172" s="43"/>
      <c r="C172" s="43"/>
      <c r="D172" s="43"/>
      <c r="E172" s="43"/>
      <c r="F172" s="43"/>
      <c r="G172" s="43"/>
      <c r="H172" s="43"/>
      <c r="I172" s="43"/>
      <c r="J172" s="154"/>
      <c r="K172" s="155"/>
      <c r="L172" s="155"/>
      <c r="M172" s="155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1:24" ht="12.75">
      <c r="A173" s="43"/>
      <c r="B173" s="43"/>
      <c r="C173" s="43"/>
      <c r="D173" s="43"/>
      <c r="E173" s="43"/>
      <c r="F173" s="43"/>
      <c r="G173" s="43"/>
      <c r="H173" s="43"/>
      <c r="I173" s="43"/>
      <c r="J173" s="154"/>
      <c r="K173" s="155"/>
      <c r="L173" s="155"/>
      <c r="M173" s="155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1:24" ht="12.75">
      <c r="A174" s="43"/>
      <c r="B174" s="43"/>
      <c r="C174" s="43"/>
      <c r="D174" s="43"/>
      <c r="E174" s="43"/>
      <c r="F174" s="43"/>
      <c r="G174" s="43"/>
      <c r="H174" s="43"/>
      <c r="I174" s="43"/>
      <c r="J174" s="154"/>
      <c r="K174" s="155"/>
      <c r="L174" s="155"/>
      <c r="M174" s="155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1:24" ht="12.75">
      <c r="A175" s="43"/>
      <c r="B175" s="43"/>
      <c r="C175" s="43"/>
      <c r="D175" s="43"/>
      <c r="E175" s="43"/>
      <c r="F175" s="43"/>
      <c r="G175" s="43"/>
      <c r="H175" s="43"/>
      <c r="I175" s="43"/>
      <c r="J175" s="154"/>
      <c r="K175" s="155"/>
      <c r="L175" s="155"/>
      <c r="M175" s="155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1:24" ht="12.75">
      <c r="A176" s="43"/>
      <c r="B176" s="43"/>
      <c r="C176" s="43"/>
      <c r="D176" s="43"/>
      <c r="E176" s="43"/>
      <c r="F176" s="43"/>
      <c r="G176" s="43"/>
      <c r="H176" s="43"/>
      <c r="I176" s="43"/>
      <c r="J176" s="154"/>
      <c r="K176" s="155"/>
      <c r="L176" s="155"/>
      <c r="M176" s="155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1:24" ht="12.75">
      <c r="A177" s="43"/>
      <c r="B177" s="43"/>
      <c r="C177" s="43"/>
      <c r="D177" s="43"/>
      <c r="E177" s="43"/>
      <c r="F177" s="43"/>
      <c r="G177" s="43"/>
      <c r="H177" s="43"/>
      <c r="I177" s="43"/>
      <c r="J177" s="154"/>
      <c r="K177" s="155"/>
      <c r="L177" s="155"/>
      <c r="M177" s="155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1:24" ht="12.75">
      <c r="A178" s="43"/>
      <c r="B178" s="43"/>
      <c r="C178" s="43"/>
      <c r="D178" s="43"/>
      <c r="E178" s="43"/>
      <c r="F178" s="43"/>
      <c r="G178" s="43"/>
      <c r="H178" s="43"/>
      <c r="I178" s="43"/>
      <c r="J178" s="154"/>
      <c r="K178" s="155"/>
      <c r="L178" s="155"/>
      <c r="M178" s="155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1:24" ht="12.75">
      <c r="A179" s="43"/>
      <c r="B179" s="43"/>
      <c r="C179" s="43"/>
      <c r="D179" s="43"/>
      <c r="E179" s="43"/>
      <c r="F179" s="43"/>
      <c r="G179" s="43"/>
      <c r="H179" s="43"/>
      <c r="I179" s="43"/>
      <c r="J179" s="154"/>
      <c r="K179" s="155"/>
      <c r="L179" s="155"/>
      <c r="M179" s="155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1:24" ht="12.75">
      <c r="A180" s="43"/>
      <c r="B180" s="43"/>
      <c r="C180" s="43"/>
      <c r="D180" s="43"/>
      <c r="E180" s="43"/>
      <c r="F180" s="43"/>
      <c r="G180" s="43"/>
      <c r="H180" s="43"/>
      <c r="I180" s="43"/>
      <c r="J180" s="154"/>
      <c r="K180" s="155"/>
      <c r="L180" s="155"/>
      <c r="M180" s="155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1:24" ht="12.75">
      <c r="A181" s="43"/>
      <c r="B181" s="43"/>
      <c r="C181" s="43"/>
      <c r="D181" s="43"/>
      <c r="E181" s="43"/>
      <c r="F181" s="43"/>
      <c r="G181" s="43"/>
      <c r="H181" s="43"/>
      <c r="I181" s="43"/>
      <c r="J181" s="154"/>
      <c r="K181" s="155"/>
      <c r="L181" s="155"/>
      <c r="M181" s="155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1:24" ht="12.75">
      <c r="A182" s="43"/>
      <c r="B182" s="43"/>
      <c r="C182" s="43"/>
      <c r="D182" s="43"/>
      <c r="E182" s="43"/>
      <c r="F182" s="43"/>
      <c r="G182" s="43"/>
      <c r="H182" s="43"/>
      <c r="I182" s="43"/>
      <c r="J182" s="154"/>
      <c r="K182" s="155"/>
      <c r="L182" s="155"/>
      <c r="M182" s="155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1:24" ht="12.75">
      <c r="A183" s="43"/>
      <c r="B183" s="43"/>
      <c r="C183" s="43"/>
      <c r="D183" s="43"/>
      <c r="E183" s="43"/>
      <c r="F183" s="43"/>
      <c r="G183" s="43"/>
      <c r="H183" s="43"/>
      <c r="I183" s="43"/>
      <c r="J183" s="154"/>
      <c r="K183" s="155"/>
      <c r="L183" s="155"/>
      <c r="M183" s="155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1:24" ht="12.75">
      <c r="A184" s="43"/>
      <c r="B184" s="43"/>
      <c r="C184" s="43"/>
      <c r="D184" s="43"/>
      <c r="E184" s="43"/>
      <c r="F184" s="43"/>
      <c r="G184" s="43"/>
      <c r="H184" s="43"/>
      <c r="I184" s="43"/>
      <c r="J184" s="154"/>
      <c r="K184" s="155"/>
      <c r="L184" s="155"/>
      <c r="M184" s="155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1:24" ht="12.75">
      <c r="A185" s="43"/>
      <c r="B185" s="43"/>
      <c r="C185" s="43"/>
      <c r="D185" s="43"/>
      <c r="E185" s="43"/>
      <c r="F185" s="43"/>
      <c r="G185" s="43"/>
      <c r="H185" s="43"/>
      <c r="I185" s="43"/>
      <c r="J185" s="154"/>
      <c r="K185" s="155"/>
      <c r="L185" s="155"/>
      <c r="M185" s="155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1:24" ht="12.75">
      <c r="A186" s="43"/>
      <c r="B186" s="43"/>
      <c r="C186" s="43"/>
      <c r="D186" s="43"/>
      <c r="E186" s="43"/>
      <c r="F186" s="43"/>
      <c r="G186" s="43"/>
      <c r="H186" s="43"/>
      <c r="I186" s="43"/>
      <c r="J186" s="154"/>
      <c r="K186" s="155"/>
      <c r="L186" s="155"/>
      <c r="M186" s="155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1:24" ht="12.75">
      <c r="A187" s="43"/>
      <c r="B187" s="43"/>
      <c r="C187" s="43"/>
      <c r="D187" s="43"/>
      <c r="E187" s="43"/>
      <c r="F187" s="43"/>
      <c r="G187" s="43"/>
      <c r="H187" s="43"/>
      <c r="I187" s="43"/>
      <c r="J187" s="154"/>
      <c r="K187" s="155"/>
      <c r="L187" s="155"/>
      <c r="M187" s="155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1:24" ht="12.75">
      <c r="A188" s="43"/>
      <c r="B188" s="43"/>
      <c r="C188" s="43"/>
      <c r="D188" s="43"/>
      <c r="E188" s="43"/>
      <c r="F188" s="43"/>
      <c r="G188" s="43"/>
      <c r="H188" s="43"/>
      <c r="I188" s="43"/>
      <c r="J188" s="154"/>
      <c r="K188" s="155"/>
      <c r="L188" s="155"/>
      <c r="M188" s="155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1:24" ht="12.75">
      <c r="A189" s="43"/>
      <c r="B189" s="43"/>
      <c r="C189" s="43"/>
      <c r="D189" s="43"/>
      <c r="E189" s="43"/>
      <c r="F189" s="43"/>
      <c r="G189" s="43"/>
      <c r="H189" s="43"/>
      <c r="I189" s="43"/>
      <c r="J189" s="154"/>
      <c r="K189" s="155"/>
      <c r="L189" s="155"/>
      <c r="M189" s="155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1:24" ht="12.75">
      <c r="A190" s="43"/>
      <c r="B190" s="43"/>
      <c r="C190" s="43"/>
      <c r="D190" s="43"/>
      <c r="E190" s="43"/>
      <c r="F190" s="43"/>
      <c r="G190" s="43"/>
      <c r="H190" s="43"/>
      <c r="I190" s="43"/>
      <c r="J190" s="154"/>
      <c r="K190" s="155"/>
      <c r="L190" s="155"/>
      <c r="M190" s="155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1:24" ht="12.75">
      <c r="A191" s="43"/>
      <c r="B191" s="43"/>
      <c r="C191" s="43"/>
      <c r="D191" s="43"/>
      <c r="E191" s="43"/>
      <c r="F191" s="43"/>
      <c r="G191" s="43"/>
      <c r="H191" s="43"/>
      <c r="I191" s="43"/>
      <c r="J191" s="154"/>
      <c r="K191" s="155"/>
      <c r="L191" s="155"/>
      <c r="M191" s="155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1:24" ht="12.75">
      <c r="A192" s="43"/>
      <c r="B192" s="43"/>
      <c r="C192" s="43"/>
      <c r="D192" s="43"/>
      <c r="E192" s="43"/>
      <c r="F192" s="43"/>
      <c r="G192" s="43"/>
      <c r="H192" s="43"/>
      <c r="I192" s="43"/>
      <c r="J192" s="154"/>
      <c r="K192" s="155"/>
      <c r="L192" s="155"/>
      <c r="M192" s="155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1:24" ht="12.75">
      <c r="A193" s="43"/>
      <c r="B193" s="43"/>
      <c r="C193" s="43"/>
      <c r="D193" s="43"/>
      <c r="E193" s="43"/>
      <c r="F193" s="43"/>
      <c r="G193" s="43"/>
      <c r="H193" s="43"/>
      <c r="I193" s="43"/>
      <c r="J193" s="154"/>
      <c r="K193" s="155"/>
      <c r="L193" s="155"/>
      <c r="M193" s="155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1:24" ht="12.75">
      <c r="A194" s="43"/>
      <c r="B194" s="43"/>
      <c r="C194" s="43"/>
      <c r="D194" s="43"/>
      <c r="E194" s="43"/>
      <c r="F194" s="43"/>
      <c r="G194" s="43"/>
      <c r="H194" s="43"/>
      <c r="I194" s="43"/>
      <c r="J194" s="154"/>
      <c r="K194" s="155"/>
      <c r="L194" s="155"/>
      <c r="M194" s="155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1:24" ht="12.75">
      <c r="A195" s="43"/>
      <c r="B195" s="43"/>
      <c r="C195" s="43"/>
      <c r="D195" s="43"/>
      <c r="E195" s="43"/>
      <c r="F195" s="43"/>
      <c r="G195" s="43"/>
      <c r="H195" s="43"/>
      <c r="I195" s="43"/>
      <c r="J195" s="154"/>
      <c r="K195" s="155"/>
      <c r="L195" s="155"/>
      <c r="M195" s="155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1:24" ht="12.75">
      <c r="A196" s="43"/>
      <c r="B196" s="43"/>
      <c r="C196" s="43"/>
      <c r="D196" s="43"/>
      <c r="E196" s="43"/>
      <c r="F196" s="43"/>
      <c r="G196" s="43"/>
      <c r="H196" s="43"/>
      <c r="I196" s="43"/>
      <c r="J196" s="154"/>
      <c r="K196" s="155"/>
      <c r="L196" s="155"/>
      <c r="M196" s="155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1:24" ht="12.75">
      <c r="A197" s="43"/>
      <c r="B197" s="43"/>
      <c r="C197" s="43"/>
      <c r="D197" s="43"/>
      <c r="E197" s="43"/>
      <c r="F197" s="43"/>
      <c r="G197" s="43"/>
      <c r="H197" s="43"/>
      <c r="I197" s="43"/>
      <c r="J197" s="154"/>
      <c r="K197" s="155"/>
      <c r="L197" s="155"/>
      <c r="M197" s="155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1:24" ht="12.75">
      <c r="A198" s="43"/>
      <c r="B198" s="43"/>
      <c r="C198" s="43"/>
      <c r="D198" s="43"/>
      <c r="E198" s="43"/>
      <c r="F198" s="43"/>
      <c r="G198" s="43"/>
      <c r="H198" s="43"/>
      <c r="I198" s="43"/>
      <c r="J198" s="154"/>
      <c r="K198" s="155"/>
      <c r="L198" s="155"/>
      <c r="M198" s="155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0"/>
  <sheetViews>
    <sheetView zoomScale="140" zoomScaleNormal="140" zoomScalePageLayoutView="0" workbookViewId="0" topLeftCell="A352">
      <selection activeCell="I208" sqref="I208"/>
    </sheetView>
  </sheetViews>
  <sheetFormatPr defaultColWidth="9.140625" defaultRowHeight="12.75"/>
  <cols>
    <col min="1" max="1" width="3.8515625" style="172" customWidth="1"/>
    <col min="2" max="2" width="5.8515625" style="93" customWidth="1"/>
    <col min="3" max="3" width="4.57421875" style="172" customWidth="1"/>
    <col min="4" max="4" width="29.7109375" style="61" customWidth="1"/>
    <col min="5" max="5" width="14.28125" style="53" customWidth="1"/>
    <col min="6" max="6" width="10.8515625" style="391" customWidth="1"/>
    <col min="7" max="7" width="14.28125" style="53" customWidth="1"/>
    <col min="8" max="8" width="10.28125" style="391" customWidth="1"/>
    <col min="9" max="9" width="5.00390625" style="61" customWidth="1"/>
    <col min="10" max="10" width="11.57421875" style="40" customWidth="1"/>
    <col min="11" max="11" width="17.57421875" style="235" customWidth="1"/>
    <col min="12" max="12" width="13.421875" style="235" customWidth="1"/>
    <col min="13" max="13" width="17.140625" style="235" customWidth="1"/>
    <col min="14" max="15" width="9.140625" style="235" customWidth="1"/>
    <col min="16" max="16384" width="9.140625" style="40" customWidth="1"/>
  </cols>
  <sheetData>
    <row r="1" spans="5:7" ht="20.25">
      <c r="E1" s="266"/>
      <c r="G1" s="266" t="s">
        <v>100</v>
      </c>
    </row>
    <row r="2" spans="5:7" ht="13.5" customHeight="1">
      <c r="E2" s="135"/>
      <c r="G2" s="135"/>
    </row>
    <row r="5" spans="2:4" ht="18.75">
      <c r="B5" s="137" t="s">
        <v>543</v>
      </c>
      <c r="C5" s="173"/>
      <c r="D5" s="310"/>
    </row>
    <row r="6" spans="2:4" ht="18.75">
      <c r="B6" s="137" t="s">
        <v>544</v>
      </c>
      <c r="C6" s="173"/>
      <c r="D6" s="310"/>
    </row>
    <row r="7" spans="2:4" ht="18.75">
      <c r="B7" s="137"/>
      <c r="C7" s="173"/>
      <c r="D7" s="310"/>
    </row>
    <row r="8" spans="1:8" ht="12.75">
      <c r="A8" s="174"/>
      <c r="B8" s="140"/>
      <c r="C8" s="174"/>
      <c r="D8" s="270"/>
      <c r="F8" s="586"/>
      <c r="H8" s="586" t="s">
        <v>22</v>
      </c>
    </row>
    <row r="9" spans="1:9" ht="27" customHeight="1">
      <c r="A9" s="1238" t="s">
        <v>23</v>
      </c>
      <c r="B9" s="1241" t="s">
        <v>24</v>
      </c>
      <c r="C9" s="1238" t="s">
        <v>393</v>
      </c>
      <c r="D9" s="1244" t="s">
        <v>394</v>
      </c>
      <c r="E9" s="1236" t="s">
        <v>682</v>
      </c>
      <c r="F9" s="1237"/>
      <c r="G9" s="1236" t="s">
        <v>398</v>
      </c>
      <c r="H9" s="1237"/>
      <c r="I9" s="455"/>
    </row>
    <row r="10" spans="1:9" ht="13.5" customHeight="1">
      <c r="A10" s="1239"/>
      <c r="B10" s="1242"/>
      <c r="C10" s="1239"/>
      <c r="D10" s="1245"/>
      <c r="E10" s="141" t="s">
        <v>21</v>
      </c>
      <c r="F10" s="587" t="s">
        <v>708</v>
      </c>
      <c r="G10" s="141" t="s">
        <v>21</v>
      </c>
      <c r="H10" s="587" t="s">
        <v>708</v>
      </c>
      <c r="I10" s="89" t="s">
        <v>726</v>
      </c>
    </row>
    <row r="11" spans="1:9" ht="30.75" customHeight="1">
      <c r="A11" s="1240"/>
      <c r="B11" s="1243"/>
      <c r="C11" s="1240"/>
      <c r="D11" s="1246"/>
      <c r="E11" s="228" t="s">
        <v>395</v>
      </c>
      <c r="F11" s="227" t="s">
        <v>396</v>
      </c>
      <c r="G11" s="228" t="s">
        <v>395</v>
      </c>
      <c r="H11" s="227" t="s">
        <v>396</v>
      </c>
      <c r="I11" s="336" t="s">
        <v>681</v>
      </c>
    </row>
    <row r="12" spans="1:9" ht="23.25" customHeight="1">
      <c r="A12" s="291" t="s">
        <v>425</v>
      </c>
      <c r="B12" s="5"/>
      <c r="C12" s="176"/>
      <c r="D12" s="312"/>
      <c r="E12" s="44"/>
      <c r="F12" s="588"/>
      <c r="G12" s="44"/>
      <c r="H12" s="588"/>
      <c r="I12" s="1225"/>
    </row>
    <row r="13" spans="1:15" s="57" customFormat="1" ht="23.25" customHeight="1">
      <c r="A13" s="322" t="s">
        <v>101</v>
      </c>
      <c r="B13" s="11"/>
      <c r="C13" s="169"/>
      <c r="D13" s="279" t="s">
        <v>391</v>
      </c>
      <c r="E13" s="36">
        <f aca="true" t="shared" si="0" ref="E13:H14">E14</f>
        <v>87663.99</v>
      </c>
      <c r="F13" s="343">
        <f t="shared" si="0"/>
        <v>87663.99</v>
      </c>
      <c r="G13" s="36">
        <f t="shared" si="0"/>
        <v>0</v>
      </c>
      <c r="H13" s="1119">
        <f t="shared" si="0"/>
        <v>0</v>
      </c>
      <c r="I13" s="1203"/>
      <c r="K13" s="333"/>
      <c r="L13" s="333"/>
      <c r="M13" s="333"/>
      <c r="N13" s="333"/>
      <c r="O13" s="333"/>
    </row>
    <row r="14" spans="1:15" s="56" customFormat="1" ht="18" customHeight="1">
      <c r="A14" s="306"/>
      <c r="B14" s="171" t="s">
        <v>102</v>
      </c>
      <c r="C14" s="177"/>
      <c r="D14" s="282" t="s">
        <v>143</v>
      </c>
      <c r="E14" s="104">
        <f t="shared" si="0"/>
        <v>87663.99</v>
      </c>
      <c r="F14" s="583">
        <f t="shared" si="0"/>
        <v>87663.99</v>
      </c>
      <c r="G14" s="104">
        <f t="shared" si="0"/>
        <v>0</v>
      </c>
      <c r="H14" s="1075">
        <f t="shared" si="0"/>
        <v>0</v>
      </c>
      <c r="I14" s="1204"/>
      <c r="K14" s="238"/>
      <c r="L14" s="238"/>
      <c r="M14" s="238"/>
      <c r="N14" s="238"/>
      <c r="O14" s="238"/>
    </row>
    <row r="15" spans="1:9" ht="45" customHeight="1">
      <c r="A15" s="305"/>
      <c r="B15" s="9"/>
      <c r="C15" s="178">
        <v>2010</v>
      </c>
      <c r="D15" s="261" t="s">
        <v>132</v>
      </c>
      <c r="E15" s="55">
        <v>87663.99</v>
      </c>
      <c r="F15" s="330">
        <v>87663.99</v>
      </c>
      <c r="G15" s="55"/>
      <c r="H15" s="1201"/>
      <c r="I15" s="1202"/>
    </row>
    <row r="16" spans="1:9" ht="19.5" customHeight="1">
      <c r="A16" s="179">
        <v>600</v>
      </c>
      <c r="B16" s="7"/>
      <c r="C16" s="179"/>
      <c r="D16" s="313" t="s">
        <v>25</v>
      </c>
      <c r="E16" s="158">
        <f>E17</f>
        <v>1129013.75</v>
      </c>
      <c r="F16" s="589"/>
      <c r="G16" s="158">
        <f>G17</f>
        <v>1188634.75</v>
      </c>
      <c r="H16" s="589"/>
      <c r="I16" s="1202">
        <f aca="true" t="shared" si="1" ref="I16:I77">G16/E16*100</f>
        <v>105.28080371031795</v>
      </c>
    </row>
    <row r="17" spans="1:15" s="56" customFormat="1" ht="22.5" customHeight="1">
      <c r="A17" s="294"/>
      <c r="B17" s="24">
        <v>60004</v>
      </c>
      <c r="C17" s="177"/>
      <c r="D17" s="314" t="s">
        <v>26</v>
      </c>
      <c r="E17" s="105">
        <f>SUM(E18:E18)</f>
        <v>1129013.75</v>
      </c>
      <c r="F17" s="590"/>
      <c r="G17" s="105">
        <f>SUM(G18:G18)</f>
        <v>1188634.75</v>
      </c>
      <c r="H17" s="590"/>
      <c r="I17" s="340">
        <f t="shared" si="1"/>
        <v>105.28080371031795</v>
      </c>
      <c r="K17" s="238"/>
      <c r="L17" s="238"/>
      <c r="M17" s="238"/>
      <c r="N17" s="238"/>
      <c r="O17" s="238"/>
    </row>
    <row r="18" spans="1:9" ht="48" customHeight="1">
      <c r="A18" s="295"/>
      <c r="B18" s="10"/>
      <c r="C18" s="178">
        <v>2310</v>
      </c>
      <c r="D18" s="261" t="s">
        <v>603</v>
      </c>
      <c r="E18" s="55">
        <v>1129013.75</v>
      </c>
      <c r="F18" s="591"/>
      <c r="G18" s="55">
        <v>1188634.75</v>
      </c>
      <c r="H18" s="591"/>
      <c r="I18" s="340">
        <f t="shared" si="1"/>
        <v>105.28080371031795</v>
      </c>
    </row>
    <row r="19" spans="1:9" ht="20.25" customHeight="1">
      <c r="A19" s="169">
        <v>700</v>
      </c>
      <c r="B19" s="12"/>
      <c r="C19" s="169"/>
      <c r="D19" s="273" t="s">
        <v>370</v>
      </c>
      <c r="E19" s="36">
        <f>E20+E29</f>
        <v>20838927.96</v>
      </c>
      <c r="F19" s="330"/>
      <c r="G19" s="36">
        <f>G20+G29</f>
        <v>18875727</v>
      </c>
      <c r="H19" s="330"/>
      <c r="I19" s="340">
        <f t="shared" si="1"/>
        <v>90.57916528255035</v>
      </c>
    </row>
    <row r="20" spans="1:15" s="56" customFormat="1" ht="21" customHeight="1">
      <c r="A20" s="294"/>
      <c r="B20" s="24">
        <v>70005</v>
      </c>
      <c r="C20" s="177"/>
      <c r="D20" s="314" t="s">
        <v>142</v>
      </c>
      <c r="E20" s="104">
        <f>SUM(E21:E28)</f>
        <v>20802875.96</v>
      </c>
      <c r="F20" s="590"/>
      <c r="G20" s="104">
        <f>SUM(G21:G28)</f>
        <v>18839227</v>
      </c>
      <c r="H20" s="590"/>
      <c r="I20" s="340">
        <f t="shared" si="1"/>
        <v>90.56068514865096</v>
      </c>
      <c r="K20" s="230"/>
      <c r="L20" s="238"/>
      <c r="M20" s="238"/>
      <c r="N20" s="238"/>
      <c r="O20" s="238"/>
    </row>
    <row r="21" spans="1:9" ht="39" customHeight="1">
      <c r="A21" s="295"/>
      <c r="B21" s="10"/>
      <c r="C21" s="178" t="s">
        <v>432</v>
      </c>
      <c r="D21" s="261" t="s">
        <v>688</v>
      </c>
      <c r="E21" s="55">
        <v>1500000</v>
      </c>
      <c r="F21" s="589"/>
      <c r="G21" s="55">
        <v>1600000</v>
      </c>
      <c r="H21" s="589"/>
      <c r="I21" s="340">
        <f t="shared" si="1"/>
        <v>106.66666666666667</v>
      </c>
    </row>
    <row r="22" spans="1:9" ht="18" customHeight="1">
      <c r="A22" s="295"/>
      <c r="B22" s="10"/>
      <c r="C22" s="178" t="s">
        <v>427</v>
      </c>
      <c r="D22" s="261" t="s">
        <v>428</v>
      </c>
      <c r="E22" s="55">
        <v>160000</v>
      </c>
      <c r="F22" s="589"/>
      <c r="G22" s="55">
        <f>140000+50000</f>
        <v>190000</v>
      </c>
      <c r="H22" s="589"/>
      <c r="I22" s="340">
        <f t="shared" si="1"/>
        <v>118.75</v>
      </c>
    </row>
    <row r="23" spans="1:9" ht="62.25" customHeight="1">
      <c r="A23" s="295"/>
      <c r="B23" s="10"/>
      <c r="C23" s="178" t="s">
        <v>433</v>
      </c>
      <c r="D23" s="261" t="s">
        <v>126</v>
      </c>
      <c r="E23" s="55">
        <v>11537000</v>
      </c>
      <c r="F23" s="589"/>
      <c r="G23" s="55">
        <f>960000+8370000+287000+900000+1251600</f>
        <v>11768600</v>
      </c>
      <c r="H23" s="589"/>
      <c r="I23" s="340">
        <f t="shared" si="1"/>
        <v>102.00745427754183</v>
      </c>
    </row>
    <row r="24" spans="1:10" ht="40.5" customHeight="1">
      <c r="A24" s="295"/>
      <c r="B24" s="10"/>
      <c r="C24" s="178" t="s">
        <v>90</v>
      </c>
      <c r="D24" s="261" t="s">
        <v>91</v>
      </c>
      <c r="E24" s="55">
        <v>165000</v>
      </c>
      <c r="F24" s="589"/>
      <c r="G24" s="55">
        <v>170000</v>
      </c>
      <c r="H24" s="589"/>
      <c r="I24" s="340">
        <f t="shared" si="1"/>
        <v>103.03030303030303</v>
      </c>
      <c r="J24" s="53"/>
    </row>
    <row r="25" spans="1:11" ht="36.75" customHeight="1">
      <c r="A25" s="295"/>
      <c r="B25" s="10"/>
      <c r="C25" s="178" t="s">
        <v>92</v>
      </c>
      <c r="D25" s="261" t="s">
        <v>93</v>
      </c>
      <c r="E25" s="55">
        <v>6466200</v>
      </c>
      <c r="F25" s="589"/>
      <c r="G25" s="55">
        <v>4500000</v>
      </c>
      <c r="H25" s="589"/>
      <c r="I25" s="340">
        <f t="shared" si="1"/>
        <v>69.59265101605271</v>
      </c>
      <c r="K25" s="58"/>
    </row>
    <row r="26" spans="1:9" ht="18" customHeight="1">
      <c r="A26" s="295"/>
      <c r="B26" s="10"/>
      <c r="C26" s="178" t="s">
        <v>131</v>
      </c>
      <c r="D26" s="261" t="s">
        <v>342</v>
      </c>
      <c r="E26" s="55">
        <f>30000+170000+2000</f>
        <v>202000</v>
      </c>
      <c r="F26" s="589"/>
      <c r="G26" s="55">
        <f>160000+40000+2000+3000</f>
        <v>205000</v>
      </c>
      <c r="H26" s="589"/>
      <c r="I26" s="340">
        <f t="shared" si="1"/>
        <v>101.48514851485149</v>
      </c>
    </row>
    <row r="27" spans="1:9" ht="21" customHeight="1">
      <c r="A27" s="295"/>
      <c r="B27" s="10"/>
      <c r="C27" s="178" t="s">
        <v>94</v>
      </c>
      <c r="D27" s="261" t="s">
        <v>8</v>
      </c>
      <c r="E27" s="55">
        <f>40000+140000</f>
        <v>180000</v>
      </c>
      <c r="F27" s="589"/>
      <c r="G27" s="55">
        <f>40000+140000</f>
        <v>180000</v>
      </c>
      <c r="H27" s="589"/>
      <c r="I27" s="340">
        <f t="shared" si="1"/>
        <v>100</v>
      </c>
    </row>
    <row r="28" spans="1:9" ht="45.75" customHeight="1">
      <c r="A28" s="295"/>
      <c r="B28" s="10"/>
      <c r="C28" s="178" t="s">
        <v>103</v>
      </c>
      <c r="D28" s="261" t="s">
        <v>104</v>
      </c>
      <c r="E28" s="55">
        <v>592675.96</v>
      </c>
      <c r="F28" s="589"/>
      <c r="G28" s="55">
        <v>225627</v>
      </c>
      <c r="H28" s="589"/>
      <c r="I28" s="340">
        <f t="shared" si="1"/>
        <v>38.06920057968945</v>
      </c>
    </row>
    <row r="29" spans="1:15" s="56" customFormat="1" ht="24.75" customHeight="1">
      <c r="A29" s="294"/>
      <c r="B29" s="25">
        <v>70095</v>
      </c>
      <c r="C29" s="177"/>
      <c r="D29" s="314" t="s">
        <v>143</v>
      </c>
      <c r="E29" s="104">
        <f>SUM(E30:E33)</f>
        <v>36052</v>
      </c>
      <c r="F29" s="592"/>
      <c r="G29" s="104">
        <f>SUM(G30:G33)</f>
        <v>36500</v>
      </c>
      <c r="H29" s="592"/>
      <c r="I29" s="340">
        <f t="shared" si="1"/>
        <v>101.24264950626873</v>
      </c>
      <c r="K29" s="238"/>
      <c r="L29" s="238"/>
      <c r="M29" s="238"/>
      <c r="N29" s="238"/>
      <c r="O29" s="238"/>
    </row>
    <row r="30" spans="1:15" s="56" customFormat="1" ht="24.75" customHeight="1">
      <c r="A30" s="294"/>
      <c r="B30" s="30"/>
      <c r="C30" s="178" t="s">
        <v>134</v>
      </c>
      <c r="D30" s="261" t="s">
        <v>604</v>
      </c>
      <c r="E30" s="55">
        <v>1052</v>
      </c>
      <c r="F30" s="592"/>
      <c r="G30" s="55"/>
      <c r="H30" s="592"/>
      <c r="I30" s="340"/>
      <c r="K30" s="238"/>
      <c r="L30" s="238"/>
      <c r="M30" s="238"/>
      <c r="N30" s="238"/>
      <c r="O30" s="238"/>
    </row>
    <row r="31" spans="1:15" s="56" customFormat="1" ht="21" customHeight="1">
      <c r="A31" s="294"/>
      <c r="B31" s="30"/>
      <c r="C31" s="178" t="s">
        <v>427</v>
      </c>
      <c r="D31" s="261" t="s">
        <v>428</v>
      </c>
      <c r="E31" s="55">
        <v>15000</v>
      </c>
      <c r="F31" s="592"/>
      <c r="G31" s="55">
        <v>15000</v>
      </c>
      <c r="H31" s="592"/>
      <c r="I31" s="340">
        <f t="shared" si="1"/>
        <v>100</v>
      </c>
      <c r="K31" s="238"/>
      <c r="L31" s="238"/>
      <c r="M31" s="238"/>
      <c r="N31" s="238"/>
      <c r="O31" s="238"/>
    </row>
    <row r="32" spans="1:15" s="56" customFormat="1" ht="20.25" customHeight="1">
      <c r="A32" s="294"/>
      <c r="B32" s="30"/>
      <c r="C32" s="178" t="s">
        <v>131</v>
      </c>
      <c r="D32" s="261" t="s">
        <v>342</v>
      </c>
      <c r="E32" s="55">
        <v>5000</v>
      </c>
      <c r="F32" s="592"/>
      <c r="G32" s="55">
        <v>5500</v>
      </c>
      <c r="H32" s="592"/>
      <c r="I32" s="340">
        <f t="shared" si="1"/>
        <v>110.00000000000001</v>
      </c>
      <c r="K32" s="238"/>
      <c r="L32" s="238"/>
      <c r="M32" s="238"/>
      <c r="N32" s="238"/>
      <c r="O32" s="238"/>
    </row>
    <row r="33" spans="1:15" s="56" customFormat="1" ht="17.25" customHeight="1">
      <c r="A33" s="294"/>
      <c r="B33" s="30"/>
      <c r="C33" s="175" t="s">
        <v>94</v>
      </c>
      <c r="D33" s="261" t="s">
        <v>8</v>
      </c>
      <c r="E33" s="55">
        <v>15000</v>
      </c>
      <c r="F33" s="592"/>
      <c r="G33" s="55">
        <v>16000</v>
      </c>
      <c r="H33" s="592"/>
      <c r="I33" s="1203">
        <f t="shared" si="1"/>
        <v>106.66666666666667</v>
      </c>
      <c r="K33" s="238"/>
      <c r="L33" s="238"/>
      <c r="M33" s="238"/>
      <c r="N33" s="238"/>
      <c r="O33" s="238"/>
    </row>
    <row r="34" spans="1:15" s="57" customFormat="1" ht="17.25" customHeight="1">
      <c r="A34" s="169" t="s">
        <v>105</v>
      </c>
      <c r="B34" s="15"/>
      <c r="C34" s="169"/>
      <c r="D34" s="273" t="s">
        <v>152</v>
      </c>
      <c r="E34" s="36">
        <f>E35</f>
        <v>32000</v>
      </c>
      <c r="F34" s="1222"/>
      <c r="G34" s="36">
        <f>G35</f>
        <v>0</v>
      </c>
      <c r="H34" s="1205"/>
      <c r="I34" s="1203"/>
      <c r="K34" s="333"/>
      <c r="L34" s="333"/>
      <c r="M34" s="333"/>
      <c r="N34" s="333"/>
      <c r="O34" s="333"/>
    </row>
    <row r="35" spans="1:15" s="56" customFormat="1" ht="19.5" customHeight="1">
      <c r="A35" s="294"/>
      <c r="B35" s="25">
        <v>71035</v>
      </c>
      <c r="C35" s="180"/>
      <c r="D35" s="261" t="s">
        <v>107</v>
      </c>
      <c r="E35" s="55">
        <f>E36</f>
        <v>32000</v>
      </c>
      <c r="F35" s="592"/>
      <c r="G35" s="55">
        <f>G36</f>
        <v>0</v>
      </c>
      <c r="H35" s="1078"/>
      <c r="I35" s="1204"/>
      <c r="K35" s="238"/>
      <c r="L35" s="238"/>
      <c r="M35" s="238"/>
      <c r="N35" s="238"/>
      <c r="O35" s="238"/>
    </row>
    <row r="36" spans="1:15" s="56" customFormat="1" ht="48" customHeight="1">
      <c r="A36" s="294"/>
      <c r="B36" s="30"/>
      <c r="C36" s="178" t="s">
        <v>106</v>
      </c>
      <c r="D36" s="261" t="s">
        <v>258</v>
      </c>
      <c r="E36" s="55">
        <v>32000</v>
      </c>
      <c r="F36" s="592"/>
      <c r="G36" s="55">
        <v>0</v>
      </c>
      <c r="H36" s="1078"/>
      <c r="I36" s="1202"/>
      <c r="K36" s="238"/>
      <c r="L36" s="238"/>
      <c r="M36" s="238"/>
      <c r="N36" s="238"/>
      <c r="O36" s="238"/>
    </row>
    <row r="37" spans="1:9" ht="27" customHeight="1">
      <c r="A37" s="169">
        <v>750</v>
      </c>
      <c r="B37" s="12"/>
      <c r="C37" s="169"/>
      <c r="D37" s="273" t="s">
        <v>144</v>
      </c>
      <c r="E37" s="36">
        <f>E38+E41</f>
        <v>1005831</v>
      </c>
      <c r="F37" s="343">
        <f>F38+F41</f>
        <v>535525</v>
      </c>
      <c r="G37" s="36">
        <f>G38+G41</f>
        <v>1075003</v>
      </c>
      <c r="H37" s="343">
        <f>H38+H41</f>
        <v>499653</v>
      </c>
      <c r="I37" s="1202">
        <f t="shared" si="1"/>
        <v>106.87709963204554</v>
      </c>
    </row>
    <row r="38" spans="1:15" s="56" customFormat="1" ht="21" customHeight="1">
      <c r="A38" s="294"/>
      <c r="B38" s="25">
        <v>75011</v>
      </c>
      <c r="C38" s="177"/>
      <c r="D38" s="314" t="s">
        <v>426</v>
      </c>
      <c r="E38" s="104">
        <f>SUM(E39:E40)</f>
        <v>535611</v>
      </c>
      <c r="F38" s="583">
        <f>SUM(F39:F40)</f>
        <v>535525</v>
      </c>
      <c r="G38" s="104">
        <f>SUM(G39:G40)</f>
        <v>499653</v>
      </c>
      <c r="H38" s="583">
        <f>SUM(H39:H40)</f>
        <v>499653</v>
      </c>
      <c r="I38" s="340">
        <f t="shared" si="1"/>
        <v>93.28654564600055</v>
      </c>
      <c r="K38" s="238"/>
      <c r="L38" s="238"/>
      <c r="M38" s="238"/>
      <c r="N38" s="238"/>
      <c r="O38" s="238"/>
    </row>
    <row r="39" spans="1:9" ht="46.5" customHeight="1">
      <c r="A39" s="295"/>
      <c r="B39" s="10"/>
      <c r="C39" s="178">
        <v>2010</v>
      </c>
      <c r="D39" s="261" t="s">
        <v>132</v>
      </c>
      <c r="E39" s="55">
        <v>535525</v>
      </c>
      <c r="F39" s="594">
        <v>535525</v>
      </c>
      <c r="G39" s="55">
        <v>499653</v>
      </c>
      <c r="H39" s="594">
        <v>499653</v>
      </c>
      <c r="I39" s="340">
        <f t="shared" si="1"/>
        <v>93.30152653937725</v>
      </c>
    </row>
    <row r="40" spans="1:9" ht="46.5" customHeight="1">
      <c r="A40" s="295"/>
      <c r="B40" s="10"/>
      <c r="C40" s="178">
        <v>2360</v>
      </c>
      <c r="D40" s="261" t="s">
        <v>133</v>
      </c>
      <c r="E40" s="27">
        <v>86</v>
      </c>
      <c r="F40" s="1067"/>
      <c r="G40" s="44">
        <v>0</v>
      </c>
      <c r="H40" s="1067"/>
      <c r="I40" s="1206"/>
    </row>
    <row r="41" spans="1:15" s="56" customFormat="1" ht="25.5" customHeight="1">
      <c r="A41" s="294"/>
      <c r="B41" s="24">
        <v>75023</v>
      </c>
      <c r="C41" s="177"/>
      <c r="D41" s="314" t="s">
        <v>380</v>
      </c>
      <c r="E41" s="29">
        <f>SUM(E42:E48)</f>
        <v>470220</v>
      </c>
      <c r="F41" s="599"/>
      <c r="G41" s="41">
        <f>SUM(G42:G48)</f>
        <v>575350</v>
      </c>
      <c r="H41" s="599"/>
      <c r="I41" s="1206">
        <f t="shared" si="1"/>
        <v>122.35761983752286</v>
      </c>
      <c r="K41" s="238"/>
      <c r="L41" s="238"/>
      <c r="M41" s="238"/>
      <c r="N41" s="238"/>
      <c r="O41" s="238"/>
    </row>
    <row r="42" spans="1:15" s="56" customFormat="1" ht="25.5" customHeight="1">
      <c r="A42" s="294"/>
      <c r="B42" s="30"/>
      <c r="C42" s="178" t="s">
        <v>134</v>
      </c>
      <c r="D42" s="261" t="s">
        <v>604</v>
      </c>
      <c r="E42" s="27">
        <v>650</v>
      </c>
      <c r="F42" s="599"/>
      <c r="G42" s="44"/>
      <c r="H42" s="599"/>
      <c r="I42" s="1206"/>
      <c r="K42" s="238"/>
      <c r="L42" s="238"/>
      <c r="M42" s="238"/>
      <c r="N42" s="238"/>
      <c r="O42" s="238"/>
    </row>
    <row r="43" spans="1:9" ht="19.5" customHeight="1">
      <c r="A43" s="295"/>
      <c r="B43" s="10"/>
      <c r="C43" s="178" t="s">
        <v>427</v>
      </c>
      <c r="D43" s="261" t="s">
        <v>428</v>
      </c>
      <c r="E43" s="27">
        <v>75000</v>
      </c>
      <c r="F43" s="597"/>
      <c r="G43" s="44">
        <v>75000</v>
      </c>
      <c r="H43" s="597"/>
      <c r="I43" s="1206">
        <f t="shared" si="1"/>
        <v>100</v>
      </c>
    </row>
    <row r="44" spans="1:9" ht="60" customHeight="1">
      <c r="A44" s="295"/>
      <c r="B44" s="10"/>
      <c r="C44" s="178" t="s">
        <v>433</v>
      </c>
      <c r="D44" s="261" t="s">
        <v>126</v>
      </c>
      <c r="E44" s="27">
        <v>350000</v>
      </c>
      <c r="F44" s="597"/>
      <c r="G44" s="44">
        <v>400500</v>
      </c>
      <c r="H44" s="597"/>
      <c r="I44" s="1206">
        <f t="shared" si="1"/>
        <v>114.42857142857143</v>
      </c>
    </row>
    <row r="45" spans="1:9" ht="21.75" customHeight="1">
      <c r="A45" s="295"/>
      <c r="B45" s="10"/>
      <c r="C45" s="178" t="s">
        <v>430</v>
      </c>
      <c r="D45" s="261" t="s">
        <v>431</v>
      </c>
      <c r="E45" s="27">
        <v>5450</v>
      </c>
      <c r="F45" s="597"/>
      <c r="G45" s="44">
        <v>70450</v>
      </c>
      <c r="H45" s="597"/>
      <c r="I45" s="1206"/>
    </row>
    <row r="46" spans="1:9" ht="21.75" customHeight="1">
      <c r="A46" s="295"/>
      <c r="B46" s="10"/>
      <c r="C46" s="175" t="s">
        <v>131</v>
      </c>
      <c r="D46" s="261" t="s">
        <v>342</v>
      </c>
      <c r="E46" s="27">
        <v>400</v>
      </c>
      <c r="F46" s="597"/>
      <c r="G46" s="44">
        <v>400</v>
      </c>
      <c r="H46" s="597"/>
      <c r="I46" s="1206">
        <f t="shared" si="1"/>
        <v>100</v>
      </c>
    </row>
    <row r="47" spans="1:9" ht="21.75" customHeight="1">
      <c r="A47" s="295"/>
      <c r="B47" s="10"/>
      <c r="C47" s="178" t="s">
        <v>94</v>
      </c>
      <c r="D47" s="261" t="s">
        <v>95</v>
      </c>
      <c r="E47" s="27">
        <f>21000+8000</f>
        <v>29000</v>
      </c>
      <c r="F47" s="597"/>
      <c r="G47" s="44">
        <v>29000</v>
      </c>
      <c r="H47" s="597"/>
      <c r="I47" s="1206">
        <f t="shared" si="1"/>
        <v>100</v>
      </c>
    </row>
    <row r="48" spans="1:9" ht="50.25" customHeight="1">
      <c r="A48" s="295"/>
      <c r="B48" s="10"/>
      <c r="C48" s="178" t="s">
        <v>597</v>
      </c>
      <c r="D48" s="261" t="s">
        <v>445</v>
      </c>
      <c r="E48" s="27">
        <v>9720</v>
      </c>
      <c r="F48" s="598"/>
      <c r="G48" s="44"/>
      <c r="H48" s="598"/>
      <c r="I48" s="1206"/>
    </row>
    <row r="49" spans="1:9" ht="33.75" customHeight="1">
      <c r="A49" s="169">
        <v>751</v>
      </c>
      <c r="B49" s="12"/>
      <c r="C49" s="169"/>
      <c r="D49" s="273" t="s">
        <v>381</v>
      </c>
      <c r="E49" s="70">
        <f aca="true" t="shared" si="2" ref="E49:H50">E50</f>
        <v>13500</v>
      </c>
      <c r="F49" s="1207">
        <f t="shared" si="2"/>
        <v>13500</v>
      </c>
      <c r="G49" s="70">
        <f t="shared" si="2"/>
        <v>13500</v>
      </c>
      <c r="H49" s="1207">
        <f t="shared" si="2"/>
        <v>13500</v>
      </c>
      <c r="I49" s="340">
        <f t="shared" si="1"/>
        <v>100</v>
      </c>
    </row>
    <row r="50" spans="1:15" s="56" customFormat="1" ht="30.75" customHeight="1">
      <c r="A50" s="294"/>
      <c r="B50" s="24">
        <v>75101</v>
      </c>
      <c r="C50" s="177"/>
      <c r="D50" s="314" t="s">
        <v>382</v>
      </c>
      <c r="E50" s="105">
        <f t="shared" si="2"/>
        <v>13500</v>
      </c>
      <c r="F50" s="595">
        <f t="shared" si="2"/>
        <v>13500</v>
      </c>
      <c r="G50" s="105">
        <f t="shared" si="2"/>
        <v>13500</v>
      </c>
      <c r="H50" s="595">
        <f t="shared" si="2"/>
        <v>13500</v>
      </c>
      <c r="I50" s="340">
        <f t="shared" si="1"/>
        <v>100</v>
      </c>
      <c r="K50" s="238"/>
      <c r="L50" s="238"/>
      <c r="M50" s="238"/>
      <c r="N50" s="238"/>
      <c r="O50" s="238"/>
    </row>
    <row r="51" spans="1:9" ht="53.25" customHeight="1">
      <c r="A51" s="295"/>
      <c r="B51" s="10"/>
      <c r="C51" s="178">
        <v>2010</v>
      </c>
      <c r="D51" s="261" t="s">
        <v>132</v>
      </c>
      <c r="E51" s="160">
        <v>13500</v>
      </c>
      <c r="F51" s="589">
        <v>13500</v>
      </c>
      <c r="G51" s="160">
        <v>13500</v>
      </c>
      <c r="H51" s="589">
        <v>13500</v>
      </c>
      <c r="I51" s="340">
        <f t="shared" si="1"/>
        <v>100</v>
      </c>
    </row>
    <row r="52" spans="1:9" ht="25.5" customHeight="1">
      <c r="A52" s="296">
        <v>754</v>
      </c>
      <c r="B52" s="63"/>
      <c r="C52" s="19"/>
      <c r="D52" s="276" t="s">
        <v>145</v>
      </c>
      <c r="E52" s="36">
        <f>E53</f>
        <v>500010</v>
      </c>
      <c r="F52" s="593"/>
      <c r="G52" s="36">
        <f>G53</f>
        <v>510000</v>
      </c>
      <c r="H52" s="593"/>
      <c r="I52" s="340">
        <f t="shared" si="1"/>
        <v>101.99796004079917</v>
      </c>
    </row>
    <row r="53" spans="1:15" s="56" customFormat="1" ht="21.75" customHeight="1">
      <c r="A53" s="294"/>
      <c r="B53" s="109">
        <v>75416</v>
      </c>
      <c r="C53" s="177"/>
      <c r="D53" s="314" t="s">
        <v>421</v>
      </c>
      <c r="E53" s="104">
        <f>E54+E55</f>
        <v>500010</v>
      </c>
      <c r="F53" s="596"/>
      <c r="G53" s="104">
        <f>G54+G55</f>
        <v>510000</v>
      </c>
      <c r="H53" s="596"/>
      <c r="I53" s="340">
        <f t="shared" si="1"/>
        <v>101.99796004079917</v>
      </c>
      <c r="K53" s="238"/>
      <c r="L53" s="238"/>
      <c r="M53" s="238"/>
      <c r="N53" s="238"/>
      <c r="O53" s="238"/>
    </row>
    <row r="54" spans="1:9" ht="22.5" customHeight="1">
      <c r="A54" s="295"/>
      <c r="B54" s="10"/>
      <c r="C54" s="178" t="s">
        <v>134</v>
      </c>
      <c r="D54" s="261" t="s">
        <v>604</v>
      </c>
      <c r="E54" s="55">
        <v>500000</v>
      </c>
      <c r="F54" s="593"/>
      <c r="G54" s="55">
        <v>510000</v>
      </c>
      <c r="H54" s="593"/>
      <c r="I54" s="340">
        <f t="shared" si="1"/>
        <v>102</v>
      </c>
    </row>
    <row r="55" spans="1:9" ht="22.5" customHeight="1">
      <c r="A55" s="295"/>
      <c r="B55" s="10"/>
      <c r="C55" s="178" t="s">
        <v>427</v>
      </c>
      <c r="D55" s="261" t="s">
        <v>428</v>
      </c>
      <c r="E55" s="55">
        <v>10</v>
      </c>
      <c r="F55" s="593"/>
      <c r="G55" s="55"/>
      <c r="H55" s="593"/>
      <c r="I55" s="340"/>
    </row>
    <row r="56" spans="1:9" ht="51.75" customHeight="1">
      <c r="A56" s="169">
        <v>756</v>
      </c>
      <c r="B56" s="12"/>
      <c r="C56" s="169"/>
      <c r="D56" s="273" t="s">
        <v>19</v>
      </c>
      <c r="E56" s="36">
        <f>E57+E60+E69+E81+E88</f>
        <v>143531920</v>
      </c>
      <c r="F56" s="593"/>
      <c r="G56" s="36">
        <f>G57+G60+G69+G81+G88</f>
        <v>154920845</v>
      </c>
      <c r="H56" s="593"/>
      <c r="I56" s="340">
        <f t="shared" si="1"/>
        <v>107.93476809897061</v>
      </c>
    </row>
    <row r="57" spans="1:15" s="56" customFormat="1" ht="24.75" customHeight="1">
      <c r="A57" s="294"/>
      <c r="B57" s="25">
        <v>75601</v>
      </c>
      <c r="C57" s="177"/>
      <c r="D57" s="314" t="s">
        <v>605</v>
      </c>
      <c r="E57" s="104">
        <f>SUM(E58:E59)</f>
        <v>172500</v>
      </c>
      <c r="F57" s="592"/>
      <c r="G57" s="104">
        <f>SUM(G58:G59)</f>
        <v>182500</v>
      </c>
      <c r="H57" s="592"/>
      <c r="I57" s="340">
        <f t="shared" si="1"/>
        <v>105.79710144927536</v>
      </c>
      <c r="K57" s="238"/>
      <c r="L57" s="238"/>
      <c r="M57" s="238"/>
      <c r="N57" s="238"/>
      <c r="O57" s="238"/>
    </row>
    <row r="58" spans="1:9" ht="28.5" customHeight="1">
      <c r="A58" s="295"/>
      <c r="B58" s="10"/>
      <c r="C58" s="178" t="s">
        <v>606</v>
      </c>
      <c r="D58" s="261" t="s">
        <v>607</v>
      </c>
      <c r="E58" s="55">
        <v>170000</v>
      </c>
      <c r="F58" s="589"/>
      <c r="G58" s="55">
        <v>180000</v>
      </c>
      <c r="H58" s="589"/>
      <c r="I58" s="340">
        <f t="shared" si="1"/>
        <v>105.88235294117648</v>
      </c>
    </row>
    <row r="59" spans="1:9" ht="22.5" customHeight="1">
      <c r="A59" s="295"/>
      <c r="B59" s="10"/>
      <c r="C59" s="178" t="s">
        <v>127</v>
      </c>
      <c r="D59" s="261" t="s">
        <v>130</v>
      </c>
      <c r="E59" s="100">
        <v>2500</v>
      </c>
      <c r="F59" s="589"/>
      <c r="G59" s="100">
        <v>2500</v>
      </c>
      <c r="H59" s="589"/>
      <c r="I59" s="340">
        <f t="shared" si="1"/>
        <v>100</v>
      </c>
    </row>
    <row r="60" spans="1:15" s="56" customFormat="1" ht="55.5" customHeight="1">
      <c r="A60" s="294"/>
      <c r="B60" s="24">
        <v>75615</v>
      </c>
      <c r="C60" s="177"/>
      <c r="D60" s="314" t="s">
        <v>641</v>
      </c>
      <c r="E60" s="104">
        <f>SUM(E61:E68)</f>
        <v>57749800</v>
      </c>
      <c r="F60" s="592"/>
      <c r="G60" s="104">
        <f>SUM(G61:G68)</f>
        <v>58862868</v>
      </c>
      <c r="H60" s="592"/>
      <c r="I60" s="340">
        <f t="shared" si="1"/>
        <v>101.92739715115897</v>
      </c>
      <c r="K60" s="238"/>
      <c r="L60" s="238"/>
      <c r="M60" s="238"/>
      <c r="N60" s="238"/>
      <c r="O60" s="238"/>
    </row>
    <row r="61" spans="1:9" ht="15.75" customHeight="1">
      <c r="A61" s="295"/>
      <c r="B61" s="10"/>
      <c r="C61" s="178" t="s">
        <v>642</v>
      </c>
      <c r="D61" s="261" t="s">
        <v>351</v>
      </c>
      <c r="E61" s="55">
        <v>55400000</v>
      </c>
      <c r="F61" s="589"/>
      <c r="G61" s="55">
        <v>56500000</v>
      </c>
      <c r="H61" s="589"/>
      <c r="I61" s="340">
        <f t="shared" si="1"/>
        <v>101.985559566787</v>
      </c>
    </row>
    <row r="62" spans="1:11" ht="16.5" customHeight="1">
      <c r="A62" s="295"/>
      <c r="B62" s="10"/>
      <c r="C62" s="178" t="s">
        <v>643</v>
      </c>
      <c r="D62" s="261" t="s">
        <v>644</v>
      </c>
      <c r="E62" s="55">
        <v>43500</v>
      </c>
      <c r="F62" s="589"/>
      <c r="G62" s="55">
        <v>53000</v>
      </c>
      <c r="H62" s="589"/>
      <c r="I62" s="340">
        <f t="shared" si="1"/>
        <v>121.83908045977012</v>
      </c>
      <c r="K62" s="58"/>
    </row>
    <row r="63" spans="1:9" ht="15.75" customHeight="1">
      <c r="A63" s="295"/>
      <c r="B63" s="10"/>
      <c r="C63" s="178" t="s">
        <v>645</v>
      </c>
      <c r="D63" s="261" t="s">
        <v>646</v>
      </c>
      <c r="E63" s="55">
        <v>6300</v>
      </c>
      <c r="F63" s="589"/>
      <c r="G63" s="55">
        <v>5600</v>
      </c>
      <c r="H63" s="589"/>
      <c r="I63" s="340">
        <f t="shared" si="1"/>
        <v>88.88888888888889</v>
      </c>
    </row>
    <row r="64" spans="1:9" ht="18.75" customHeight="1">
      <c r="A64" s="295"/>
      <c r="B64" s="10"/>
      <c r="C64" s="178" t="s">
        <v>647</v>
      </c>
      <c r="D64" s="261" t="s">
        <v>648</v>
      </c>
      <c r="E64" s="55">
        <v>730000</v>
      </c>
      <c r="F64" s="589"/>
      <c r="G64" s="55">
        <v>730000</v>
      </c>
      <c r="H64" s="589"/>
      <c r="I64" s="340">
        <f t="shared" si="1"/>
        <v>100</v>
      </c>
    </row>
    <row r="65" spans="1:9" ht="21" customHeight="1">
      <c r="A65" s="295"/>
      <c r="B65" s="10"/>
      <c r="C65" s="178" t="s">
        <v>649</v>
      </c>
      <c r="D65" s="261" t="s">
        <v>650</v>
      </c>
      <c r="E65" s="55">
        <f>2800000-2000000</f>
        <v>800000</v>
      </c>
      <c r="F65" s="589"/>
      <c r="G65" s="55">
        <v>800000</v>
      </c>
      <c r="H65" s="589"/>
      <c r="I65" s="340">
        <f t="shared" si="1"/>
        <v>100</v>
      </c>
    </row>
    <row r="66" spans="1:9" ht="18" customHeight="1">
      <c r="A66" s="295"/>
      <c r="B66" s="10"/>
      <c r="C66" s="178" t="s">
        <v>427</v>
      </c>
      <c r="D66" s="261" t="s">
        <v>428</v>
      </c>
      <c r="E66" s="55">
        <v>1000</v>
      </c>
      <c r="F66" s="589"/>
      <c r="G66" s="55">
        <v>1000</v>
      </c>
      <c r="H66" s="589"/>
      <c r="I66" s="340">
        <f t="shared" si="1"/>
        <v>100</v>
      </c>
    </row>
    <row r="67" spans="1:9" ht="21" customHeight="1">
      <c r="A67" s="295"/>
      <c r="B67" s="10"/>
      <c r="C67" s="178" t="s">
        <v>127</v>
      </c>
      <c r="D67" s="261" t="s">
        <v>130</v>
      </c>
      <c r="E67" s="55">
        <v>570000</v>
      </c>
      <c r="F67" s="589"/>
      <c r="G67" s="55">
        <v>570000</v>
      </c>
      <c r="H67" s="589"/>
      <c r="I67" s="340">
        <f t="shared" si="1"/>
        <v>100</v>
      </c>
    </row>
    <row r="68" spans="1:9" ht="26.25" customHeight="1">
      <c r="A68" s="295"/>
      <c r="B68" s="10"/>
      <c r="C68" s="178">
        <v>2680</v>
      </c>
      <c r="D68" s="261" t="s">
        <v>651</v>
      </c>
      <c r="E68" s="55">
        <v>199000</v>
      </c>
      <c r="F68" s="589"/>
      <c r="G68" s="55">
        <v>203268</v>
      </c>
      <c r="H68" s="589"/>
      <c r="I68" s="340">
        <f t="shared" si="1"/>
        <v>102.14472361809047</v>
      </c>
    </row>
    <row r="69" spans="1:15" s="56" customFormat="1" ht="45.75" customHeight="1">
      <c r="A69" s="294"/>
      <c r="B69" s="25">
        <v>75616</v>
      </c>
      <c r="C69" s="177"/>
      <c r="D69" s="314" t="s">
        <v>665</v>
      </c>
      <c r="E69" s="104">
        <f>SUM(E70:E80)</f>
        <v>13718400</v>
      </c>
      <c r="F69" s="592"/>
      <c r="G69" s="104">
        <f>SUM(G70:G80)</f>
        <v>14136000</v>
      </c>
      <c r="H69" s="592"/>
      <c r="I69" s="340">
        <f t="shared" si="1"/>
        <v>103.04408677396782</v>
      </c>
      <c r="K69" s="238"/>
      <c r="L69" s="238"/>
      <c r="M69" s="238"/>
      <c r="N69" s="238"/>
      <c r="O69" s="238"/>
    </row>
    <row r="70" spans="1:9" ht="18" customHeight="1">
      <c r="A70" s="295"/>
      <c r="B70" s="10"/>
      <c r="C70" s="178" t="s">
        <v>642</v>
      </c>
      <c r="D70" s="261" t="s">
        <v>351</v>
      </c>
      <c r="E70" s="55">
        <v>9100000</v>
      </c>
      <c r="F70" s="589"/>
      <c r="G70" s="55">
        <v>9300000</v>
      </c>
      <c r="H70" s="589"/>
      <c r="I70" s="340">
        <f t="shared" si="1"/>
        <v>102.19780219780219</v>
      </c>
    </row>
    <row r="71" spans="1:9" ht="18" customHeight="1">
      <c r="A71" s="295"/>
      <c r="B71" s="10"/>
      <c r="C71" s="178" t="s">
        <v>643</v>
      </c>
      <c r="D71" s="261" t="s">
        <v>644</v>
      </c>
      <c r="E71" s="55">
        <v>171500</v>
      </c>
      <c r="F71" s="589"/>
      <c r="G71" s="55">
        <v>210000</v>
      </c>
      <c r="H71" s="589"/>
      <c r="I71" s="340">
        <f t="shared" si="1"/>
        <v>122.44897959183673</v>
      </c>
    </row>
    <row r="72" spans="1:9" ht="18.75" customHeight="1">
      <c r="A72" s="295"/>
      <c r="B72" s="10"/>
      <c r="C72" s="178" t="s">
        <v>645</v>
      </c>
      <c r="D72" s="261" t="s">
        <v>646</v>
      </c>
      <c r="E72" s="55">
        <v>1200</v>
      </c>
      <c r="F72" s="589"/>
      <c r="G72" s="55">
        <v>1000</v>
      </c>
      <c r="H72" s="589"/>
      <c r="I72" s="340">
        <f t="shared" si="1"/>
        <v>83.33333333333334</v>
      </c>
    </row>
    <row r="73" spans="1:9" ht="16.5" customHeight="1">
      <c r="A73" s="295"/>
      <c r="B73" s="10"/>
      <c r="C73" s="178" t="s">
        <v>647</v>
      </c>
      <c r="D73" s="261" t="s">
        <v>648</v>
      </c>
      <c r="E73" s="55">
        <v>650000</v>
      </c>
      <c r="F73" s="589"/>
      <c r="G73" s="55">
        <v>650000</v>
      </c>
      <c r="H73" s="589"/>
      <c r="I73" s="340">
        <f t="shared" si="1"/>
        <v>100</v>
      </c>
    </row>
    <row r="74" spans="1:9" ht="16.5" customHeight="1">
      <c r="A74" s="295"/>
      <c r="B74" s="10"/>
      <c r="C74" s="178" t="s">
        <v>136</v>
      </c>
      <c r="D74" s="261" t="s">
        <v>696</v>
      </c>
      <c r="E74" s="55">
        <v>420000</v>
      </c>
      <c r="F74" s="589"/>
      <c r="G74" s="55">
        <v>430000</v>
      </c>
      <c r="H74" s="589"/>
      <c r="I74" s="340">
        <f t="shared" si="1"/>
        <v>102.38095238095238</v>
      </c>
    </row>
    <row r="75" spans="1:9" ht="16.5" customHeight="1">
      <c r="A75" s="295"/>
      <c r="B75" s="10"/>
      <c r="C75" s="178" t="s">
        <v>463</v>
      </c>
      <c r="D75" s="261" t="s">
        <v>464</v>
      </c>
      <c r="E75" s="55">
        <v>50000</v>
      </c>
      <c r="F75" s="589"/>
      <c r="G75" s="55">
        <v>50000</v>
      </c>
      <c r="H75" s="589"/>
      <c r="I75" s="340">
        <f t="shared" si="1"/>
        <v>100</v>
      </c>
    </row>
    <row r="76" spans="1:9" ht="16.5" customHeight="1">
      <c r="A76" s="295"/>
      <c r="B76" s="10"/>
      <c r="C76" s="178" t="s">
        <v>697</v>
      </c>
      <c r="D76" s="261" t="s">
        <v>698</v>
      </c>
      <c r="E76" s="55">
        <f>710000+230000</f>
        <v>940000</v>
      </c>
      <c r="F76" s="589"/>
      <c r="G76" s="55">
        <f>230000+775000</f>
        <v>1005000</v>
      </c>
      <c r="H76" s="589"/>
      <c r="I76" s="340">
        <f t="shared" si="1"/>
        <v>106.91489361702126</v>
      </c>
    </row>
    <row r="77" spans="1:9" ht="18.75" customHeight="1">
      <c r="A77" s="295"/>
      <c r="B77" s="10"/>
      <c r="C77" s="178" t="s">
        <v>649</v>
      </c>
      <c r="D77" s="261" t="s">
        <v>650</v>
      </c>
      <c r="E77" s="55">
        <v>2200000</v>
      </c>
      <c r="F77" s="589"/>
      <c r="G77" s="55">
        <v>2300000</v>
      </c>
      <c r="H77" s="589"/>
      <c r="I77" s="340">
        <f t="shared" si="1"/>
        <v>104.54545454545455</v>
      </c>
    </row>
    <row r="78" spans="1:9" ht="25.5" customHeight="1">
      <c r="A78" s="295"/>
      <c r="B78" s="10"/>
      <c r="C78" s="178" t="s">
        <v>134</v>
      </c>
      <c r="D78" s="261" t="s">
        <v>604</v>
      </c>
      <c r="E78" s="55">
        <v>700</v>
      </c>
      <c r="F78" s="589"/>
      <c r="G78" s="55"/>
      <c r="H78" s="589"/>
      <c r="I78" s="340"/>
    </row>
    <row r="79" spans="1:9" ht="18" customHeight="1">
      <c r="A79" s="295"/>
      <c r="B79" s="10"/>
      <c r="C79" s="178" t="s">
        <v>427</v>
      </c>
      <c r="D79" s="261" t="s">
        <v>428</v>
      </c>
      <c r="E79" s="55">
        <v>20000</v>
      </c>
      <c r="F79" s="589"/>
      <c r="G79" s="55">
        <v>20000</v>
      </c>
      <c r="H79" s="589"/>
      <c r="I79" s="340">
        <f aca="true" t="shared" si="3" ref="I79:I138">G79/E79*100</f>
        <v>100</v>
      </c>
    </row>
    <row r="80" spans="1:9" ht="21.75" customHeight="1">
      <c r="A80" s="295"/>
      <c r="B80" s="10"/>
      <c r="C80" s="178" t="s">
        <v>127</v>
      </c>
      <c r="D80" s="261" t="s">
        <v>130</v>
      </c>
      <c r="E80" s="55">
        <v>165000</v>
      </c>
      <c r="F80" s="589"/>
      <c r="G80" s="55">
        <v>170000</v>
      </c>
      <c r="H80" s="589"/>
      <c r="I80" s="340">
        <f t="shared" si="3"/>
        <v>103.03030303030303</v>
      </c>
    </row>
    <row r="81" spans="1:15" s="56" customFormat="1" ht="37.5" customHeight="1">
      <c r="A81" s="294"/>
      <c r="B81" s="24">
        <v>75618</v>
      </c>
      <c r="C81" s="177" t="s">
        <v>21</v>
      </c>
      <c r="D81" s="314" t="s">
        <v>699</v>
      </c>
      <c r="E81" s="104">
        <f>SUM(E82:E87)</f>
        <v>11116200</v>
      </c>
      <c r="F81" s="592"/>
      <c r="G81" s="104">
        <f>SUM(G82:G87)</f>
        <v>19914500</v>
      </c>
      <c r="H81" s="592"/>
      <c r="I81" s="340">
        <f t="shared" si="3"/>
        <v>179.14845000989547</v>
      </c>
      <c r="K81" s="238"/>
      <c r="L81" s="238"/>
      <c r="M81" s="238"/>
      <c r="N81" s="238"/>
      <c r="O81" s="238"/>
    </row>
    <row r="82" spans="1:9" ht="20.25" customHeight="1">
      <c r="A82" s="295"/>
      <c r="B82" s="10"/>
      <c r="C82" s="178" t="s">
        <v>700</v>
      </c>
      <c r="D82" s="261" t="s">
        <v>701</v>
      </c>
      <c r="E82" s="55">
        <v>1800000</v>
      </c>
      <c r="F82" s="589"/>
      <c r="G82" s="55">
        <v>1850000</v>
      </c>
      <c r="H82" s="589"/>
      <c r="I82" s="340">
        <f t="shared" si="3"/>
        <v>102.77777777777777</v>
      </c>
    </row>
    <row r="83" spans="1:9" ht="23.25" customHeight="1">
      <c r="A83" s="295"/>
      <c r="B83" s="10"/>
      <c r="C83" s="175" t="s">
        <v>702</v>
      </c>
      <c r="D83" s="315" t="s">
        <v>639</v>
      </c>
      <c r="E83" s="55">
        <v>1700000</v>
      </c>
      <c r="F83" s="589"/>
      <c r="G83" s="55">
        <v>1700000</v>
      </c>
      <c r="H83" s="589"/>
      <c r="I83" s="340">
        <f t="shared" si="3"/>
        <v>100</v>
      </c>
    </row>
    <row r="84" spans="1:9" ht="36.75" customHeight="1">
      <c r="A84" s="295"/>
      <c r="B84" s="10"/>
      <c r="C84" s="178" t="s">
        <v>703</v>
      </c>
      <c r="D84" s="261" t="s">
        <v>704</v>
      </c>
      <c r="E84" s="55">
        <f>7250000+362000</f>
        <v>7612000</v>
      </c>
      <c r="F84" s="589"/>
      <c r="G84" s="55">
        <f>16000000+363000</f>
        <v>16363000</v>
      </c>
      <c r="H84" s="589"/>
      <c r="I84" s="340">
        <f t="shared" si="3"/>
        <v>214.96321597477666</v>
      </c>
    </row>
    <row r="85" spans="1:9" ht="25.5" customHeight="1">
      <c r="A85" s="295"/>
      <c r="B85" s="10"/>
      <c r="C85" s="178" t="s">
        <v>155</v>
      </c>
      <c r="D85" s="261" t="s">
        <v>156</v>
      </c>
      <c r="E85" s="55">
        <v>2700</v>
      </c>
      <c r="F85" s="589"/>
      <c r="G85" s="55">
        <v>0</v>
      </c>
      <c r="H85" s="589"/>
      <c r="I85" s="340"/>
    </row>
    <row r="86" spans="1:9" ht="21.75" customHeight="1">
      <c r="A86" s="295"/>
      <c r="B86" s="10"/>
      <c r="C86" s="178" t="s">
        <v>427</v>
      </c>
      <c r="D86" s="261" t="s">
        <v>428</v>
      </c>
      <c r="E86" s="55">
        <v>500</v>
      </c>
      <c r="F86" s="589"/>
      <c r="G86" s="55">
        <v>500</v>
      </c>
      <c r="H86" s="589"/>
      <c r="I86" s="340">
        <f t="shared" si="3"/>
        <v>100</v>
      </c>
    </row>
    <row r="87" spans="1:9" ht="19.5" customHeight="1">
      <c r="A87" s="295"/>
      <c r="B87" s="10"/>
      <c r="C87" s="175" t="s">
        <v>131</v>
      </c>
      <c r="D87" s="261" t="s">
        <v>342</v>
      </c>
      <c r="E87" s="55">
        <v>1000</v>
      </c>
      <c r="F87" s="589"/>
      <c r="G87" s="55">
        <v>1000</v>
      </c>
      <c r="H87" s="589"/>
      <c r="I87" s="340">
        <f t="shared" si="3"/>
        <v>100</v>
      </c>
    </row>
    <row r="88" spans="1:15" s="56" customFormat="1" ht="27.75" customHeight="1">
      <c r="A88" s="294"/>
      <c r="B88" s="24">
        <v>75621</v>
      </c>
      <c r="C88" s="177"/>
      <c r="D88" s="314" t="s">
        <v>705</v>
      </c>
      <c r="E88" s="104">
        <f>SUM(E89:E90)</f>
        <v>60775020</v>
      </c>
      <c r="F88" s="592"/>
      <c r="G88" s="104">
        <f>SUM(G89:G90)</f>
        <v>61824977</v>
      </c>
      <c r="H88" s="592"/>
      <c r="I88" s="340">
        <f t="shared" si="3"/>
        <v>101.72761275932119</v>
      </c>
      <c r="K88" s="238"/>
      <c r="L88" s="238"/>
      <c r="M88" s="238"/>
      <c r="N88" s="238"/>
      <c r="O88" s="238"/>
    </row>
    <row r="89" spans="1:9" ht="21.75" customHeight="1">
      <c r="A89" s="295"/>
      <c r="B89" s="10"/>
      <c r="C89" s="178" t="s">
        <v>706</v>
      </c>
      <c r="D89" s="261" t="s">
        <v>434</v>
      </c>
      <c r="E89" s="55">
        <v>56975020</v>
      </c>
      <c r="F89" s="589"/>
      <c r="G89" s="55">
        <v>57824977</v>
      </c>
      <c r="H89" s="589"/>
      <c r="I89" s="340">
        <f t="shared" si="3"/>
        <v>101.49180640919478</v>
      </c>
    </row>
    <row r="90" spans="1:9" ht="20.25" customHeight="1">
      <c r="A90" s="295"/>
      <c r="B90" s="10"/>
      <c r="C90" s="178" t="s">
        <v>435</v>
      </c>
      <c r="D90" s="261" t="s">
        <v>436</v>
      </c>
      <c r="E90" s="55">
        <v>3800000</v>
      </c>
      <c r="F90" s="589"/>
      <c r="G90" s="55">
        <v>4000000</v>
      </c>
      <c r="H90" s="589"/>
      <c r="I90" s="340">
        <f t="shared" si="3"/>
        <v>105.26315789473684</v>
      </c>
    </row>
    <row r="91" spans="1:9" ht="21" customHeight="1">
      <c r="A91" s="169">
        <v>758</v>
      </c>
      <c r="B91" s="12"/>
      <c r="C91" s="169"/>
      <c r="D91" s="273" t="s">
        <v>146</v>
      </c>
      <c r="E91" s="36">
        <f>E92+E94+E100</f>
        <v>51855185.18</v>
      </c>
      <c r="F91" s="593"/>
      <c r="G91" s="36">
        <f>G92+G94+G100</f>
        <v>51231233</v>
      </c>
      <c r="H91" s="593"/>
      <c r="I91" s="340">
        <f t="shared" si="3"/>
        <v>98.79674100510077</v>
      </c>
    </row>
    <row r="92" spans="1:15" s="56" customFormat="1" ht="29.25" customHeight="1">
      <c r="A92" s="294"/>
      <c r="B92" s="24">
        <v>75801</v>
      </c>
      <c r="C92" s="177"/>
      <c r="D92" s="314" t="s">
        <v>437</v>
      </c>
      <c r="E92" s="104">
        <f>E93</f>
        <v>43789285</v>
      </c>
      <c r="F92" s="590"/>
      <c r="G92" s="104">
        <f>G93</f>
        <v>44952527</v>
      </c>
      <c r="H92" s="590"/>
      <c r="I92" s="340">
        <f t="shared" si="3"/>
        <v>102.65645351368491</v>
      </c>
      <c r="K92" s="238"/>
      <c r="L92" s="238"/>
      <c r="M92" s="238"/>
      <c r="N92" s="238"/>
      <c r="O92" s="238"/>
    </row>
    <row r="93" spans="1:9" ht="22.5" customHeight="1">
      <c r="A93" s="295"/>
      <c r="B93" s="10"/>
      <c r="C93" s="178">
        <v>2920</v>
      </c>
      <c r="D93" s="261" t="s">
        <v>438</v>
      </c>
      <c r="E93" s="160">
        <v>43789285</v>
      </c>
      <c r="F93" s="589"/>
      <c r="G93" s="160">
        <v>44952527</v>
      </c>
      <c r="H93" s="589"/>
      <c r="I93" s="340">
        <f t="shared" si="3"/>
        <v>102.65645351368491</v>
      </c>
    </row>
    <row r="94" spans="1:15" s="56" customFormat="1" ht="21" customHeight="1">
      <c r="A94" s="294"/>
      <c r="B94" s="24">
        <v>75814</v>
      </c>
      <c r="C94" s="177"/>
      <c r="D94" s="314" t="s">
        <v>14</v>
      </c>
      <c r="E94" s="104">
        <f>SUM(E95:E99)</f>
        <v>7349506.18</v>
      </c>
      <c r="F94" s="592"/>
      <c r="G94" s="104">
        <f>SUM(G95:G99)</f>
        <v>5610000</v>
      </c>
      <c r="H94" s="592"/>
      <c r="I94" s="340">
        <f t="shared" si="3"/>
        <v>76.33165906120784</v>
      </c>
      <c r="K94" s="238"/>
      <c r="L94" s="238"/>
      <c r="M94" s="238"/>
      <c r="N94" s="238"/>
      <c r="O94" s="238"/>
    </row>
    <row r="95" spans="1:9" ht="20.25" customHeight="1">
      <c r="A95" s="295"/>
      <c r="B95" s="10"/>
      <c r="C95" s="175" t="s">
        <v>131</v>
      </c>
      <c r="D95" s="261" t="s">
        <v>342</v>
      </c>
      <c r="E95" s="55">
        <v>900000</v>
      </c>
      <c r="F95" s="589"/>
      <c r="G95" s="55">
        <v>900000</v>
      </c>
      <c r="H95" s="589"/>
      <c r="I95" s="340">
        <f t="shared" si="3"/>
        <v>100</v>
      </c>
    </row>
    <row r="96" spans="1:9" ht="19.5" customHeight="1">
      <c r="A96" s="295"/>
      <c r="B96" s="10"/>
      <c r="C96" s="175" t="s">
        <v>94</v>
      </c>
      <c r="D96" s="261" t="s">
        <v>95</v>
      </c>
      <c r="E96" s="55">
        <v>510000</v>
      </c>
      <c r="F96" s="589"/>
      <c r="G96" s="55">
        <f>4190000+520000</f>
        <v>4710000</v>
      </c>
      <c r="H96" s="589"/>
      <c r="I96" s="1203">
        <f t="shared" si="3"/>
        <v>923.5294117647059</v>
      </c>
    </row>
    <row r="97" spans="1:9" ht="84.75" customHeight="1">
      <c r="A97" s="295"/>
      <c r="B97" s="10"/>
      <c r="C97" s="175">
        <v>2910</v>
      </c>
      <c r="D97" s="337" t="s">
        <v>157</v>
      </c>
      <c r="E97" s="55">
        <v>258000</v>
      </c>
      <c r="F97" s="589"/>
      <c r="G97" s="55">
        <v>0</v>
      </c>
      <c r="H97" s="226"/>
      <c r="I97" s="1203"/>
    </row>
    <row r="98" spans="1:9" ht="39.75" customHeight="1">
      <c r="A98" s="295"/>
      <c r="B98" s="10"/>
      <c r="C98" s="175" t="s">
        <v>108</v>
      </c>
      <c r="D98" s="261" t="s">
        <v>109</v>
      </c>
      <c r="E98" s="55">
        <v>563591.48</v>
      </c>
      <c r="F98" s="589"/>
      <c r="G98" s="55">
        <v>0</v>
      </c>
      <c r="H98" s="226"/>
      <c r="I98" s="1204"/>
    </row>
    <row r="99" spans="1:9" ht="36" customHeight="1">
      <c r="A99" s="295"/>
      <c r="B99" s="10"/>
      <c r="C99" s="175">
        <v>6680</v>
      </c>
      <c r="D99" s="261" t="s">
        <v>109</v>
      </c>
      <c r="E99" s="55">
        <v>5117914.7</v>
      </c>
      <c r="F99" s="589"/>
      <c r="G99" s="55">
        <v>0</v>
      </c>
      <c r="H99" s="226"/>
      <c r="I99" s="1202"/>
    </row>
    <row r="100" spans="1:15" s="56" customFormat="1" ht="30" customHeight="1">
      <c r="A100" s="294"/>
      <c r="B100" s="24">
        <v>75831</v>
      </c>
      <c r="C100" s="181"/>
      <c r="D100" s="314" t="s">
        <v>439</v>
      </c>
      <c r="E100" s="104">
        <f>E101</f>
        <v>716394</v>
      </c>
      <c r="F100" s="592"/>
      <c r="G100" s="104">
        <f>G101</f>
        <v>668706</v>
      </c>
      <c r="H100" s="592"/>
      <c r="I100" s="1202">
        <f t="shared" si="3"/>
        <v>93.34332783356645</v>
      </c>
      <c r="K100" s="238"/>
      <c r="L100" s="238"/>
      <c r="M100" s="238"/>
      <c r="N100" s="238"/>
      <c r="O100" s="238"/>
    </row>
    <row r="101" spans="1:9" ht="22.5" customHeight="1">
      <c r="A101" s="295"/>
      <c r="B101" s="10"/>
      <c r="C101" s="178">
        <v>2920</v>
      </c>
      <c r="D101" s="261" t="s">
        <v>438</v>
      </c>
      <c r="E101" s="100">
        <v>716394</v>
      </c>
      <c r="F101" s="589"/>
      <c r="G101" s="100">
        <v>668706</v>
      </c>
      <c r="H101" s="589"/>
      <c r="I101" s="340">
        <f t="shared" si="3"/>
        <v>93.34332783356645</v>
      </c>
    </row>
    <row r="102" spans="1:9" ht="20.25" customHeight="1">
      <c r="A102" s="169">
        <v>801</v>
      </c>
      <c r="B102" s="15"/>
      <c r="C102" s="169"/>
      <c r="D102" s="273" t="s">
        <v>148</v>
      </c>
      <c r="E102" s="36">
        <f>E103+E110+E119+E125+E129</f>
        <v>10016404.5</v>
      </c>
      <c r="F102" s="593"/>
      <c r="G102" s="36">
        <f>G103+G110+G119+G125+G129</f>
        <v>5684799.4</v>
      </c>
      <c r="H102" s="593"/>
      <c r="I102" s="340">
        <f t="shared" si="3"/>
        <v>56.75489043997774</v>
      </c>
    </row>
    <row r="103" spans="1:15" s="56" customFormat="1" ht="21" customHeight="1">
      <c r="A103" s="294"/>
      <c r="B103" s="25">
        <v>80101</v>
      </c>
      <c r="C103" s="171"/>
      <c r="D103" s="314" t="s">
        <v>149</v>
      </c>
      <c r="E103" s="152">
        <f>SUM(E104:E109)</f>
        <v>892920</v>
      </c>
      <c r="F103" s="592"/>
      <c r="G103" s="152">
        <f>SUM(G104:G109)</f>
        <v>359960</v>
      </c>
      <c r="H103" s="592"/>
      <c r="I103" s="340">
        <f t="shared" si="3"/>
        <v>40.31268198718811</v>
      </c>
      <c r="K103" s="58"/>
      <c r="L103" s="238"/>
      <c r="M103" s="238"/>
      <c r="N103" s="238"/>
      <c r="O103" s="238"/>
    </row>
    <row r="104" spans="1:15" s="56" customFormat="1" ht="21" customHeight="1">
      <c r="A104" s="297"/>
      <c r="B104" s="35"/>
      <c r="C104" s="178" t="s">
        <v>427</v>
      </c>
      <c r="D104" s="261" t="s">
        <v>428</v>
      </c>
      <c r="E104" s="100">
        <v>200</v>
      </c>
      <c r="F104" s="589"/>
      <c r="G104" s="100">
        <v>380</v>
      </c>
      <c r="H104" s="589"/>
      <c r="I104" s="340">
        <f t="shared" si="3"/>
        <v>190</v>
      </c>
      <c r="K104" s="238"/>
      <c r="L104" s="238"/>
      <c r="M104" s="238"/>
      <c r="N104" s="238"/>
      <c r="O104" s="238"/>
    </row>
    <row r="105" spans="1:9" ht="59.25" customHeight="1">
      <c r="A105" s="298"/>
      <c r="B105" s="8"/>
      <c r="C105" s="182" t="s">
        <v>433</v>
      </c>
      <c r="D105" s="261" t="s">
        <v>126</v>
      </c>
      <c r="E105" s="55">
        <v>380000</v>
      </c>
      <c r="F105" s="589"/>
      <c r="G105" s="55">
        <v>345000</v>
      </c>
      <c r="H105" s="589"/>
      <c r="I105" s="340">
        <f t="shared" si="3"/>
        <v>90.78947368421053</v>
      </c>
    </row>
    <row r="106" spans="1:9" ht="20.25" customHeight="1">
      <c r="A106" s="298"/>
      <c r="B106" s="8"/>
      <c r="C106" s="182" t="s">
        <v>131</v>
      </c>
      <c r="D106" s="261" t="s">
        <v>342</v>
      </c>
      <c r="E106" s="55">
        <v>420</v>
      </c>
      <c r="F106" s="589"/>
      <c r="G106" s="55"/>
      <c r="H106" s="589"/>
      <c r="I106" s="340"/>
    </row>
    <row r="107" spans="1:9" ht="24.75" customHeight="1">
      <c r="A107" s="298"/>
      <c r="B107" s="8"/>
      <c r="C107" s="180" t="s">
        <v>550</v>
      </c>
      <c r="D107" s="261" t="s">
        <v>551</v>
      </c>
      <c r="E107" s="55">
        <v>20500</v>
      </c>
      <c r="F107" s="589"/>
      <c r="G107" s="55"/>
      <c r="H107" s="589"/>
      <c r="I107" s="340"/>
    </row>
    <row r="108" spans="1:9" ht="18.75" customHeight="1">
      <c r="A108" s="298"/>
      <c r="B108" s="8"/>
      <c r="C108" s="178" t="s">
        <v>94</v>
      </c>
      <c r="D108" s="261" t="s">
        <v>95</v>
      </c>
      <c r="E108" s="55">
        <v>30000</v>
      </c>
      <c r="F108" s="589"/>
      <c r="G108" s="55">
        <v>14580</v>
      </c>
      <c r="H108" s="589"/>
      <c r="I108" s="340">
        <f t="shared" si="3"/>
        <v>48.6</v>
      </c>
    </row>
    <row r="109" spans="1:9" ht="37.5" customHeight="1">
      <c r="A109" s="298"/>
      <c r="B109" s="8"/>
      <c r="C109" s="182">
        <v>6330</v>
      </c>
      <c r="D109" s="261" t="s">
        <v>721</v>
      </c>
      <c r="E109" s="55">
        <v>461800</v>
      </c>
      <c r="F109" s="589"/>
      <c r="G109" s="55"/>
      <c r="H109" s="589"/>
      <c r="I109" s="340"/>
    </row>
    <row r="110" spans="1:15" s="56" customFormat="1" ht="21.75" customHeight="1">
      <c r="A110" s="297"/>
      <c r="B110" s="25">
        <v>80104</v>
      </c>
      <c r="C110" s="171"/>
      <c r="D110" s="314" t="s">
        <v>440</v>
      </c>
      <c r="E110" s="104">
        <f>SUM(E111:E118)</f>
        <v>4627892</v>
      </c>
      <c r="F110" s="592"/>
      <c r="G110" s="104">
        <f>SUM(G111:G118)</f>
        <v>3432057</v>
      </c>
      <c r="H110" s="592"/>
      <c r="I110" s="340">
        <f t="shared" si="3"/>
        <v>74.16026562417619</v>
      </c>
      <c r="K110" s="58"/>
      <c r="L110" s="238"/>
      <c r="M110" s="238"/>
      <c r="N110" s="238"/>
      <c r="O110" s="238"/>
    </row>
    <row r="111" spans="1:15" s="56" customFormat="1" ht="21.75" customHeight="1">
      <c r="A111" s="297"/>
      <c r="B111" s="35"/>
      <c r="C111" s="178" t="s">
        <v>427</v>
      </c>
      <c r="D111" s="261" t="s">
        <v>428</v>
      </c>
      <c r="E111" s="55">
        <v>25</v>
      </c>
      <c r="F111" s="589"/>
      <c r="G111" s="55"/>
      <c r="H111" s="592"/>
      <c r="I111" s="340"/>
      <c r="K111" s="238"/>
      <c r="L111" s="238"/>
      <c r="M111" s="238"/>
      <c r="N111" s="238"/>
      <c r="O111" s="238"/>
    </row>
    <row r="112" spans="1:9" ht="58.5" customHeight="1">
      <c r="A112" s="298"/>
      <c r="B112" s="8"/>
      <c r="C112" s="178" t="s">
        <v>433</v>
      </c>
      <c r="D112" s="261" t="s">
        <v>126</v>
      </c>
      <c r="E112" s="55">
        <v>202821</v>
      </c>
      <c r="F112" s="589"/>
      <c r="G112" s="55">
        <v>185410</v>
      </c>
      <c r="H112" s="589"/>
      <c r="I112" s="340">
        <f t="shared" si="3"/>
        <v>91.41558319897841</v>
      </c>
    </row>
    <row r="113" spans="1:9" ht="18.75" customHeight="1">
      <c r="A113" s="298"/>
      <c r="B113" s="8"/>
      <c r="C113" s="182" t="s">
        <v>430</v>
      </c>
      <c r="D113" s="261" t="s">
        <v>431</v>
      </c>
      <c r="E113" s="55">
        <v>3162153</v>
      </c>
      <c r="F113" s="589"/>
      <c r="G113" s="55">
        <v>2660118</v>
      </c>
      <c r="H113" s="589"/>
      <c r="I113" s="340">
        <f t="shared" si="3"/>
        <v>84.12363348642523</v>
      </c>
    </row>
    <row r="114" spans="1:9" ht="18.75" customHeight="1">
      <c r="A114" s="298"/>
      <c r="B114" s="8"/>
      <c r="C114" s="182" t="s">
        <v>131</v>
      </c>
      <c r="D114" s="261" t="s">
        <v>342</v>
      </c>
      <c r="E114" s="55">
        <v>5344</v>
      </c>
      <c r="F114" s="589"/>
      <c r="G114" s="55">
        <f>2828</f>
        <v>2828</v>
      </c>
      <c r="H114" s="589"/>
      <c r="I114" s="340">
        <f t="shared" si="3"/>
        <v>52.91916167664671</v>
      </c>
    </row>
    <row r="115" spans="1:9" ht="18.75" customHeight="1">
      <c r="A115" s="298"/>
      <c r="B115" s="8"/>
      <c r="C115" s="183" t="s">
        <v>94</v>
      </c>
      <c r="D115" s="261" t="s">
        <v>95</v>
      </c>
      <c r="E115" s="55">
        <v>17456</v>
      </c>
      <c r="F115" s="589"/>
      <c r="G115" s="55">
        <v>4877</v>
      </c>
      <c r="H115" s="589"/>
      <c r="I115" s="340">
        <f t="shared" si="3"/>
        <v>27.938817598533454</v>
      </c>
    </row>
    <row r="116" spans="1:9" ht="36.75" customHeight="1">
      <c r="A116" s="298"/>
      <c r="B116" s="8"/>
      <c r="C116" s="178">
        <v>2030</v>
      </c>
      <c r="D116" s="261" t="s">
        <v>686</v>
      </c>
      <c r="E116" s="55">
        <v>600093</v>
      </c>
      <c r="F116" s="589"/>
      <c r="G116" s="55"/>
      <c r="H116" s="589"/>
      <c r="I116" s="340"/>
    </row>
    <row r="117" spans="1:9" ht="48.75" customHeight="1">
      <c r="A117" s="298"/>
      <c r="B117" s="8"/>
      <c r="C117" s="182">
        <v>2310</v>
      </c>
      <c r="D117" s="261" t="s">
        <v>603</v>
      </c>
      <c r="E117" s="55">
        <v>630000</v>
      </c>
      <c r="F117" s="589"/>
      <c r="G117" s="55">
        <v>562056</v>
      </c>
      <c r="H117" s="589"/>
      <c r="I117" s="340">
        <f t="shared" si="3"/>
        <v>89.21523809523809</v>
      </c>
    </row>
    <row r="118" spans="1:9" ht="50.25" customHeight="1">
      <c r="A118" s="298"/>
      <c r="B118" s="8"/>
      <c r="C118" s="178">
        <v>2701</v>
      </c>
      <c r="D118" s="261" t="s">
        <v>445</v>
      </c>
      <c r="E118" s="55">
        <v>10000</v>
      </c>
      <c r="F118" s="589"/>
      <c r="G118" s="55">
        <v>16768</v>
      </c>
      <c r="H118" s="589"/>
      <c r="I118" s="340">
        <f t="shared" si="3"/>
        <v>167.68</v>
      </c>
    </row>
    <row r="119" spans="1:15" s="56" customFormat="1" ht="21" customHeight="1">
      <c r="A119" s="297"/>
      <c r="B119" s="25">
        <v>80110</v>
      </c>
      <c r="C119" s="171"/>
      <c r="D119" s="314" t="s">
        <v>150</v>
      </c>
      <c r="E119" s="104">
        <f>SUM(E120:E124)</f>
        <v>81200</v>
      </c>
      <c r="F119" s="592"/>
      <c r="G119" s="104">
        <f>SUM(G120:G124)</f>
        <v>42781</v>
      </c>
      <c r="H119" s="592"/>
      <c r="I119" s="340">
        <f t="shared" si="3"/>
        <v>52.68596059113301</v>
      </c>
      <c r="K119" s="238"/>
      <c r="L119" s="238"/>
      <c r="M119" s="238"/>
      <c r="N119" s="238"/>
      <c r="O119" s="238"/>
    </row>
    <row r="120" spans="1:15" s="56" customFormat="1" ht="21" customHeight="1">
      <c r="A120" s="297"/>
      <c r="B120" s="35"/>
      <c r="C120" s="178" t="s">
        <v>427</v>
      </c>
      <c r="D120" s="261" t="s">
        <v>428</v>
      </c>
      <c r="E120" s="55">
        <v>500</v>
      </c>
      <c r="F120" s="592"/>
      <c r="G120" s="55">
        <v>520</v>
      </c>
      <c r="H120" s="592"/>
      <c r="I120" s="340">
        <f t="shared" si="3"/>
        <v>104</v>
      </c>
      <c r="K120" s="238"/>
      <c r="L120" s="238"/>
      <c r="M120" s="238"/>
      <c r="N120" s="238"/>
      <c r="O120" s="238"/>
    </row>
    <row r="121" spans="1:9" ht="58.5" customHeight="1">
      <c r="A121" s="298"/>
      <c r="B121" s="8"/>
      <c r="C121" s="178" t="s">
        <v>433</v>
      </c>
      <c r="D121" s="261" t="s">
        <v>126</v>
      </c>
      <c r="E121" s="55">
        <v>56000</v>
      </c>
      <c r="F121" s="589"/>
      <c r="G121" s="55">
        <v>37580</v>
      </c>
      <c r="H121" s="589"/>
      <c r="I121" s="340">
        <f t="shared" si="3"/>
        <v>67.10714285714286</v>
      </c>
    </row>
    <row r="122" spans="1:9" ht="19.5" customHeight="1">
      <c r="A122" s="298"/>
      <c r="B122" s="8"/>
      <c r="C122" s="182" t="s">
        <v>131</v>
      </c>
      <c r="D122" s="261" t="s">
        <v>342</v>
      </c>
      <c r="E122" s="55">
        <v>400</v>
      </c>
      <c r="F122" s="589"/>
      <c r="G122" s="55"/>
      <c r="H122" s="589"/>
      <c r="I122" s="340"/>
    </row>
    <row r="123" spans="1:9" ht="24" customHeight="1">
      <c r="A123" s="298"/>
      <c r="B123" s="8"/>
      <c r="C123" s="180" t="s">
        <v>550</v>
      </c>
      <c r="D123" s="261" t="s">
        <v>551</v>
      </c>
      <c r="E123" s="55">
        <v>12100</v>
      </c>
      <c r="F123" s="589"/>
      <c r="G123" s="55"/>
      <c r="H123" s="589"/>
      <c r="I123" s="340"/>
    </row>
    <row r="124" spans="1:9" ht="21" customHeight="1">
      <c r="A124" s="298"/>
      <c r="B124" s="8"/>
      <c r="C124" s="183" t="s">
        <v>94</v>
      </c>
      <c r="D124" s="261" t="s">
        <v>95</v>
      </c>
      <c r="E124" s="55">
        <v>12200</v>
      </c>
      <c r="F124" s="589"/>
      <c r="G124" s="55">
        <v>4681</v>
      </c>
      <c r="H124" s="589"/>
      <c r="I124" s="340">
        <f t="shared" si="3"/>
        <v>38.368852459016395</v>
      </c>
    </row>
    <row r="125" spans="1:15" s="56" customFormat="1" ht="21" customHeight="1">
      <c r="A125" s="297"/>
      <c r="B125" s="25">
        <v>80148</v>
      </c>
      <c r="C125" s="184"/>
      <c r="D125" s="277" t="s">
        <v>18</v>
      </c>
      <c r="E125" s="104">
        <f>SUM(E126:E128)</f>
        <v>1560192.5</v>
      </c>
      <c r="F125" s="592"/>
      <c r="G125" s="104">
        <f>SUM(G126:G128)</f>
        <v>1807259</v>
      </c>
      <c r="H125" s="592"/>
      <c r="I125" s="340">
        <f t="shared" si="3"/>
        <v>115.83564207621815</v>
      </c>
      <c r="K125" s="238"/>
      <c r="L125" s="238"/>
      <c r="M125" s="238"/>
      <c r="N125" s="238"/>
      <c r="O125" s="238"/>
    </row>
    <row r="126" spans="1:9" ht="18.75" customHeight="1">
      <c r="A126" s="298"/>
      <c r="B126" s="8"/>
      <c r="C126" s="182" t="s">
        <v>430</v>
      </c>
      <c r="D126" s="261" t="s">
        <v>431</v>
      </c>
      <c r="E126" s="55">
        <v>1404101.5</v>
      </c>
      <c r="F126" s="589"/>
      <c r="G126" s="55">
        <v>1548495</v>
      </c>
      <c r="H126" s="589"/>
      <c r="I126" s="340">
        <f t="shared" si="3"/>
        <v>110.28369387825596</v>
      </c>
    </row>
    <row r="127" spans="1:9" ht="19.5" customHeight="1">
      <c r="A127" s="298"/>
      <c r="B127" s="8"/>
      <c r="C127" s="182" t="s">
        <v>131</v>
      </c>
      <c r="D127" s="261" t="s">
        <v>342</v>
      </c>
      <c r="E127" s="55">
        <v>64</v>
      </c>
      <c r="F127" s="589"/>
      <c r="G127" s="55"/>
      <c r="H127" s="589"/>
      <c r="I127" s="340"/>
    </row>
    <row r="128" spans="1:9" ht="16.5" customHeight="1">
      <c r="A128" s="298"/>
      <c r="B128" s="8"/>
      <c r="C128" s="183" t="s">
        <v>94</v>
      </c>
      <c r="D128" s="261" t="s">
        <v>95</v>
      </c>
      <c r="E128" s="55">
        <v>156027</v>
      </c>
      <c r="F128" s="589"/>
      <c r="G128" s="55">
        <v>258764</v>
      </c>
      <c r="H128" s="589"/>
      <c r="I128" s="1203">
        <f t="shared" si="3"/>
        <v>165.84565491869995</v>
      </c>
    </row>
    <row r="129" spans="1:15" s="56" customFormat="1" ht="21" customHeight="1">
      <c r="A129" s="297"/>
      <c r="B129" s="34">
        <v>80195</v>
      </c>
      <c r="C129" s="184"/>
      <c r="D129" s="314" t="s">
        <v>143</v>
      </c>
      <c r="E129" s="104">
        <f>SUM(D130:E131)</f>
        <v>2854200</v>
      </c>
      <c r="F129" s="592"/>
      <c r="G129" s="104">
        <f>SUM(F130:G131)</f>
        <v>42742.4</v>
      </c>
      <c r="H129" s="1078"/>
      <c r="I129" s="1203"/>
      <c r="K129" s="238"/>
      <c r="L129" s="238"/>
      <c r="M129" s="238"/>
      <c r="N129" s="238"/>
      <c r="O129" s="238"/>
    </row>
    <row r="130" spans="1:15" s="56" customFormat="1" ht="51.75" customHeight="1">
      <c r="A130" s="297"/>
      <c r="B130" s="34"/>
      <c r="C130" s="178">
        <v>2701</v>
      </c>
      <c r="D130" s="261" t="s">
        <v>445</v>
      </c>
      <c r="E130" s="104"/>
      <c r="F130" s="592"/>
      <c r="G130" s="55">
        <v>42742.4</v>
      </c>
      <c r="H130" s="1078"/>
      <c r="I130" s="1204"/>
      <c r="K130" s="238"/>
      <c r="L130" s="238"/>
      <c r="M130" s="238"/>
      <c r="N130" s="238"/>
      <c r="O130" s="238"/>
    </row>
    <row r="131" spans="1:9" ht="71.25" customHeight="1">
      <c r="A131" s="298"/>
      <c r="B131" s="2"/>
      <c r="C131" s="183" t="s">
        <v>12</v>
      </c>
      <c r="D131" s="261" t="s">
        <v>261</v>
      </c>
      <c r="E131" s="55">
        <f>641600+2212600</f>
        <v>2854200</v>
      </c>
      <c r="F131" s="589"/>
      <c r="G131" s="55"/>
      <c r="H131" s="226"/>
      <c r="I131" s="1202"/>
    </row>
    <row r="132" spans="1:9" ht="20.25" customHeight="1">
      <c r="A132" s="169">
        <v>851</v>
      </c>
      <c r="B132" s="7"/>
      <c r="C132" s="169"/>
      <c r="D132" s="273" t="s">
        <v>20</v>
      </c>
      <c r="E132" s="36">
        <f>E133</f>
        <v>315820</v>
      </c>
      <c r="F132" s="593"/>
      <c r="G132" s="36">
        <f>G133</f>
        <v>322020</v>
      </c>
      <c r="H132" s="593"/>
      <c r="I132" s="1202">
        <f t="shared" si="3"/>
        <v>101.96314356278893</v>
      </c>
    </row>
    <row r="133" spans="1:15" s="56" customFormat="1" ht="21.75" customHeight="1">
      <c r="A133" s="294"/>
      <c r="B133" s="28">
        <v>85158</v>
      </c>
      <c r="C133" s="177"/>
      <c r="D133" s="314" t="s">
        <v>350</v>
      </c>
      <c r="E133" s="152">
        <f>SUM(E134:E137)</f>
        <v>315820</v>
      </c>
      <c r="F133" s="592"/>
      <c r="G133" s="152">
        <f>SUM(G134:G137)</f>
        <v>322020</v>
      </c>
      <c r="H133" s="592"/>
      <c r="I133" s="340">
        <f t="shared" si="3"/>
        <v>101.96314356278893</v>
      </c>
      <c r="K133" s="230"/>
      <c r="L133" s="238"/>
      <c r="M133" s="238"/>
      <c r="N133" s="238"/>
      <c r="O133" s="238"/>
    </row>
    <row r="134" spans="1:9" ht="18.75" customHeight="1">
      <c r="A134" s="295"/>
      <c r="B134" s="16"/>
      <c r="C134" s="182" t="s">
        <v>430</v>
      </c>
      <c r="D134" s="261" t="s">
        <v>431</v>
      </c>
      <c r="E134" s="55">
        <v>209000</v>
      </c>
      <c r="F134" s="589"/>
      <c r="G134" s="55">
        <v>215000</v>
      </c>
      <c r="H134" s="589"/>
      <c r="I134" s="340">
        <f t="shared" si="3"/>
        <v>102.87081339712918</v>
      </c>
    </row>
    <row r="135" spans="1:9" ht="17.25" customHeight="1">
      <c r="A135" s="295"/>
      <c r="B135" s="18"/>
      <c r="C135" s="182" t="s">
        <v>131</v>
      </c>
      <c r="D135" s="261" t="s">
        <v>342</v>
      </c>
      <c r="E135" s="55">
        <v>20</v>
      </c>
      <c r="F135" s="589"/>
      <c r="G135" s="55">
        <v>20</v>
      </c>
      <c r="H135" s="589"/>
      <c r="I135" s="340">
        <f t="shared" si="3"/>
        <v>100</v>
      </c>
    </row>
    <row r="136" spans="1:9" ht="18.75" customHeight="1">
      <c r="A136" s="295"/>
      <c r="B136" s="18"/>
      <c r="C136" s="183" t="s">
        <v>94</v>
      </c>
      <c r="D136" s="261" t="s">
        <v>95</v>
      </c>
      <c r="E136" s="55">
        <v>6800</v>
      </c>
      <c r="F136" s="589"/>
      <c r="G136" s="55">
        <v>7000</v>
      </c>
      <c r="H136" s="589"/>
      <c r="I136" s="340">
        <f t="shared" si="3"/>
        <v>102.94117647058823</v>
      </c>
    </row>
    <row r="137" spans="1:9" ht="48" customHeight="1">
      <c r="A137" s="295"/>
      <c r="B137" s="18"/>
      <c r="C137" s="183">
        <v>2710</v>
      </c>
      <c r="D137" s="316" t="s">
        <v>7</v>
      </c>
      <c r="E137" s="55">
        <v>100000</v>
      </c>
      <c r="F137" s="589"/>
      <c r="G137" s="55">
        <v>100000</v>
      </c>
      <c r="H137" s="589"/>
      <c r="I137" s="340">
        <f t="shared" si="3"/>
        <v>100</v>
      </c>
    </row>
    <row r="138" spans="1:9" ht="22.5" customHeight="1">
      <c r="A138" s="169">
        <v>852</v>
      </c>
      <c r="B138" s="12"/>
      <c r="C138" s="169"/>
      <c r="D138" s="273" t="s">
        <v>378</v>
      </c>
      <c r="E138" s="36">
        <f>E139+E142+E144+E147+E150+E153+E155+E159+E162+E167</f>
        <v>33055977</v>
      </c>
      <c r="F138" s="343">
        <f>F139+F142+F144+F147+F150+F153+F155+F159+F162+F167</f>
        <v>21514357</v>
      </c>
      <c r="G138" s="36">
        <f>G139+G142+G144+G147+G150+G153+G155+G159+G162+G167</f>
        <v>24664466</v>
      </c>
      <c r="H138" s="343">
        <f>H139+H142+H144+H147+H150+H153+H155+H159+H162+H167</f>
        <v>19595795</v>
      </c>
      <c r="I138" s="340">
        <f t="shared" si="3"/>
        <v>74.61423996029522</v>
      </c>
    </row>
    <row r="139" spans="1:15" s="56" customFormat="1" ht="22.5" customHeight="1">
      <c r="A139" s="294"/>
      <c r="B139" s="28">
        <v>85203</v>
      </c>
      <c r="C139" s="177"/>
      <c r="D139" s="314" t="s">
        <v>429</v>
      </c>
      <c r="E139" s="104">
        <f>SUM(E140:E141)</f>
        <v>257690</v>
      </c>
      <c r="F139" s="596">
        <f>SUM(F140:F141)</f>
        <v>257590</v>
      </c>
      <c r="G139" s="104">
        <f>SUM(G140:G141)</f>
        <v>229540</v>
      </c>
      <c r="H139" s="596">
        <f>SUM(H140:H141)</f>
        <v>229440</v>
      </c>
      <c r="I139" s="340">
        <f aca="true" t="shared" si="4" ref="I139:I204">G139/E139*100</f>
        <v>89.07602157631263</v>
      </c>
      <c r="K139" s="238"/>
      <c r="L139" s="238"/>
      <c r="M139" s="238"/>
      <c r="N139" s="238"/>
      <c r="O139" s="238"/>
    </row>
    <row r="140" spans="1:9" ht="47.25" customHeight="1">
      <c r="A140" s="298"/>
      <c r="B140" s="14"/>
      <c r="C140" s="182">
        <v>2010</v>
      </c>
      <c r="D140" s="261" t="s">
        <v>132</v>
      </c>
      <c r="E140" s="55">
        <v>257590</v>
      </c>
      <c r="F140" s="593">
        <v>257590</v>
      </c>
      <c r="G140" s="55">
        <v>229440</v>
      </c>
      <c r="H140" s="593">
        <v>229440</v>
      </c>
      <c r="I140" s="340">
        <f t="shared" si="4"/>
        <v>89.07178073682984</v>
      </c>
    </row>
    <row r="141" spans="1:11" ht="47.25" customHeight="1">
      <c r="A141" s="298"/>
      <c r="B141" s="2"/>
      <c r="C141" s="178">
        <v>2360</v>
      </c>
      <c r="D141" s="261" t="s">
        <v>133</v>
      </c>
      <c r="E141" s="55">
        <v>100</v>
      </c>
      <c r="F141" s="593"/>
      <c r="G141" s="55">
        <v>100</v>
      </c>
      <c r="H141" s="593"/>
      <c r="I141" s="1203">
        <f t="shared" si="4"/>
        <v>100</v>
      </c>
      <c r="K141" s="58"/>
    </row>
    <row r="142" spans="1:15" s="56" customFormat="1" ht="27" customHeight="1">
      <c r="A142" s="297"/>
      <c r="B142" s="38">
        <v>85206</v>
      </c>
      <c r="C142" s="177"/>
      <c r="D142" s="314" t="s">
        <v>722</v>
      </c>
      <c r="E142" s="104">
        <f>E143</f>
        <v>43206</v>
      </c>
      <c r="F142" s="596"/>
      <c r="G142" s="104">
        <f>G143</f>
        <v>0</v>
      </c>
      <c r="H142" s="1208"/>
      <c r="I142" s="1203"/>
      <c r="K142" s="238"/>
      <c r="L142" s="238"/>
      <c r="M142" s="238"/>
      <c r="N142" s="238"/>
      <c r="O142" s="238"/>
    </row>
    <row r="143" spans="1:9" ht="36" customHeight="1">
      <c r="A143" s="298"/>
      <c r="B143" s="2"/>
      <c r="C143" s="178">
        <v>2030</v>
      </c>
      <c r="D143" s="261" t="s">
        <v>686</v>
      </c>
      <c r="E143" s="55">
        <v>43206</v>
      </c>
      <c r="F143" s="593"/>
      <c r="G143" s="55"/>
      <c r="H143" s="588"/>
      <c r="I143" s="1202"/>
    </row>
    <row r="144" spans="1:15" s="56" customFormat="1" ht="48.75" customHeight="1">
      <c r="A144" s="294"/>
      <c r="B144" s="25">
        <v>85212</v>
      </c>
      <c r="C144" s="177"/>
      <c r="D144" s="314" t="s">
        <v>640</v>
      </c>
      <c r="E144" s="104">
        <f>SUM(E145:E146)</f>
        <v>20480290</v>
      </c>
      <c r="F144" s="596">
        <f>SUM(F145:F146)</f>
        <v>20296000</v>
      </c>
      <c r="G144" s="104">
        <f>SUM(G145:G146)</f>
        <v>19087952</v>
      </c>
      <c r="H144" s="596">
        <f>SUM(H145:H146)</f>
        <v>18903662</v>
      </c>
      <c r="I144" s="1202">
        <f t="shared" si="4"/>
        <v>93.20157087619366</v>
      </c>
      <c r="K144" s="238"/>
      <c r="L144" s="238"/>
      <c r="M144" s="238"/>
      <c r="N144" s="238"/>
      <c r="O144" s="238"/>
    </row>
    <row r="145" spans="1:9" ht="49.5" customHeight="1">
      <c r="A145" s="298"/>
      <c r="B145" s="8"/>
      <c r="C145" s="182">
        <v>2010</v>
      </c>
      <c r="D145" s="261" t="s">
        <v>132</v>
      </c>
      <c r="E145" s="55">
        <v>20296000</v>
      </c>
      <c r="F145" s="593">
        <v>20296000</v>
      </c>
      <c r="G145" s="55">
        <v>18903662</v>
      </c>
      <c r="H145" s="593">
        <v>18903662</v>
      </c>
      <c r="I145" s="340">
        <f t="shared" si="4"/>
        <v>93.13984036263304</v>
      </c>
    </row>
    <row r="146" spans="1:9" ht="49.5" customHeight="1">
      <c r="A146" s="298"/>
      <c r="B146" s="8"/>
      <c r="C146" s="178">
        <v>2360</v>
      </c>
      <c r="D146" s="261" t="s">
        <v>133</v>
      </c>
      <c r="E146" s="55">
        <v>184290</v>
      </c>
      <c r="F146" s="593"/>
      <c r="G146" s="55">
        <v>184290</v>
      </c>
      <c r="H146" s="593"/>
      <c r="I146" s="340">
        <f t="shared" si="4"/>
        <v>100</v>
      </c>
    </row>
    <row r="147" spans="1:15" s="56" customFormat="1" ht="73.5" customHeight="1">
      <c r="A147" s="294"/>
      <c r="B147" s="25">
        <v>85213</v>
      </c>
      <c r="C147" s="177"/>
      <c r="D147" s="314" t="s">
        <v>695</v>
      </c>
      <c r="E147" s="104">
        <f>SUM(E148:E149)</f>
        <v>294548</v>
      </c>
      <c r="F147" s="583">
        <f>SUM(F148:F149)</f>
        <v>115000</v>
      </c>
      <c r="G147" s="104">
        <f>SUM(G148:G149)</f>
        <v>248187</v>
      </c>
      <c r="H147" s="583">
        <f>SUM(H148:H149)</f>
        <v>112893</v>
      </c>
      <c r="I147" s="340">
        <f t="shared" si="4"/>
        <v>84.26029034316987</v>
      </c>
      <c r="K147" s="238"/>
      <c r="L147" s="238"/>
      <c r="M147" s="238"/>
      <c r="N147" s="238"/>
      <c r="O147" s="238"/>
    </row>
    <row r="148" spans="1:9" ht="48.75" customHeight="1">
      <c r="A148" s="295"/>
      <c r="B148" s="10"/>
      <c r="C148" s="178">
        <v>2010</v>
      </c>
      <c r="D148" s="261" t="s">
        <v>132</v>
      </c>
      <c r="E148" s="55">
        <v>115000</v>
      </c>
      <c r="F148" s="593">
        <v>115000</v>
      </c>
      <c r="G148" s="55">
        <v>112893</v>
      </c>
      <c r="H148" s="593">
        <v>112893</v>
      </c>
      <c r="I148" s="340">
        <f t="shared" si="4"/>
        <v>98.16782608695652</v>
      </c>
    </row>
    <row r="149" spans="1:9" ht="36" customHeight="1">
      <c r="A149" s="295"/>
      <c r="B149" s="10"/>
      <c r="C149" s="178">
        <v>2030</v>
      </c>
      <c r="D149" s="261" t="s">
        <v>686</v>
      </c>
      <c r="E149" s="55">
        <v>179548</v>
      </c>
      <c r="F149" s="593"/>
      <c r="G149" s="55">
        <v>135294</v>
      </c>
      <c r="H149" s="593"/>
      <c r="I149" s="340">
        <f t="shared" si="4"/>
        <v>75.35255196382026</v>
      </c>
    </row>
    <row r="150" spans="1:15" s="56" customFormat="1" ht="33.75" customHeight="1">
      <c r="A150" s="294"/>
      <c r="B150" s="24">
        <v>85214</v>
      </c>
      <c r="C150" s="177"/>
      <c r="D150" s="314" t="s">
        <v>352</v>
      </c>
      <c r="E150" s="104">
        <f>SUM(E151:E152)</f>
        <v>5254691</v>
      </c>
      <c r="F150" s="590"/>
      <c r="G150" s="104">
        <f>SUM(G151:G152)</f>
        <v>2558113</v>
      </c>
      <c r="H150" s="590"/>
      <c r="I150" s="340">
        <f t="shared" si="4"/>
        <v>48.68246296499642</v>
      </c>
      <c r="K150" s="238"/>
      <c r="L150" s="238"/>
      <c r="M150" s="238"/>
      <c r="N150" s="238"/>
      <c r="O150" s="238"/>
    </row>
    <row r="151" spans="1:9" ht="21" customHeight="1">
      <c r="A151" s="295"/>
      <c r="B151" s="10"/>
      <c r="C151" s="178" t="s">
        <v>94</v>
      </c>
      <c r="D151" s="261" t="s">
        <v>95</v>
      </c>
      <c r="E151" s="55">
        <v>6000</v>
      </c>
      <c r="F151" s="597"/>
      <c r="G151" s="55">
        <v>6500</v>
      </c>
      <c r="H151" s="597"/>
      <c r="I151" s="340">
        <f t="shared" si="4"/>
        <v>108.33333333333333</v>
      </c>
    </row>
    <row r="152" spans="1:9" ht="39.75" customHeight="1">
      <c r="A152" s="295"/>
      <c r="B152" s="10"/>
      <c r="C152" s="178">
        <v>2030</v>
      </c>
      <c r="D152" s="261" t="s">
        <v>686</v>
      </c>
      <c r="E152" s="55">
        <v>5248691</v>
      </c>
      <c r="F152" s="598"/>
      <c r="G152" s="55">
        <v>2551613</v>
      </c>
      <c r="H152" s="598"/>
      <c r="I152" s="340">
        <f t="shared" si="4"/>
        <v>48.614273539821646</v>
      </c>
    </row>
    <row r="153" spans="1:9" ht="24" customHeight="1">
      <c r="A153" s="295"/>
      <c r="B153" s="25">
        <v>85216</v>
      </c>
      <c r="C153" s="177"/>
      <c r="D153" s="314" t="s">
        <v>495</v>
      </c>
      <c r="E153" s="29">
        <f>E154</f>
        <v>2038416</v>
      </c>
      <c r="F153" s="597"/>
      <c r="G153" s="29">
        <f>G154</f>
        <v>1266764</v>
      </c>
      <c r="H153" s="597"/>
      <c r="I153" s="340">
        <f t="shared" si="4"/>
        <v>62.1445279079442</v>
      </c>
    </row>
    <row r="154" spans="1:9" ht="37.5" customHeight="1">
      <c r="A154" s="295"/>
      <c r="B154" s="10"/>
      <c r="C154" s="178">
        <v>2030</v>
      </c>
      <c r="D154" s="261" t="s">
        <v>686</v>
      </c>
      <c r="E154" s="27">
        <v>2038416</v>
      </c>
      <c r="F154" s="330"/>
      <c r="G154" s="27">
        <v>1266764</v>
      </c>
      <c r="H154" s="330"/>
      <c r="I154" s="340">
        <f t="shared" si="4"/>
        <v>62.1445279079442</v>
      </c>
    </row>
    <row r="155" spans="1:15" s="56" customFormat="1" ht="21.75" customHeight="1">
      <c r="A155" s="294"/>
      <c r="B155" s="24">
        <v>85219</v>
      </c>
      <c r="C155" s="177"/>
      <c r="D155" s="314" t="s">
        <v>353</v>
      </c>
      <c r="E155" s="29">
        <f>SUM(E156:E158)</f>
        <v>773008</v>
      </c>
      <c r="F155" s="583">
        <f>SUM(F156:F158)</f>
        <v>63285</v>
      </c>
      <c r="G155" s="29">
        <f>SUM(G156:G158)</f>
        <v>616510</v>
      </c>
      <c r="H155" s="583">
        <f>SUM(H156:H158)</f>
        <v>0</v>
      </c>
      <c r="I155" s="340">
        <f t="shared" si="4"/>
        <v>79.75467265539295</v>
      </c>
      <c r="K155" s="238"/>
      <c r="L155" s="238"/>
      <c r="M155" s="238"/>
      <c r="N155" s="238"/>
      <c r="O155" s="238"/>
    </row>
    <row r="156" spans="1:9" ht="20.25" customHeight="1">
      <c r="A156" s="295"/>
      <c r="B156" s="10"/>
      <c r="C156" s="178" t="s">
        <v>94</v>
      </c>
      <c r="D156" s="261" t="s">
        <v>95</v>
      </c>
      <c r="E156" s="55">
        <v>11500</v>
      </c>
      <c r="F156" s="597"/>
      <c r="G156" s="166">
        <v>11500</v>
      </c>
      <c r="H156" s="597"/>
      <c r="I156" s="340">
        <f t="shared" si="4"/>
        <v>100</v>
      </c>
    </row>
    <row r="157" spans="1:9" ht="49.5" customHeight="1">
      <c r="A157" s="295"/>
      <c r="B157" s="10"/>
      <c r="C157" s="178">
        <v>2010</v>
      </c>
      <c r="D157" s="261" t="s">
        <v>132</v>
      </c>
      <c r="E157" s="165">
        <v>63285</v>
      </c>
      <c r="F157" s="330">
        <v>63285</v>
      </c>
      <c r="G157" s="55"/>
      <c r="H157" s="330"/>
      <c r="I157" s="340"/>
    </row>
    <row r="158" spans="1:9" ht="34.5" customHeight="1">
      <c r="A158" s="295"/>
      <c r="B158" s="10"/>
      <c r="C158" s="178">
        <v>2030</v>
      </c>
      <c r="D158" s="261" t="s">
        <v>686</v>
      </c>
      <c r="E158" s="165">
        <v>698223</v>
      </c>
      <c r="F158" s="598"/>
      <c r="G158" s="165">
        <v>605010</v>
      </c>
      <c r="H158" s="598"/>
      <c r="I158" s="340">
        <f t="shared" si="4"/>
        <v>86.64996713084501</v>
      </c>
    </row>
    <row r="159" spans="1:9" ht="34.5" customHeight="1">
      <c r="A159" s="295"/>
      <c r="B159" s="25">
        <v>85220</v>
      </c>
      <c r="C159" s="184"/>
      <c r="D159" s="314" t="s">
        <v>684</v>
      </c>
      <c r="E159" s="104">
        <f>E160+E161</f>
        <v>5036</v>
      </c>
      <c r="F159" s="598"/>
      <c r="G159" s="104">
        <f>G160+G161</f>
        <v>5000</v>
      </c>
      <c r="H159" s="598"/>
      <c r="I159" s="340">
        <f t="shared" si="4"/>
        <v>99.28514694201748</v>
      </c>
    </row>
    <row r="160" spans="1:9" ht="21" customHeight="1">
      <c r="A160" s="295"/>
      <c r="B160" s="33"/>
      <c r="C160" s="178" t="s">
        <v>427</v>
      </c>
      <c r="D160" s="261" t="s">
        <v>428</v>
      </c>
      <c r="E160" s="55">
        <v>36</v>
      </c>
      <c r="F160" s="598"/>
      <c r="G160" s="55"/>
      <c r="H160" s="598"/>
      <c r="I160" s="340"/>
    </row>
    <row r="161" spans="1:9" ht="21.75" customHeight="1">
      <c r="A161" s="295"/>
      <c r="B161" s="18"/>
      <c r="C161" s="182" t="s">
        <v>94</v>
      </c>
      <c r="D161" s="261" t="s">
        <v>95</v>
      </c>
      <c r="E161" s="55">
        <v>5000</v>
      </c>
      <c r="F161" s="598"/>
      <c r="G161" s="55">
        <v>5000</v>
      </c>
      <c r="H161" s="598"/>
      <c r="I161" s="340">
        <f t="shared" si="4"/>
        <v>100</v>
      </c>
    </row>
    <row r="162" spans="1:15" s="56" customFormat="1" ht="28.5" customHeight="1">
      <c r="A162" s="294"/>
      <c r="B162" s="24">
        <v>85228</v>
      </c>
      <c r="C162" s="177"/>
      <c r="D162" s="314" t="s">
        <v>549</v>
      </c>
      <c r="E162" s="104">
        <f>SUM(E163:E166)</f>
        <v>620610</v>
      </c>
      <c r="F162" s="583">
        <f>SUM(F163:F166)</f>
        <v>349800</v>
      </c>
      <c r="G162" s="104">
        <f>SUM(G163:G166)</f>
        <v>630400</v>
      </c>
      <c r="H162" s="583">
        <f>SUM(H163:H166)</f>
        <v>349800</v>
      </c>
      <c r="I162" s="340">
        <f t="shared" si="4"/>
        <v>101.57748022107282</v>
      </c>
      <c r="K162" s="238"/>
      <c r="L162" s="238"/>
      <c r="M162" s="238"/>
      <c r="N162" s="238"/>
      <c r="O162" s="238"/>
    </row>
    <row r="163" spans="1:15" s="56" customFormat="1" ht="19.5" customHeight="1">
      <c r="A163" s="294"/>
      <c r="B163" s="30"/>
      <c r="C163" s="178" t="s">
        <v>427</v>
      </c>
      <c r="D163" s="261" t="s">
        <v>428</v>
      </c>
      <c r="E163" s="104">
        <v>210</v>
      </c>
      <c r="F163" s="596"/>
      <c r="G163" s="55"/>
      <c r="H163" s="596"/>
      <c r="I163" s="340"/>
      <c r="K163" s="238"/>
      <c r="L163" s="238"/>
      <c r="M163" s="238"/>
      <c r="N163" s="238"/>
      <c r="O163" s="238"/>
    </row>
    <row r="164" spans="1:9" ht="19.5" customHeight="1">
      <c r="A164" s="295"/>
      <c r="B164" s="10"/>
      <c r="C164" s="178" t="s">
        <v>430</v>
      </c>
      <c r="D164" s="261" t="s">
        <v>431</v>
      </c>
      <c r="E164" s="55">
        <v>270000</v>
      </c>
      <c r="F164" s="593"/>
      <c r="G164" s="55">
        <v>280000</v>
      </c>
      <c r="H164" s="593"/>
      <c r="I164" s="340">
        <f t="shared" si="4"/>
        <v>103.7037037037037</v>
      </c>
    </row>
    <row r="165" spans="1:9" ht="48.75" customHeight="1">
      <c r="A165" s="295"/>
      <c r="B165" s="10"/>
      <c r="C165" s="178">
        <v>2010</v>
      </c>
      <c r="D165" s="261" t="s">
        <v>132</v>
      </c>
      <c r="E165" s="55">
        <v>349800</v>
      </c>
      <c r="F165" s="593">
        <v>349800</v>
      </c>
      <c r="G165" s="55">
        <v>349800</v>
      </c>
      <c r="H165" s="593">
        <v>349800</v>
      </c>
      <c r="I165" s="340">
        <f t="shared" si="4"/>
        <v>100</v>
      </c>
    </row>
    <row r="166" spans="1:9" ht="48.75" customHeight="1">
      <c r="A166" s="295"/>
      <c r="B166" s="10"/>
      <c r="C166" s="178">
        <v>2360</v>
      </c>
      <c r="D166" s="261" t="s">
        <v>133</v>
      </c>
      <c r="E166" s="55">
        <v>600</v>
      </c>
      <c r="F166" s="593"/>
      <c r="G166" s="55">
        <v>600</v>
      </c>
      <c r="H166" s="593"/>
      <c r="I166" s="340">
        <f t="shared" si="4"/>
        <v>100</v>
      </c>
    </row>
    <row r="167" spans="1:15" s="56" customFormat="1" ht="20.25" customHeight="1">
      <c r="A167" s="294"/>
      <c r="B167" s="24">
        <v>85295</v>
      </c>
      <c r="C167" s="177"/>
      <c r="D167" s="314" t="s">
        <v>143</v>
      </c>
      <c r="E167" s="104">
        <f>SUM(E168:E172)</f>
        <v>3288482</v>
      </c>
      <c r="F167" s="583">
        <f>SUM(F168:F172)</f>
        <v>432682</v>
      </c>
      <c r="G167" s="104">
        <f>SUM(G168:G172)</f>
        <v>22000</v>
      </c>
      <c r="H167" s="583">
        <f>SUM(H168:H172)</f>
        <v>0</v>
      </c>
      <c r="I167" s="340">
        <f t="shared" si="4"/>
        <v>0.6690016852760635</v>
      </c>
      <c r="K167" s="238"/>
      <c r="L167" s="238"/>
      <c r="M167" s="238"/>
      <c r="N167" s="238"/>
      <c r="O167" s="238"/>
    </row>
    <row r="168" spans="1:15" s="56" customFormat="1" ht="20.25" customHeight="1">
      <c r="A168" s="294"/>
      <c r="B168" s="30"/>
      <c r="C168" s="178" t="s">
        <v>427</v>
      </c>
      <c r="D168" s="261" t="s">
        <v>428</v>
      </c>
      <c r="E168" s="100">
        <v>600</v>
      </c>
      <c r="F168" s="592"/>
      <c r="G168" s="100"/>
      <c r="H168" s="592"/>
      <c r="I168" s="340"/>
      <c r="K168" s="238"/>
      <c r="L168" s="238"/>
      <c r="M168" s="238"/>
      <c r="N168" s="238"/>
      <c r="O168" s="238"/>
    </row>
    <row r="169" spans="1:9" ht="25.5" customHeight="1">
      <c r="A169" s="295"/>
      <c r="B169" s="10"/>
      <c r="C169" s="178" t="s">
        <v>550</v>
      </c>
      <c r="D169" s="261" t="s">
        <v>551</v>
      </c>
      <c r="E169" s="100">
        <v>500</v>
      </c>
      <c r="F169" s="589"/>
      <c r="G169" s="100"/>
      <c r="H169" s="589"/>
      <c r="I169" s="340"/>
    </row>
    <row r="170" spans="1:9" ht="20.25" customHeight="1">
      <c r="A170" s="295"/>
      <c r="B170" s="10"/>
      <c r="C170" s="178" t="s">
        <v>94</v>
      </c>
      <c r="D170" s="261" t="s">
        <v>95</v>
      </c>
      <c r="E170" s="79">
        <v>21000</v>
      </c>
      <c r="F170" s="589"/>
      <c r="G170" s="79">
        <v>22000</v>
      </c>
      <c r="H170" s="589"/>
      <c r="I170" s="340">
        <f t="shared" si="4"/>
        <v>104.76190476190477</v>
      </c>
    </row>
    <row r="171" spans="1:9" ht="48.75" customHeight="1">
      <c r="A171" s="295"/>
      <c r="B171" s="10"/>
      <c r="C171" s="178">
        <v>2010</v>
      </c>
      <c r="D171" s="261" t="s">
        <v>132</v>
      </c>
      <c r="E171" s="55">
        <v>432682</v>
      </c>
      <c r="F171" s="593">
        <v>432682</v>
      </c>
      <c r="G171" s="55"/>
      <c r="H171" s="593"/>
      <c r="I171" s="340"/>
    </row>
    <row r="172" spans="1:9" ht="40.5" customHeight="1">
      <c r="A172" s="295"/>
      <c r="B172" s="10"/>
      <c r="C172" s="178">
        <v>2030</v>
      </c>
      <c r="D172" s="261" t="s">
        <v>686</v>
      </c>
      <c r="E172" s="160">
        <v>2833700</v>
      </c>
      <c r="F172" s="589"/>
      <c r="G172" s="160"/>
      <c r="H172" s="589"/>
      <c r="I172" s="340"/>
    </row>
    <row r="173" spans="1:9" ht="26.25" customHeight="1">
      <c r="A173" s="169">
        <v>853</v>
      </c>
      <c r="B173" s="12"/>
      <c r="C173" s="185"/>
      <c r="D173" s="273" t="s">
        <v>401</v>
      </c>
      <c r="E173" s="36">
        <f>E174+E181</f>
        <v>8535431.59</v>
      </c>
      <c r="F173" s="594"/>
      <c r="G173" s="36">
        <f>G174+G181</f>
        <v>3786409.47</v>
      </c>
      <c r="H173" s="594"/>
      <c r="I173" s="340">
        <f t="shared" si="4"/>
        <v>44.36107805533944</v>
      </c>
    </row>
    <row r="174" spans="1:15" s="56" customFormat="1" ht="20.25" customHeight="1">
      <c r="A174" s="294"/>
      <c r="B174" s="25">
        <v>85305</v>
      </c>
      <c r="C174" s="181"/>
      <c r="D174" s="314" t="s">
        <v>552</v>
      </c>
      <c r="E174" s="104">
        <f>SUM(E175:E180)</f>
        <v>502313</v>
      </c>
      <c r="F174" s="590"/>
      <c r="G174" s="104">
        <f>SUM(G175:G180)</f>
        <v>372961</v>
      </c>
      <c r="H174" s="590"/>
      <c r="I174" s="340">
        <f t="shared" si="4"/>
        <v>74.24872539631664</v>
      </c>
      <c r="K174" s="230"/>
      <c r="L174" s="230"/>
      <c r="M174" s="238"/>
      <c r="N174" s="238"/>
      <c r="O174" s="238"/>
    </row>
    <row r="175" spans="1:15" s="56" customFormat="1" ht="20.25" customHeight="1">
      <c r="A175" s="294"/>
      <c r="B175" s="30"/>
      <c r="C175" s="178" t="s">
        <v>427</v>
      </c>
      <c r="D175" s="261" t="s">
        <v>428</v>
      </c>
      <c r="E175" s="55">
        <v>600</v>
      </c>
      <c r="F175" s="589"/>
      <c r="G175" s="55"/>
      <c r="H175" s="592"/>
      <c r="I175" s="340"/>
      <c r="K175" s="230"/>
      <c r="L175" s="238"/>
      <c r="M175" s="238"/>
      <c r="N175" s="238"/>
      <c r="O175" s="238"/>
    </row>
    <row r="176" spans="1:15" s="56" customFormat="1" ht="61.5" customHeight="1">
      <c r="A176" s="294"/>
      <c r="B176" s="30"/>
      <c r="C176" s="178" t="s">
        <v>433</v>
      </c>
      <c r="D176" s="261" t="s">
        <v>126</v>
      </c>
      <c r="E176" s="55">
        <v>23690</v>
      </c>
      <c r="F176" s="589"/>
      <c r="G176" s="55">
        <v>27790</v>
      </c>
      <c r="H176" s="592"/>
      <c r="I176" s="340"/>
      <c r="K176" s="238"/>
      <c r="L176" s="238"/>
      <c r="M176" s="238"/>
      <c r="N176" s="238"/>
      <c r="O176" s="238"/>
    </row>
    <row r="177" spans="1:9" ht="15.75" customHeight="1">
      <c r="A177" s="295"/>
      <c r="B177" s="10"/>
      <c r="C177" s="178" t="s">
        <v>430</v>
      </c>
      <c r="D177" s="261" t="s">
        <v>431</v>
      </c>
      <c r="E177" s="55">
        <v>341425</v>
      </c>
      <c r="F177" s="589"/>
      <c r="G177" s="55">
        <v>341425</v>
      </c>
      <c r="H177" s="589"/>
      <c r="I177" s="340">
        <f t="shared" si="4"/>
        <v>100</v>
      </c>
    </row>
    <row r="178" spans="1:9" ht="15.75" customHeight="1">
      <c r="A178" s="295"/>
      <c r="B178" s="10"/>
      <c r="C178" s="178" t="s">
        <v>131</v>
      </c>
      <c r="D178" s="261" t="s">
        <v>342</v>
      </c>
      <c r="E178" s="55">
        <v>187</v>
      </c>
      <c r="F178" s="589"/>
      <c r="G178" s="55">
        <v>193</v>
      </c>
      <c r="H178" s="589"/>
      <c r="I178" s="340">
        <f t="shared" si="4"/>
        <v>103.20855614973262</v>
      </c>
    </row>
    <row r="179" spans="1:9" ht="18.75" customHeight="1">
      <c r="A179" s="295"/>
      <c r="B179" s="10"/>
      <c r="C179" s="178" t="s">
        <v>94</v>
      </c>
      <c r="D179" s="261" t="s">
        <v>95</v>
      </c>
      <c r="E179" s="55">
        <v>3450</v>
      </c>
      <c r="F179" s="589"/>
      <c r="G179" s="55">
        <v>3553</v>
      </c>
      <c r="H179" s="589"/>
      <c r="I179" s="340">
        <f t="shared" si="4"/>
        <v>102.98550724637681</v>
      </c>
    </row>
    <row r="180" spans="1:9" ht="35.25" customHeight="1">
      <c r="A180" s="295"/>
      <c r="B180" s="10"/>
      <c r="C180" s="178">
        <v>2030</v>
      </c>
      <c r="D180" s="261" t="s">
        <v>686</v>
      </c>
      <c r="E180" s="55">
        <v>132961</v>
      </c>
      <c r="F180" s="589"/>
      <c r="G180" s="55">
        <v>0</v>
      </c>
      <c r="H180" s="589"/>
      <c r="I180" s="340"/>
    </row>
    <row r="181" spans="1:15" s="56" customFormat="1" ht="26.25" customHeight="1">
      <c r="A181" s="294"/>
      <c r="B181" s="109">
        <v>85395</v>
      </c>
      <c r="C181" s="177"/>
      <c r="D181" s="314" t="s">
        <v>143</v>
      </c>
      <c r="E181" s="104">
        <f>SUM(E182:E185)</f>
        <v>8033118.59</v>
      </c>
      <c r="F181" s="592"/>
      <c r="G181" s="104">
        <f>SUM(G182:G185)</f>
        <v>3413448.47</v>
      </c>
      <c r="H181" s="592"/>
      <c r="I181" s="340">
        <f t="shared" si="4"/>
        <v>42.492195674158474</v>
      </c>
      <c r="K181" s="238"/>
      <c r="L181" s="238"/>
      <c r="M181" s="238"/>
      <c r="N181" s="238"/>
      <c r="O181" s="238"/>
    </row>
    <row r="182" spans="1:15" s="56" customFormat="1" ht="65.25" customHeight="1">
      <c r="A182" s="294"/>
      <c r="B182" s="30"/>
      <c r="C182" s="175">
        <v>2007</v>
      </c>
      <c r="D182" s="261" t="s">
        <v>99</v>
      </c>
      <c r="E182" s="55">
        <v>5578059.38</v>
      </c>
      <c r="F182" s="592"/>
      <c r="G182" s="55">
        <f>1443158.07+67969.54+847645.88</f>
        <v>2358773.49</v>
      </c>
      <c r="H182" s="592"/>
      <c r="I182" s="340">
        <f t="shared" si="4"/>
        <v>42.2866328468522</v>
      </c>
      <c r="K182" s="230"/>
      <c r="L182" s="238"/>
      <c r="M182" s="238"/>
      <c r="N182" s="238"/>
      <c r="O182" s="238"/>
    </row>
    <row r="183" spans="1:9" ht="63" customHeight="1">
      <c r="A183" s="295"/>
      <c r="B183" s="10"/>
      <c r="C183" s="175">
        <v>2009</v>
      </c>
      <c r="D183" s="261" t="s">
        <v>99</v>
      </c>
      <c r="E183" s="55">
        <v>692923.35</v>
      </c>
      <c r="F183" s="589"/>
      <c r="G183" s="55">
        <f>254674.98</f>
        <v>254674.98</v>
      </c>
      <c r="H183" s="589"/>
      <c r="I183" s="340">
        <f t="shared" si="4"/>
        <v>36.753701545777034</v>
      </c>
    </row>
    <row r="184" spans="1:11" ht="68.25" customHeight="1">
      <c r="A184" s="295"/>
      <c r="B184" s="10"/>
      <c r="C184" s="175">
        <v>6207</v>
      </c>
      <c r="D184" s="261" t="s">
        <v>687</v>
      </c>
      <c r="E184" s="55">
        <v>1482300</v>
      </c>
      <c r="F184" s="589"/>
      <c r="G184" s="55">
        <v>680000</v>
      </c>
      <c r="H184" s="589"/>
      <c r="I184" s="340">
        <f t="shared" si="4"/>
        <v>45.87465425352492</v>
      </c>
      <c r="K184" s="58"/>
    </row>
    <row r="185" spans="1:11" ht="60.75" customHeight="1">
      <c r="A185" s="295"/>
      <c r="B185" s="10"/>
      <c r="C185" s="175">
        <v>6209</v>
      </c>
      <c r="D185" s="261" t="s">
        <v>687</v>
      </c>
      <c r="E185" s="55">
        <v>279835.86</v>
      </c>
      <c r="F185" s="589"/>
      <c r="G185" s="55">
        <v>120000</v>
      </c>
      <c r="H185" s="589"/>
      <c r="I185" s="1203">
        <f t="shared" si="4"/>
        <v>42.88228106290595</v>
      </c>
      <c r="K185" s="58"/>
    </row>
    <row r="186" spans="1:9" ht="18.75" customHeight="1">
      <c r="A186" s="11">
        <v>854</v>
      </c>
      <c r="B186" s="15"/>
      <c r="C186" s="169"/>
      <c r="D186" s="273" t="s">
        <v>354</v>
      </c>
      <c r="E186" s="36">
        <f>E187+E189</f>
        <v>894655</v>
      </c>
      <c r="F186" s="1222"/>
      <c r="G186" s="36">
        <f>G187+G189</f>
        <v>0</v>
      </c>
      <c r="H186" s="226"/>
      <c r="I186" s="1203"/>
    </row>
    <row r="187" spans="1:9" ht="21" customHeight="1">
      <c r="A187" s="54"/>
      <c r="B187" s="24">
        <v>85401</v>
      </c>
      <c r="C187" s="25"/>
      <c r="D187" s="277" t="s">
        <v>118</v>
      </c>
      <c r="E187" s="104"/>
      <c r="F187" s="592"/>
      <c r="G187" s="104">
        <f>G188</f>
        <v>0</v>
      </c>
      <c r="H187" s="226"/>
      <c r="I187" s="1204"/>
    </row>
    <row r="188" spans="1:9" ht="18.75" customHeight="1">
      <c r="A188" s="54"/>
      <c r="B188" s="15"/>
      <c r="C188" s="178" t="s">
        <v>94</v>
      </c>
      <c r="D188" s="261" t="s">
        <v>95</v>
      </c>
      <c r="E188" s="55"/>
      <c r="F188" s="589"/>
      <c r="G188" s="55"/>
      <c r="H188" s="226"/>
      <c r="I188" s="1204"/>
    </row>
    <row r="189" spans="1:9" ht="24.75" customHeight="1">
      <c r="A189" s="295"/>
      <c r="B189" s="25">
        <v>85415</v>
      </c>
      <c r="C189" s="177"/>
      <c r="D189" s="314" t="s">
        <v>634</v>
      </c>
      <c r="E189" s="104">
        <f>SUM(E190:E191)</f>
        <v>894655</v>
      </c>
      <c r="F189" s="592"/>
      <c r="G189" s="104">
        <f>SUM(G190:G191)</f>
        <v>0</v>
      </c>
      <c r="H189" s="1078"/>
      <c r="I189" s="1204"/>
    </row>
    <row r="190" spans="1:9" ht="39" customHeight="1">
      <c r="A190" s="295"/>
      <c r="B190" s="10"/>
      <c r="C190" s="178">
        <v>2030</v>
      </c>
      <c r="D190" s="261" t="s">
        <v>686</v>
      </c>
      <c r="E190" s="55">
        <v>660371</v>
      </c>
      <c r="F190" s="589"/>
      <c r="G190" s="55"/>
      <c r="H190" s="226"/>
      <c r="I190" s="1204"/>
    </row>
    <row r="191" spans="1:9" ht="63" customHeight="1">
      <c r="A191" s="295"/>
      <c r="B191" s="10"/>
      <c r="C191" s="178" t="s">
        <v>596</v>
      </c>
      <c r="D191" s="261" t="s">
        <v>259</v>
      </c>
      <c r="E191" s="55">
        <v>234284</v>
      </c>
      <c r="F191" s="589"/>
      <c r="G191" s="55"/>
      <c r="H191" s="226"/>
      <c r="I191" s="1202"/>
    </row>
    <row r="192" spans="1:9" ht="24.75" customHeight="1">
      <c r="A192" s="169">
        <v>900</v>
      </c>
      <c r="B192" s="11"/>
      <c r="C192" s="169"/>
      <c r="D192" s="273" t="s">
        <v>151</v>
      </c>
      <c r="E192" s="36">
        <f>E193+E195+E197+E199+E201</f>
        <v>5118371.5</v>
      </c>
      <c r="F192" s="330"/>
      <c r="G192" s="36">
        <f>G193+G195+G197+G199+G201</f>
        <v>14964300.84</v>
      </c>
      <c r="H192" s="330"/>
      <c r="I192" s="1202">
        <f t="shared" si="4"/>
        <v>292.3644921045688</v>
      </c>
    </row>
    <row r="193" spans="1:9" ht="24.75" customHeight="1">
      <c r="A193" s="301"/>
      <c r="B193" s="35">
        <v>90002</v>
      </c>
      <c r="C193" s="25"/>
      <c r="D193" s="277" t="s">
        <v>599</v>
      </c>
      <c r="E193" s="104">
        <f>E194</f>
        <v>4400</v>
      </c>
      <c r="F193" s="592"/>
      <c r="G193" s="104">
        <f>G194</f>
        <v>4500</v>
      </c>
      <c r="H193" s="589"/>
      <c r="I193" s="340">
        <f t="shared" si="4"/>
        <v>102.27272727272727</v>
      </c>
    </row>
    <row r="194" spans="1:9" ht="24.75" customHeight="1">
      <c r="A194" s="301"/>
      <c r="B194" s="11"/>
      <c r="C194" s="182" t="s">
        <v>94</v>
      </c>
      <c r="D194" s="261" t="s">
        <v>95</v>
      </c>
      <c r="E194" s="55">
        <v>4400</v>
      </c>
      <c r="F194" s="589"/>
      <c r="G194" s="55">
        <v>4500</v>
      </c>
      <c r="H194" s="589"/>
      <c r="I194" s="340">
        <f t="shared" si="4"/>
        <v>102.27272727272727</v>
      </c>
    </row>
    <row r="195" spans="1:15" s="56" customFormat="1" ht="36" customHeight="1">
      <c r="A195" s="294"/>
      <c r="B195" s="25">
        <v>90019</v>
      </c>
      <c r="C195" s="177"/>
      <c r="D195" s="314" t="s">
        <v>419</v>
      </c>
      <c r="E195" s="104">
        <f>SUM(E196:E196)</f>
        <v>4300000</v>
      </c>
      <c r="F195" s="592"/>
      <c r="G195" s="104">
        <f>SUM(G196:G196)</f>
        <v>5700000</v>
      </c>
      <c r="H195" s="592"/>
      <c r="I195" s="340">
        <f t="shared" si="4"/>
        <v>132.5581395348837</v>
      </c>
      <c r="K195" s="238"/>
      <c r="L195" s="238"/>
      <c r="M195" s="238"/>
      <c r="N195" s="238"/>
      <c r="O195" s="238"/>
    </row>
    <row r="196" spans="1:11" ht="23.25" customHeight="1">
      <c r="A196" s="298"/>
      <c r="B196" s="8"/>
      <c r="C196" s="182" t="s">
        <v>427</v>
      </c>
      <c r="D196" s="261" t="s">
        <v>428</v>
      </c>
      <c r="E196" s="55">
        <v>4300000</v>
      </c>
      <c r="F196" s="589"/>
      <c r="G196" s="55">
        <v>5700000</v>
      </c>
      <c r="H196" s="589"/>
      <c r="I196" s="340">
        <f t="shared" si="4"/>
        <v>132.5581395348837</v>
      </c>
      <c r="K196" s="58"/>
    </row>
    <row r="197" spans="1:11" ht="23.25" customHeight="1">
      <c r="A197" s="298"/>
      <c r="B197" s="49">
        <v>90015</v>
      </c>
      <c r="C197" s="25"/>
      <c r="D197" s="277" t="s">
        <v>653</v>
      </c>
      <c r="E197" s="55">
        <f>E198</f>
        <v>0</v>
      </c>
      <c r="F197" s="589"/>
      <c r="G197" s="55">
        <f>G198</f>
        <v>1692147</v>
      </c>
      <c r="H197" s="589"/>
      <c r="I197" s="340"/>
      <c r="K197" s="58"/>
    </row>
    <row r="198" spans="1:11" ht="70.5" customHeight="1">
      <c r="A198" s="298"/>
      <c r="B198" s="8"/>
      <c r="C198" s="183" t="s">
        <v>12</v>
      </c>
      <c r="D198" s="261" t="s">
        <v>261</v>
      </c>
      <c r="E198" s="55">
        <v>0</v>
      </c>
      <c r="F198" s="589"/>
      <c r="G198" s="55">
        <v>1692147</v>
      </c>
      <c r="H198" s="589"/>
      <c r="I198" s="340"/>
      <c r="K198" s="58"/>
    </row>
    <row r="199" spans="1:15" s="56" customFormat="1" ht="27.75" customHeight="1">
      <c r="A199" s="297"/>
      <c r="B199" s="25">
        <v>90020</v>
      </c>
      <c r="C199" s="171"/>
      <c r="D199" s="314" t="s">
        <v>465</v>
      </c>
      <c r="E199" s="104">
        <f>E200</f>
        <v>20000</v>
      </c>
      <c r="F199" s="592"/>
      <c r="G199" s="104">
        <f>G200</f>
        <v>21000</v>
      </c>
      <c r="H199" s="592"/>
      <c r="I199" s="340">
        <f t="shared" si="4"/>
        <v>105</v>
      </c>
      <c r="K199" s="238"/>
      <c r="L199" s="238"/>
      <c r="M199" s="238"/>
      <c r="N199" s="238"/>
      <c r="O199" s="238"/>
    </row>
    <row r="200" spans="1:9" ht="18" customHeight="1">
      <c r="A200" s="298"/>
      <c r="B200" s="3"/>
      <c r="C200" s="182" t="s">
        <v>466</v>
      </c>
      <c r="D200" s="261" t="s">
        <v>467</v>
      </c>
      <c r="E200" s="55">
        <v>20000</v>
      </c>
      <c r="F200" s="589"/>
      <c r="G200" s="55">
        <v>21000</v>
      </c>
      <c r="H200" s="589"/>
      <c r="I200" s="340">
        <f t="shared" si="4"/>
        <v>105</v>
      </c>
    </row>
    <row r="201" spans="1:15" s="56" customFormat="1" ht="18.75" customHeight="1">
      <c r="A201" s="294"/>
      <c r="B201" s="39">
        <v>90095</v>
      </c>
      <c r="C201" s="177"/>
      <c r="D201" s="314" t="s">
        <v>143</v>
      </c>
      <c r="E201" s="104">
        <f>SUM(E202:E208)</f>
        <v>793971.5</v>
      </c>
      <c r="F201" s="592"/>
      <c r="G201" s="104">
        <f>SUM(G202:G208)</f>
        <v>7546653.84</v>
      </c>
      <c r="H201" s="592"/>
      <c r="I201" s="340">
        <f t="shared" si="4"/>
        <v>950.4942985988791</v>
      </c>
      <c r="K201" s="238"/>
      <c r="L201" s="238"/>
      <c r="M201" s="238"/>
      <c r="N201" s="238"/>
      <c r="O201" s="238"/>
    </row>
    <row r="202" spans="1:9" ht="18" customHeight="1">
      <c r="A202" s="295"/>
      <c r="B202" s="18"/>
      <c r="C202" s="182" t="s">
        <v>427</v>
      </c>
      <c r="D202" s="261" t="s">
        <v>428</v>
      </c>
      <c r="E202" s="55">
        <v>43000</v>
      </c>
      <c r="F202" s="589"/>
      <c r="G202" s="55">
        <v>48000</v>
      </c>
      <c r="H202" s="589"/>
      <c r="I202" s="340">
        <f t="shared" si="4"/>
        <v>111.62790697674419</v>
      </c>
    </row>
    <row r="203" spans="1:9" ht="18" customHeight="1">
      <c r="A203" s="295"/>
      <c r="B203" s="18"/>
      <c r="C203" s="182" t="s">
        <v>158</v>
      </c>
      <c r="D203" s="261" t="s">
        <v>159</v>
      </c>
      <c r="E203" s="55">
        <v>200000</v>
      </c>
      <c r="F203" s="589"/>
      <c r="G203" s="55"/>
      <c r="H203" s="589"/>
      <c r="I203" s="340"/>
    </row>
    <row r="204" spans="1:9" ht="17.25" customHeight="1">
      <c r="A204" s="295"/>
      <c r="B204" s="18"/>
      <c r="C204" s="182" t="s">
        <v>430</v>
      </c>
      <c r="D204" s="261" t="s">
        <v>431</v>
      </c>
      <c r="E204" s="55">
        <v>15000</v>
      </c>
      <c r="F204" s="589"/>
      <c r="G204" s="55">
        <v>15000</v>
      </c>
      <c r="H204" s="589"/>
      <c r="I204" s="340">
        <f t="shared" si="4"/>
        <v>100</v>
      </c>
    </row>
    <row r="205" spans="1:9" ht="24.75" customHeight="1">
      <c r="A205" s="295"/>
      <c r="B205" s="18"/>
      <c r="C205" s="182" t="s">
        <v>468</v>
      </c>
      <c r="D205" s="337" t="s">
        <v>160</v>
      </c>
      <c r="E205" s="55">
        <v>4803</v>
      </c>
      <c r="F205" s="589"/>
      <c r="G205" s="55"/>
      <c r="H205" s="589"/>
      <c r="I205" s="340"/>
    </row>
    <row r="206" spans="1:9" ht="19.5" customHeight="1">
      <c r="A206" s="295"/>
      <c r="B206" s="18"/>
      <c r="C206" s="183" t="s">
        <v>131</v>
      </c>
      <c r="D206" s="261" t="s">
        <v>342</v>
      </c>
      <c r="E206" s="55">
        <v>100</v>
      </c>
      <c r="F206" s="589"/>
      <c r="G206" s="55"/>
      <c r="H206" s="589"/>
      <c r="I206" s="340"/>
    </row>
    <row r="207" spans="1:9" ht="20.25" customHeight="1">
      <c r="A207" s="295"/>
      <c r="B207" s="18"/>
      <c r="C207" s="182" t="s">
        <v>94</v>
      </c>
      <c r="D207" s="261" t="s">
        <v>95</v>
      </c>
      <c r="E207" s="55">
        <v>1000</v>
      </c>
      <c r="F207" s="589"/>
      <c r="G207" s="55">
        <v>1000</v>
      </c>
      <c r="H207" s="589"/>
      <c r="I207" s="340">
        <f aca="true" t="shared" si="5" ref="I207:I216">G207/E207*100</f>
        <v>100</v>
      </c>
    </row>
    <row r="208" spans="1:9" ht="60" customHeight="1">
      <c r="A208" s="295"/>
      <c r="B208" s="18"/>
      <c r="C208" s="175">
        <v>6207</v>
      </c>
      <c r="D208" s="261" t="s">
        <v>687</v>
      </c>
      <c r="E208" s="55">
        <v>530068.5</v>
      </c>
      <c r="F208" s="591"/>
      <c r="G208" s="55">
        <v>7482653.84</v>
      </c>
      <c r="H208" s="591"/>
      <c r="I208" s="340"/>
    </row>
    <row r="209" spans="1:9" ht="24" customHeight="1">
      <c r="A209" s="169">
        <v>926</v>
      </c>
      <c r="B209" s="11"/>
      <c r="C209" s="169"/>
      <c r="D209" s="273" t="s">
        <v>6</v>
      </c>
      <c r="E209" s="70">
        <f>E210</f>
        <v>2422500</v>
      </c>
      <c r="F209" s="330"/>
      <c r="G209" s="70">
        <f>G210</f>
        <v>2461300</v>
      </c>
      <c r="H209" s="330"/>
      <c r="I209" s="340">
        <f t="shared" si="5"/>
        <v>101.60165118679049</v>
      </c>
    </row>
    <row r="210" spans="1:15" s="56" customFormat="1" ht="22.5" customHeight="1">
      <c r="A210" s="294"/>
      <c r="B210" s="39">
        <v>92604</v>
      </c>
      <c r="C210" s="181"/>
      <c r="D210" s="314" t="s">
        <v>554</v>
      </c>
      <c r="E210" s="105">
        <f>SUM(E211:E215)</f>
        <v>2422500</v>
      </c>
      <c r="F210" s="592"/>
      <c r="G210" s="105">
        <f>SUM(G211:G215)</f>
        <v>2461300</v>
      </c>
      <c r="H210" s="592"/>
      <c r="I210" s="340">
        <f t="shared" si="5"/>
        <v>101.60165118679049</v>
      </c>
      <c r="K210" s="230"/>
      <c r="L210" s="238"/>
      <c r="M210" s="238"/>
      <c r="N210" s="238"/>
      <c r="O210" s="238"/>
    </row>
    <row r="211" spans="1:9" ht="63.75" customHeight="1">
      <c r="A211" s="295"/>
      <c r="B211" s="18"/>
      <c r="C211" s="183" t="s">
        <v>433</v>
      </c>
      <c r="D211" s="261" t="s">
        <v>126</v>
      </c>
      <c r="E211" s="55">
        <v>350000</v>
      </c>
      <c r="F211" s="589"/>
      <c r="G211" s="55">
        <v>360000</v>
      </c>
      <c r="H211" s="589"/>
      <c r="I211" s="340">
        <f t="shared" si="5"/>
        <v>102.85714285714285</v>
      </c>
    </row>
    <row r="212" spans="1:9" ht="18.75" customHeight="1">
      <c r="A212" s="295"/>
      <c r="B212" s="18"/>
      <c r="C212" s="183" t="s">
        <v>430</v>
      </c>
      <c r="D212" s="261" t="s">
        <v>431</v>
      </c>
      <c r="E212" s="55">
        <v>1970000</v>
      </c>
      <c r="F212" s="589"/>
      <c r="G212" s="55">
        <v>2000000</v>
      </c>
      <c r="H212" s="589"/>
      <c r="I212" s="340">
        <f t="shared" si="5"/>
        <v>101.5228426395939</v>
      </c>
    </row>
    <row r="213" spans="1:9" ht="25.5" customHeight="1">
      <c r="A213" s="295"/>
      <c r="B213" s="18"/>
      <c r="C213" s="182" t="s">
        <v>468</v>
      </c>
      <c r="D213" s="337" t="s">
        <v>160</v>
      </c>
      <c r="E213" s="55">
        <v>1200</v>
      </c>
      <c r="F213" s="589"/>
      <c r="G213" s="55"/>
      <c r="H213" s="589"/>
      <c r="I213" s="340"/>
    </row>
    <row r="214" spans="1:9" ht="18.75" customHeight="1">
      <c r="A214" s="295"/>
      <c r="B214" s="18"/>
      <c r="C214" s="183" t="s">
        <v>131</v>
      </c>
      <c r="D214" s="261" t="s">
        <v>342</v>
      </c>
      <c r="E214" s="55">
        <v>1300</v>
      </c>
      <c r="F214" s="589"/>
      <c r="G214" s="55">
        <v>1300</v>
      </c>
      <c r="H214" s="589"/>
      <c r="I214" s="340">
        <f t="shared" si="5"/>
        <v>100</v>
      </c>
    </row>
    <row r="215" spans="1:9" ht="21.75" customHeight="1">
      <c r="A215" s="180"/>
      <c r="B215" s="18"/>
      <c r="C215" s="183" t="s">
        <v>94</v>
      </c>
      <c r="D215" s="261" t="s">
        <v>95</v>
      </c>
      <c r="E215" s="55">
        <v>100000</v>
      </c>
      <c r="F215" s="591"/>
      <c r="G215" s="55">
        <v>100000</v>
      </c>
      <c r="H215" s="591"/>
      <c r="I215" s="340">
        <f t="shared" si="5"/>
        <v>100</v>
      </c>
    </row>
    <row r="216" spans="1:15" ht="24" customHeight="1">
      <c r="A216" s="604" t="s">
        <v>555</v>
      </c>
      <c r="B216" s="605"/>
      <c r="C216" s="606"/>
      <c r="D216" s="607"/>
      <c r="E216" s="413">
        <f>E13+E16+E19+E34+E37+E49+E52+E56+E91+E102+E132+E138+E173+E186+E192+E209</f>
        <v>279353211.46999997</v>
      </c>
      <c r="F216" s="608">
        <f>F13+F16+F19+F34+F37+F49+F52+F56+F91+F102+F132+F138+F173+F186+F192+F209</f>
        <v>22151045.99</v>
      </c>
      <c r="G216" s="413">
        <f>G13+G16+G19+G34+G37+G49+G52+G56+G91+G102+G132+G138+G173+G186+G192+G209</f>
        <v>279698238.46</v>
      </c>
      <c r="H216" s="608">
        <f>H13+H16+H19+H34+H37+H49+H52+H56+H91+H102+H132+H138+H173+H186+H192+H209</f>
        <v>20108948</v>
      </c>
      <c r="I216" s="342">
        <f t="shared" si="5"/>
        <v>100.12350922625318</v>
      </c>
      <c r="J216" s="53"/>
      <c r="K216" s="231"/>
      <c r="L216" s="58"/>
      <c r="M216" s="58"/>
      <c r="N216" s="58"/>
      <c r="O216" s="58"/>
    </row>
    <row r="217" spans="1:13" ht="27" customHeight="1">
      <c r="A217" s="291" t="s">
        <v>673</v>
      </c>
      <c r="B217" s="15"/>
      <c r="C217" s="176"/>
      <c r="D217" s="278"/>
      <c r="E217" s="44"/>
      <c r="F217" s="588"/>
      <c r="G217" s="44"/>
      <c r="H217" s="588"/>
      <c r="I217" s="1226"/>
      <c r="L217" s="58"/>
      <c r="M217" s="58"/>
    </row>
    <row r="218" spans="1:11" ht="25.5" customHeight="1">
      <c r="A218" s="299" t="s">
        <v>390</v>
      </c>
      <c r="B218" s="74"/>
      <c r="C218" s="6"/>
      <c r="D218" s="317" t="s">
        <v>391</v>
      </c>
      <c r="E218" s="165">
        <f>E219</f>
        <v>1300</v>
      </c>
      <c r="F218" s="597"/>
      <c r="G218" s="165">
        <f>G219</f>
        <v>1200</v>
      </c>
      <c r="H218" s="597"/>
      <c r="I218" s="415"/>
      <c r="K218" s="58"/>
    </row>
    <row r="219" spans="1:9" ht="22.5" customHeight="1">
      <c r="A219" s="292"/>
      <c r="B219" s="117" t="s">
        <v>392</v>
      </c>
      <c r="C219" s="25"/>
      <c r="D219" s="277" t="s">
        <v>143</v>
      </c>
      <c r="E219" s="29">
        <f>E220</f>
        <v>1300</v>
      </c>
      <c r="F219" s="599"/>
      <c r="G219" s="29">
        <f>G220</f>
        <v>1200</v>
      </c>
      <c r="H219" s="599"/>
      <c r="I219" s="1227"/>
    </row>
    <row r="220" spans="1:9" ht="61.5" customHeight="1">
      <c r="A220" s="293"/>
      <c r="B220" s="12"/>
      <c r="C220" s="183" t="s">
        <v>433</v>
      </c>
      <c r="D220" s="261" t="s">
        <v>126</v>
      </c>
      <c r="E220" s="27">
        <v>1300</v>
      </c>
      <c r="F220" s="598"/>
      <c r="G220" s="27">
        <v>1200</v>
      </c>
      <c r="H220" s="598"/>
      <c r="I220" s="1227"/>
    </row>
    <row r="221" spans="1:9" ht="21" customHeight="1">
      <c r="A221" s="334">
        <v>600</v>
      </c>
      <c r="B221" s="11"/>
      <c r="C221" s="178"/>
      <c r="D221" s="276" t="s">
        <v>25</v>
      </c>
      <c r="E221" s="27">
        <f>E222</f>
        <v>850800</v>
      </c>
      <c r="F221" s="597"/>
      <c r="G221" s="27">
        <f>G222</f>
        <v>850000</v>
      </c>
      <c r="H221" s="597"/>
      <c r="I221" s="340">
        <f>G221/E221*100</f>
        <v>99.9059708509638</v>
      </c>
    </row>
    <row r="222" spans="1:15" s="56" customFormat="1" ht="21.75" customHeight="1">
      <c r="A222" s="292"/>
      <c r="B222" s="28">
        <v>60095</v>
      </c>
      <c r="C222" s="181"/>
      <c r="D222" s="318" t="s">
        <v>143</v>
      </c>
      <c r="E222" s="104">
        <f>SUM(E223:E224)</f>
        <v>850800</v>
      </c>
      <c r="F222" s="600"/>
      <c r="G222" s="104">
        <f>SUM(G223:G224)</f>
        <v>850000</v>
      </c>
      <c r="H222" s="600"/>
      <c r="I222" s="340">
        <f aca="true" t="shared" si="6" ref="I222:I285">G222/E222*100</f>
        <v>99.9059708509638</v>
      </c>
      <c r="K222" s="238"/>
      <c r="L222" s="238"/>
      <c r="M222" s="238"/>
      <c r="N222" s="238"/>
      <c r="O222" s="238"/>
    </row>
    <row r="223" spans="1:9" ht="40.5" customHeight="1">
      <c r="A223" s="335"/>
      <c r="B223" s="19"/>
      <c r="C223" s="182" t="s">
        <v>703</v>
      </c>
      <c r="D223" s="261" t="s">
        <v>704</v>
      </c>
      <c r="E223" s="100">
        <v>850000</v>
      </c>
      <c r="F223" s="591"/>
      <c r="G223" s="100">
        <f>820000+30000</f>
        <v>850000</v>
      </c>
      <c r="H223" s="591"/>
      <c r="I223" s="340">
        <f t="shared" si="6"/>
        <v>100</v>
      </c>
    </row>
    <row r="224" spans="1:9" ht="27" customHeight="1">
      <c r="A224" s="335"/>
      <c r="B224" s="54"/>
      <c r="C224" s="178" t="s">
        <v>127</v>
      </c>
      <c r="D224" s="261" t="s">
        <v>130</v>
      </c>
      <c r="E224" s="100">
        <v>800</v>
      </c>
      <c r="F224" s="591"/>
      <c r="G224" s="100"/>
      <c r="H224" s="591"/>
      <c r="I224" s="340"/>
    </row>
    <row r="225" spans="1:9" ht="21" customHeight="1">
      <c r="A225" s="169">
        <v>700</v>
      </c>
      <c r="B225" s="12"/>
      <c r="C225" s="179"/>
      <c r="D225" s="313" t="s">
        <v>370</v>
      </c>
      <c r="E225" s="36">
        <f>E226</f>
        <v>843990</v>
      </c>
      <c r="F225" s="343">
        <f>F226</f>
        <v>63990</v>
      </c>
      <c r="G225" s="36">
        <f>G226</f>
        <v>853000</v>
      </c>
      <c r="H225" s="343">
        <f>H226</f>
        <v>59000</v>
      </c>
      <c r="I225" s="340">
        <f t="shared" si="6"/>
        <v>101.06754819369898</v>
      </c>
    </row>
    <row r="226" spans="1:15" s="56" customFormat="1" ht="23.25" customHeight="1">
      <c r="A226" s="294"/>
      <c r="B226" s="24">
        <v>70005</v>
      </c>
      <c r="C226" s="177"/>
      <c r="D226" s="314" t="s">
        <v>142</v>
      </c>
      <c r="E226" s="104">
        <f>SUM(E227:E228)</f>
        <v>843990</v>
      </c>
      <c r="F226" s="596">
        <f>SUM(F227:F228)</f>
        <v>63990</v>
      </c>
      <c r="G226" s="104">
        <f>SUM(G227:G228)</f>
        <v>853000</v>
      </c>
      <c r="H226" s="596">
        <f>SUM(H227:H228)</f>
        <v>59000</v>
      </c>
      <c r="I226" s="340">
        <f t="shared" si="6"/>
        <v>101.06754819369898</v>
      </c>
      <c r="K226" s="238"/>
      <c r="L226" s="238"/>
      <c r="M226" s="238"/>
      <c r="N226" s="238"/>
      <c r="O226" s="238"/>
    </row>
    <row r="227" spans="1:9" ht="51" customHeight="1">
      <c r="A227" s="295"/>
      <c r="B227" s="10"/>
      <c r="C227" s="178">
        <v>2110</v>
      </c>
      <c r="D227" s="261" t="s">
        <v>556</v>
      </c>
      <c r="E227" s="55">
        <v>63990</v>
      </c>
      <c r="F227" s="593">
        <v>63990</v>
      </c>
      <c r="G227" s="55">
        <v>59000</v>
      </c>
      <c r="H227" s="593">
        <v>59000</v>
      </c>
      <c r="I227" s="340">
        <f t="shared" si="6"/>
        <v>92.2019065478981</v>
      </c>
    </row>
    <row r="228" spans="1:9" ht="47.25" customHeight="1">
      <c r="A228" s="295"/>
      <c r="B228" s="10"/>
      <c r="C228" s="178">
        <v>2360</v>
      </c>
      <c r="D228" s="261" t="s">
        <v>133</v>
      </c>
      <c r="E228" s="100">
        <v>780000</v>
      </c>
      <c r="F228" s="589"/>
      <c r="G228" s="100">
        <v>794000</v>
      </c>
      <c r="H228" s="589"/>
      <c r="I228" s="340">
        <f t="shared" si="6"/>
        <v>101.7948717948718</v>
      </c>
    </row>
    <row r="229" spans="1:9" ht="21.75" customHeight="1">
      <c r="A229" s="169">
        <v>710</v>
      </c>
      <c r="B229" s="12"/>
      <c r="C229" s="169"/>
      <c r="D229" s="273" t="s">
        <v>152</v>
      </c>
      <c r="E229" s="36">
        <f>E230+E232+E234+E236</f>
        <v>814400</v>
      </c>
      <c r="F229" s="343">
        <f>F230+F232+F234+F236</f>
        <v>454400</v>
      </c>
      <c r="G229" s="36">
        <f>G230+G232+G234+G236</f>
        <v>810800</v>
      </c>
      <c r="H229" s="343">
        <f>H230+H232+H234+H236</f>
        <v>450800</v>
      </c>
      <c r="I229" s="340">
        <f t="shared" si="6"/>
        <v>99.55795677799607</v>
      </c>
    </row>
    <row r="230" spans="1:15" s="56" customFormat="1" ht="22.5" customHeight="1">
      <c r="A230" s="294"/>
      <c r="B230" s="25">
        <v>71012</v>
      </c>
      <c r="C230" s="177"/>
      <c r="D230" s="277" t="s">
        <v>685</v>
      </c>
      <c r="E230" s="29">
        <f>SUM(E231:F231)</f>
        <v>360000</v>
      </c>
      <c r="F230" s="601"/>
      <c r="G230" s="29">
        <f>SUM(G231:H231)</f>
        <v>360000</v>
      </c>
      <c r="H230" s="601"/>
      <c r="I230" s="340">
        <f t="shared" si="6"/>
        <v>100</v>
      </c>
      <c r="K230" s="238"/>
      <c r="L230" s="238"/>
      <c r="M230" s="238"/>
      <c r="N230" s="238"/>
      <c r="O230" s="238"/>
    </row>
    <row r="231" spans="1:9" ht="20.25" customHeight="1">
      <c r="A231" s="300"/>
      <c r="B231" s="54"/>
      <c r="C231" s="182" t="s">
        <v>427</v>
      </c>
      <c r="D231" s="261" t="s">
        <v>428</v>
      </c>
      <c r="E231" s="166">
        <v>360000</v>
      </c>
      <c r="F231" s="597"/>
      <c r="G231" s="166">
        <f>350000+10000</f>
        <v>360000</v>
      </c>
      <c r="H231" s="597"/>
      <c r="I231" s="340">
        <f t="shared" si="6"/>
        <v>100</v>
      </c>
    </row>
    <row r="232" spans="1:15" s="56" customFormat="1" ht="24.75" customHeight="1">
      <c r="A232" s="294"/>
      <c r="B232" s="39">
        <v>71013</v>
      </c>
      <c r="C232" s="177"/>
      <c r="D232" s="314" t="s">
        <v>522</v>
      </c>
      <c r="E232" s="104">
        <f>E233</f>
        <v>88900</v>
      </c>
      <c r="F232" s="583">
        <f>F233</f>
        <v>88900</v>
      </c>
      <c r="G232" s="104">
        <f>G233</f>
        <v>90800</v>
      </c>
      <c r="H232" s="583">
        <f>H233</f>
        <v>90800</v>
      </c>
      <c r="I232" s="340">
        <f t="shared" si="6"/>
        <v>102.13723284589426</v>
      </c>
      <c r="K232" s="238"/>
      <c r="L232" s="238"/>
      <c r="M232" s="238"/>
      <c r="N232" s="238"/>
      <c r="O232" s="238"/>
    </row>
    <row r="233" spans="1:13" ht="49.5" customHeight="1">
      <c r="A233" s="295"/>
      <c r="B233" s="10"/>
      <c r="C233" s="178">
        <v>2110</v>
      </c>
      <c r="D233" s="261" t="s">
        <v>556</v>
      </c>
      <c r="E233" s="55">
        <v>88900</v>
      </c>
      <c r="F233" s="589">
        <v>88900</v>
      </c>
      <c r="G233" s="55">
        <v>90800</v>
      </c>
      <c r="H233" s="589">
        <v>90800</v>
      </c>
      <c r="I233" s="340">
        <f t="shared" si="6"/>
        <v>102.13723284589426</v>
      </c>
      <c r="M233" s="58"/>
    </row>
    <row r="234" spans="1:15" s="56" customFormat="1" ht="24.75" customHeight="1">
      <c r="A234" s="294"/>
      <c r="B234" s="25">
        <v>71014</v>
      </c>
      <c r="C234" s="177"/>
      <c r="D234" s="314" t="s">
        <v>523</v>
      </c>
      <c r="E234" s="104">
        <f>E235</f>
        <v>10000</v>
      </c>
      <c r="F234" s="596">
        <f>F235</f>
        <v>10000</v>
      </c>
      <c r="G234" s="104">
        <f>G235</f>
        <v>10000</v>
      </c>
      <c r="H234" s="596">
        <f>H235</f>
        <v>10000</v>
      </c>
      <c r="I234" s="340">
        <f t="shared" si="6"/>
        <v>100</v>
      </c>
      <c r="K234" s="238"/>
      <c r="L234" s="238"/>
      <c r="M234" s="238"/>
      <c r="N234" s="238"/>
      <c r="O234" s="238"/>
    </row>
    <row r="235" spans="1:9" ht="51" customHeight="1">
      <c r="A235" s="295"/>
      <c r="B235" s="13"/>
      <c r="C235" s="178">
        <v>2110</v>
      </c>
      <c r="D235" s="261" t="s">
        <v>556</v>
      </c>
      <c r="E235" s="55">
        <v>10000</v>
      </c>
      <c r="F235" s="589">
        <v>10000</v>
      </c>
      <c r="G235" s="55">
        <v>10000</v>
      </c>
      <c r="H235" s="589">
        <v>10000</v>
      </c>
      <c r="I235" s="340">
        <f t="shared" si="6"/>
        <v>100</v>
      </c>
    </row>
    <row r="236" spans="1:15" s="56" customFormat="1" ht="22.5" customHeight="1">
      <c r="A236" s="294"/>
      <c r="B236" s="24">
        <v>71015</v>
      </c>
      <c r="C236" s="177"/>
      <c r="D236" s="314" t="s">
        <v>524</v>
      </c>
      <c r="E236" s="104">
        <f>E237+E238</f>
        <v>355500</v>
      </c>
      <c r="F236" s="583">
        <f>F237+F238</f>
        <v>355500</v>
      </c>
      <c r="G236" s="104">
        <f>G237+G238</f>
        <v>350000</v>
      </c>
      <c r="H236" s="583">
        <f>H237+H238</f>
        <v>350000</v>
      </c>
      <c r="I236" s="340">
        <f t="shared" si="6"/>
        <v>98.45288326300985</v>
      </c>
      <c r="K236" s="238"/>
      <c r="L236" s="238"/>
      <c r="M236" s="238"/>
      <c r="N236" s="238"/>
      <c r="O236" s="238"/>
    </row>
    <row r="237" spans="1:9" ht="51.75" customHeight="1">
      <c r="A237" s="295"/>
      <c r="B237" s="10"/>
      <c r="C237" s="180">
        <v>2110</v>
      </c>
      <c r="D237" s="275" t="s">
        <v>556</v>
      </c>
      <c r="E237" s="55">
        <v>345500</v>
      </c>
      <c r="F237" s="589">
        <v>345500</v>
      </c>
      <c r="G237" s="55">
        <v>350000</v>
      </c>
      <c r="H237" s="589">
        <v>350000</v>
      </c>
      <c r="I237" s="340">
        <f t="shared" si="6"/>
        <v>101.30246020260492</v>
      </c>
    </row>
    <row r="238" spans="1:9" ht="49.5" customHeight="1">
      <c r="A238" s="295"/>
      <c r="B238" s="10"/>
      <c r="C238" s="180" t="s">
        <v>414</v>
      </c>
      <c r="D238" s="275" t="s">
        <v>657</v>
      </c>
      <c r="E238" s="55">
        <v>10000</v>
      </c>
      <c r="F238" s="330">
        <v>10000</v>
      </c>
      <c r="G238" s="55"/>
      <c r="H238" s="330"/>
      <c r="I238" s="340"/>
    </row>
    <row r="239" spans="1:9" ht="24.75" customHeight="1">
      <c r="A239" s="169">
        <v>750</v>
      </c>
      <c r="B239" s="11"/>
      <c r="C239" s="179"/>
      <c r="D239" s="313" t="s">
        <v>144</v>
      </c>
      <c r="E239" s="36">
        <f>E240+E242+E244</f>
        <v>264615</v>
      </c>
      <c r="F239" s="602">
        <f>F240+F242+F244</f>
        <v>216615</v>
      </c>
      <c r="G239" s="36">
        <f>G240+G242+G244</f>
        <v>263301</v>
      </c>
      <c r="H239" s="602">
        <f>H240+H242+H244</f>
        <v>215301</v>
      </c>
      <c r="I239" s="340">
        <f t="shared" si="6"/>
        <v>99.5034295107987</v>
      </c>
    </row>
    <row r="240" spans="1:15" s="56" customFormat="1" ht="25.5" customHeight="1">
      <c r="A240" s="294"/>
      <c r="B240" s="24">
        <v>75011</v>
      </c>
      <c r="C240" s="186"/>
      <c r="D240" s="314" t="s">
        <v>426</v>
      </c>
      <c r="E240" s="104">
        <f>E241</f>
        <v>189615</v>
      </c>
      <c r="F240" s="596">
        <f>F241</f>
        <v>189615</v>
      </c>
      <c r="G240" s="104">
        <f>G241</f>
        <v>192301</v>
      </c>
      <c r="H240" s="596">
        <f>H241</f>
        <v>192301</v>
      </c>
      <c r="I240" s="340">
        <f t="shared" si="6"/>
        <v>101.41655459747383</v>
      </c>
      <c r="K240" s="238"/>
      <c r="L240" s="238"/>
      <c r="M240" s="238"/>
      <c r="N240" s="238"/>
      <c r="O240" s="238"/>
    </row>
    <row r="241" spans="1:9" ht="46.5" customHeight="1">
      <c r="A241" s="295"/>
      <c r="B241" s="10"/>
      <c r="C241" s="178">
        <v>2110</v>
      </c>
      <c r="D241" s="261" t="s">
        <v>556</v>
      </c>
      <c r="E241" s="55">
        <v>189615</v>
      </c>
      <c r="F241" s="330">
        <v>189615</v>
      </c>
      <c r="G241" s="55">
        <v>192301</v>
      </c>
      <c r="H241" s="330">
        <v>192301</v>
      </c>
      <c r="I241" s="340">
        <f t="shared" si="6"/>
        <v>101.41655459747383</v>
      </c>
    </row>
    <row r="242" spans="1:15" s="56" customFormat="1" ht="20.25" customHeight="1">
      <c r="A242" s="294"/>
      <c r="B242" s="24">
        <v>75020</v>
      </c>
      <c r="C242" s="177"/>
      <c r="D242" s="314" t="s">
        <v>525</v>
      </c>
      <c r="E242" s="104">
        <f>E243</f>
        <v>45000</v>
      </c>
      <c r="F242" s="592"/>
      <c r="G242" s="104">
        <f>G243</f>
        <v>45000</v>
      </c>
      <c r="H242" s="592"/>
      <c r="I242" s="340">
        <f t="shared" si="6"/>
        <v>100</v>
      </c>
      <c r="K242" s="238"/>
      <c r="L242" s="238"/>
      <c r="M242" s="238"/>
      <c r="N242" s="238"/>
      <c r="O242" s="238"/>
    </row>
    <row r="243" spans="1:9" ht="22.5" customHeight="1">
      <c r="A243" s="295"/>
      <c r="B243" s="10"/>
      <c r="C243" s="178" t="s">
        <v>427</v>
      </c>
      <c r="D243" s="261" t="s">
        <v>428</v>
      </c>
      <c r="E243" s="55">
        <v>45000</v>
      </c>
      <c r="F243" s="589"/>
      <c r="G243" s="55">
        <v>45000</v>
      </c>
      <c r="H243" s="589"/>
      <c r="I243" s="340">
        <f t="shared" si="6"/>
        <v>100</v>
      </c>
    </row>
    <row r="244" spans="1:15" s="56" customFormat="1" ht="21.75" customHeight="1">
      <c r="A244" s="294"/>
      <c r="B244" s="24">
        <v>75045</v>
      </c>
      <c r="C244" s="177"/>
      <c r="D244" s="314" t="s">
        <v>446</v>
      </c>
      <c r="E244" s="104">
        <f>SUM(E245:E246)</f>
        <v>30000</v>
      </c>
      <c r="F244" s="596">
        <f>SUM(F245:F246)</f>
        <v>27000</v>
      </c>
      <c r="G244" s="104">
        <f>SUM(G245:G246)</f>
        <v>26000</v>
      </c>
      <c r="H244" s="596">
        <f>SUM(H245:H246)</f>
        <v>23000</v>
      </c>
      <c r="I244" s="340">
        <f t="shared" si="6"/>
        <v>86.66666666666667</v>
      </c>
      <c r="K244" s="238"/>
      <c r="L244" s="238"/>
      <c r="M244" s="238"/>
      <c r="N244" s="238"/>
      <c r="O244" s="238"/>
    </row>
    <row r="245" spans="1:9" ht="52.5" customHeight="1">
      <c r="A245" s="295"/>
      <c r="B245" s="16"/>
      <c r="C245" s="178">
        <v>2110</v>
      </c>
      <c r="D245" s="261" t="s">
        <v>556</v>
      </c>
      <c r="E245" s="55">
        <v>27000</v>
      </c>
      <c r="F245" s="593">
        <v>27000</v>
      </c>
      <c r="G245" s="55">
        <v>23000</v>
      </c>
      <c r="H245" s="593">
        <v>23000</v>
      </c>
      <c r="I245" s="340">
        <f t="shared" si="6"/>
        <v>85.18518518518519</v>
      </c>
    </row>
    <row r="246" spans="1:9" ht="48.75" customHeight="1">
      <c r="A246" s="295"/>
      <c r="B246" s="10"/>
      <c r="C246" s="178">
        <v>2120</v>
      </c>
      <c r="D246" s="319" t="s">
        <v>526</v>
      </c>
      <c r="E246" s="55">
        <v>3000</v>
      </c>
      <c r="F246" s="589"/>
      <c r="G246" s="55">
        <v>3000</v>
      </c>
      <c r="H246" s="589"/>
      <c r="I246" s="340">
        <f t="shared" si="6"/>
        <v>100</v>
      </c>
    </row>
    <row r="247" spans="1:9" ht="27.75" customHeight="1">
      <c r="A247" s="185">
        <v>754</v>
      </c>
      <c r="B247" s="12"/>
      <c r="C247" s="169"/>
      <c r="D247" s="273" t="s">
        <v>145</v>
      </c>
      <c r="E247" s="36">
        <f>E248+E253</f>
        <v>10643191</v>
      </c>
      <c r="F247" s="343">
        <f>F248+F253</f>
        <v>10282591</v>
      </c>
      <c r="G247" s="36">
        <f>G248+G253</f>
        <v>10429295.45</v>
      </c>
      <c r="H247" s="343">
        <f>H248+H253</f>
        <v>10428000</v>
      </c>
      <c r="I247" s="340">
        <f t="shared" si="6"/>
        <v>97.99030619670359</v>
      </c>
    </row>
    <row r="248" spans="1:15" s="56" customFormat="1" ht="25.5" customHeight="1">
      <c r="A248" s="181"/>
      <c r="B248" s="24">
        <v>75411</v>
      </c>
      <c r="C248" s="181"/>
      <c r="D248" s="314" t="s">
        <v>355</v>
      </c>
      <c r="E248" s="104">
        <f>SUM(E249:E252)</f>
        <v>10640505</v>
      </c>
      <c r="F248" s="583">
        <f>SUM(F249:F252)</f>
        <v>10279905</v>
      </c>
      <c r="G248" s="104">
        <f>SUM(G249:G252)</f>
        <v>10429295.45</v>
      </c>
      <c r="H248" s="583">
        <f>SUM(H249:H252)</f>
        <v>10428000</v>
      </c>
      <c r="I248" s="340">
        <f t="shared" si="6"/>
        <v>98.01504204922604</v>
      </c>
      <c r="K248" s="238"/>
      <c r="L248" s="238"/>
      <c r="M248" s="238"/>
      <c r="N248" s="238"/>
      <c r="O248" s="238"/>
    </row>
    <row r="249" spans="1:9" ht="50.25" customHeight="1">
      <c r="A249" s="295"/>
      <c r="B249" s="18"/>
      <c r="C249" s="183">
        <v>2110</v>
      </c>
      <c r="D249" s="278" t="s">
        <v>556</v>
      </c>
      <c r="E249" s="55">
        <v>10179905</v>
      </c>
      <c r="F249" s="593">
        <v>10179905</v>
      </c>
      <c r="G249" s="55">
        <v>10028000</v>
      </c>
      <c r="H249" s="593">
        <v>10028000</v>
      </c>
      <c r="I249" s="340">
        <f t="shared" si="6"/>
        <v>98.50779550496787</v>
      </c>
    </row>
    <row r="250" spans="1:9" ht="48.75" customHeight="1">
      <c r="A250" s="295"/>
      <c r="B250" s="18"/>
      <c r="C250" s="182">
        <v>2360</v>
      </c>
      <c r="D250" s="261" t="s">
        <v>133</v>
      </c>
      <c r="E250" s="55">
        <v>600</v>
      </c>
      <c r="F250" s="594"/>
      <c r="G250" s="55">
        <v>1295.45</v>
      </c>
      <c r="H250" s="594"/>
      <c r="I250" s="340">
        <f t="shared" si="6"/>
        <v>215.90833333333333</v>
      </c>
    </row>
    <row r="251" spans="1:9" ht="60.75" customHeight="1">
      <c r="A251" s="295"/>
      <c r="B251" s="18"/>
      <c r="C251" s="182" t="s">
        <v>122</v>
      </c>
      <c r="D251" s="275" t="s">
        <v>123</v>
      </c>
      <c r="E251" s="55">
        <v>360000</v>
      </c>
      <c r="F251" s="594"/>
      <c r="G251" s="55"/>
      <c r="H251" s="594"/>
      <c r="I251" s="340"/>
    </row>
    <row r="252" spans="1:9" ht="50.25" customHeight="1">
      <c r="A252" s="180"/>
      <c r="B252" s="18"/>
      <c r="C252" s="182" t="s">
        <v>414</v>
      </c>
      <c r="D252" s="275" t="s">
        <v>657</v>
      </c>
      <c r="E252" s="55">
        <v>100000</v>
      </c>
      <c r="F252" s="594">
        <v>100000</v>
      </c>
      <c r="G252" s="55">
        <v>400000</v>
      </c>
      <c r="H252" s="594">
        <v>400000</v>
      </c>
      <c r="I252" s="340">
        <f t="shared" si="6"/>
        <v>400</v>
      </c>
    </row>
    <row r="253" spans="1:15" s="56" customFormat="1" ht="36" customHeight="1">
      <c r="A253" s="186"/>
      <c r="B253" s="25">
        <v>74878</v>
      </c>
      <c r="C253" s="171"/>
      <c r="D253" s="318" t="s">
        <v>260</v>
      </c>
      <c r="E253" s="104">
        <f>E254</f>
        <v>2686</v>
      </c>
      <c r="F253" s="583">
        <f>F254</f>
        <v>2686</v>
      </c>
      <c r="G253" s="104">
        <f>G254</f>
        <v>0</v>
      </c>
      <c r="H253" s="583">
        <f>H254</f>
        <v>0</v>
      </c>
      <c r="I253" s="395"/>
      <c r="K253" s="238"/>
      <c r="L253" s="238"/>
      <c r="M253" s="238"/>
      <c r="N253" s="238"/>
      <c r="O253" s="238"/>
    </row>
    <row r="254" spans="1:9" ht="50.25" customHeight="1">
      <c r="A254" s="180"/>
      <c r="B254" s="18"/>
      <c r="C254" s="183">
        <v>2110</v>
      </c>
      <c r="D254" s="278" t="s">
        <v>556</v>
      </c>
      <c r="E254" s="55">
        <v>2686</v>
      </c>
      <c r="F254" s="330">
        <v>2686</v>
      </c>
      <c r="G254" s="55"/>
      <c r="H254" s="594"/>
      <c r="I254" s="340"/>
    </row>
    <row r="255" spans="1:9" ht="55.5" customHeight="1">
      <c r="A255" s="179">
        <v>756</v>
      </c>
      <c r="B255" s="12"/>
      <c r="C255" s="169"/>
      <c r="D255" s="273" t="s">
        <v>19</v>
      </c>
      <c r="E255" s="36">
        <f>E256+E261</f>
        <v>18407666</v>
      </c>
      <c r="F255" s="330"/>
      <c r="G255" s="36">
        <f>G256+G261</f>
        <v>18654059</v>
      </c>
      <c r="H255" s="330"/>
      <c r="I255" s="340">
        <f t="shared" si="6"/>
        <v>101.33853471700323</v>
      </c>
    </row>
    <row r="256" spans="1:15" s="56" customFormat="1" ht="37.5" customHeight="1">
      <c r="A256" s="294"/>
      <c r="B256" s="30">
        <v>75618</v>
      </c>
      <c r="C256" s="177"/>
      <c r="D256" s="314" t="s">
        <v>699</v>
      </c>
      <c r="E256" s="152">
        <f>SUM(E257:E260)</f>
        <v>2001200</v>
      </c>
      <c r="F256" s="592"/>
      <c r="G256" s="152">
        <f>SUM(G257:G260)</f>
        <v>2011200</v>
      </c>
      <c r="H256" s="592"/>
      <c r="I256" s="340">
        <f t="shared" si="6"/>
        <v>100.49970017989207</v>
      </c>
      <c r="K256" s="238"/>
      <c r="L256" s="238"/>
      <c r="M256" s="238"/>
      <c r="N256" s="238"/>
      <c r="O256" s="238"/>
    </row>
    <row r="257" spans="1:9" ht="18" customHeight="1">
      <c r="A257" s="298"/>
      <c r="B257" s="14"/>
      <c r="C257" s="182" t="s">
        <v>527</v>
      </c>
      <c r="D257" s="261" t="s">
        <v>528</v>
      </c>
      <c r="E257" s="55">
        <v>1800000</v>
      </c>
      <c r="F257" s="589"/>
      <c r="G257" s="55">
        <v>1800000</v>
      </c>
      <c r="H257" s="589"/>
      <c r="I257" s="340">
        <f t="shared" si="6"/>
        <v>100</v>
      </c>
    </row>
    <row r="258" spans="1:9" ht="33.75" customHeight="1">
      <c r="A258" s="298"/>
      <c r="B258" s="8"/>
      <c r="C258" s="182" t="s">
        <v>703</v>
      </c>
      <c r="D258" s="261" t="s">
        <v>704</v>
      </c>
      <c r="E258" s="55">
        <v>200000</v>
      </c>
      <c r="F258" s="589"/>
      <c r="G258" s="55">
        <v>210000</v>
      </c>
      <c r="H258" s="589"/>
      <c r="I258" s="340">
        <f t="shared" si="6"/>
        <v>105</v>
      </c>
    </row>
    <row r="259" spans="1:9" ht="17.25" customHeight="1">
      <c r="A259" s="298"/>
      <c r="B259" s="8"/>
      <c r="C259" s="182" t="s">
        <v>427</v>
      </c>
      <c r="D259" s="261" t="s">
        <v>428</v>
      </c>
      <c r="E259" s="55">
        <v>200</v>
      </c>
      <c r="F259" s="589"/>
      <c r="G259" s="55">
        <v>200</v>
      </c>
      <c r="H259" s="589"/>
      <c r="I259" s="340">
        <f t="shared" si="6"/>
        <v>100</v>
      </c>
    </row>
    <row r="260" spans="1:9" ht="24" customHeight="1">
      <c r="A260" s="298"/>
      <c r="B260" s="2"/>
      <c r="C260" s="183" t="s">
        <v>131</v>
      </c>
      <c r="D260" s="261" t="s">
        <v>342</v>
      </c>
      <c r="E260" s="55">
        <v>1000</v>
      </c>
      <c r="F260" s="589"/>
      <c r="G260" s="55">
        <v>1000</v>
      </c>
      <c r="H260" s="589"/>
      <c r="I260" s="340">
        <f t="shared" si="6"/>
        <v>100</v>
      </c>
    </row>
    <row r="261" spans="1:15" s="56" customFormat="1" ht="24.75" customHeight="1">
      <c r="A261" s="294"/>
      <c r="B261" s="30">
        <v>75622</v>
      </c>
      <c r="C261" s="177"/>
      <c r="D261" s="314" t="s">
        <v>529</v>
      </c>
      <c r="E261" s="104">
        <f>SUM(E262:E263)</f>
        <v>16406466</v>
      </c>
      <c r="F261" s="592"/>
      <c r="G261" s="104">
        <f>SUM(G262:G263)</f>
        <v>16642859</v>
      </c>
      <c r="H261" s="592"/>
      <c r="I261" s="340">
        <f t="shared" si="6"/>
        <v>101.44085264919332</v>
      </c>
      <c r="K261" s="238"/>
      <c r="L261" s="238"/>
      <c r="M261" s="238"/>
      <c r="N261" s="238"/>
      <c r="O261" s="238"/>
    </row>
    <row r="262" spans="1:9" ht="21" customHeight="1">
      <c r="A262" s="295"/>
      <c r="B262" s="16"/>
      <c r="C262" s="182" t="s">
        <v>706</v>
      </c>
      <c r="D262" s="261" t="s">
        <v>434</v>
      </c>
      <c r="E262" s="55">
        <v>15606466</v>
      </c>
      <c r="F262" s="589"/>
      <c r="G262" s="55">
        <v>15792859</v>
      </c>
      <c r="H262" s="589"/>
      <c r="I262" s="340">
        <f t="shared" si="6"/>
        <v>101.19433188782136</v>
      </c>
    </row>
    <row r="263" spans="1:11" ht="23.25" customHeight="1">
      <c r="A263" s="295"/>
      <c r="B263" s="20"/>
      <c r="C263" s="182" t="s">
        <v>435</v>
      </c>
      <c r="D263" s="261" t="s">
        <v>530</v>
      </c>
      <c r="E263" s="55">
        <v>800000</v>
      </c>
      <c r="F263" s="589"/>
      <c r="G263" s="55">
        <v>850000</v>
      </c>
      <c r="H263" s="589"/>
      <c r="I263" s="340">
        <f t="shared" si="6"/>
        <v>106.25</v>
      </c>
      <c r="K263" s="58"/>
    </row>
    <row r="264" spans="1:9" ht="22.5" customHeight="1">
      <c r="A264" s="169">
        <v>758</v>
      </c>
      <c r="B264" s="21"/>
      <c r="C264" s="169"/>
      <c r="D264" s="273" t="s">
        <v>146</v>
      </c>
      <c r="E264" s="36">
        <f>E265+E267+E269</f>
        <v>83602267</v>
      </c>
      <c r="F264" s="593"/>
      <c r="G264" s="36">
        <f>G265+G267+G269</f>
        <v>72726156</v>
      </c>
      <c r="H264" s="593"/>
      <c r="I264" s="340">
        <f t="shared" si="6"/>
        <v>86.99065062434252</v>
      </c>
    </row>
    <row r="265" spans="1:15" s="56" customFormat="1" ht="27" customHeight="1">
      <c r="A265" s="294"/>
      <c r="B265" s="24">
        <v>75801</v>
      </c>
      <c r="C265" s="177"/>
      <c r="D265" s="314" t="s">
        <v>437</v>
      </c>
      <c r="E265" s="104">
        <f>E266</f>
        <v>68463819</v>
      </c>
      <c r="F265" s="592"/>
      <c r="G265" s="104">
        <f>G266</f>
        <v>65998290</v>
      </c>
      <c r="H265" s="592"/>
      <c r="I265" s="340">
        <f t="shared" si="6"/>
        <v>96.39878546652503</v>
      </c>
      <c r="K265" s="238"/>
      <c r="L265" s="238"/>
      <c r="M265" s="238"/>
      <c r="N265" s="238"/>
      <c r="O265" s="238"/>
    </row>
    <row r="266" spans="1:9" ht="21" customHeight="1">
      <c r="A266" s="295"/>
      <c r="B266" s="10"/>
      <c r="C266" s="178">
        <v>2920</v>
      </c>
      <c r="D266" s="261" t="s">
        <v>438</v>
      </c>
      <c r="E266" s="55">
        <v>68463819</v>
      </c>
      <c r="F266" s="589"/>
      <c r="G266" s="55">
        <v>65998290</v>
      </c>
      <c r="H266" s="589"/>
      <c r="I266" s="340">
        <f t="shared" si="6"/>
        <v>96.39878546652503</v>
      </c>
    </row>
    <row r="267" spans="1:11" ht="24.75" customHeight="1">
      <c r="A267" s="295"/>
      <c r="B267" s="25">
        <v>75802</v>
      </c>
      <c r="C267" s="177"/>
      <c r="D267" s="314" t="s">
        <v>723</v>
      </c>
      <c r="E267" s="104">
        <f>E268</f>
        <v>7642500</v>
      </c>
      <c r="F267" s="592"/>
      <c r="G267" s="104">
        <f>G268</f>
        <v>0</v>
      </c>
      <c r="H267" s="592"/>
      <c r="I267" s="395"/>
      <c r="K267" s="58"/>
    </row>
    <row r="268" spans="1:9" ht="54.75" customHeight="1">
      <c r="A268" s="295"/>
      <c r="B268" s="10"/>
      <c r="C268" s="178" t="s">
        <v>724</v>
      </c>
      <c r="D268" s="261" t="s">
        <v>658</v>
      </c>
      <c r="E268" s="55">
        <v>7642500</v>
      </c>
      <c r="F268" s="589"/>
      <c r="G268" s="55"/>
      <c r="H268" s="589"/>
      <c r="I268" s="340"/>
    </row>
    <row r="269" spans="1:15" s="56" customFormat="1" ht="24" customHeight="1">
      <c r="A269" s="294"/>
      <c r="B269" s="24">
        <v>75832</v>
      </c>
      <c r="C269" s="177"/>
      <c r="D269" s="314" t="s">
        <v>674</v>
      </c>
      <c r="E269" s="104">
        <f>E270</f>
        <v>7495948</v>
      </c>
      <c r="F269" s="592"/>
      <c r="G269" s="104">
        <f>G270</f>
        <v>6727866</v>
      </c>
      <c r="H269" s="592"/>
      <c r="I269" s="340">
        <f t="shared" si="6"/>
        <v>89.7533707544396</v>
      </c>
      <c r="K269" s="238"/>
      <c r="L269" s="238"/>
      <c r="M269" s="238"/>
      <c r="N269" s="238"/>
      <c r="O269" s="238"/>
    </row>
    <row r="270" spans="1:11" ht="24.75" customHeight="1">
      <c r="A270" s="295"/>
      <c r="B270" s="10"/>
      <c r="C270" s="178">
        <v>2920</v>
      </c>
      <c r="D270" s="261" t="s">
        <v>438</v>
      </c>
      <c r="E270" s="55">
        <v>7495948</v>
      </c>
      <c r="F270" s="589"/>
      <c r="G270" s="55">
        <v>6727866</v>
      </c>
      <c r="H270" s="589"/>
      <c r="I270" s="340">
        <f t="shared" si="6"/>
        <v>89.7533707544396</v>
      </c>
      <c r="K270" s="58"/>
    </row>
    <row r="271" spans="1:9" ht="30" customHeight="1">
      <c r="A271" s="169">
        <v>801</v>
      </c>
      <c r="B271" s="12"/>
      <c r="C271" s="169"/>
      <c r="D271" s="273" t="s">
        <v>148</v>
      </c>
      <c r="E271" s="70">
        <f>E272+E274+E276+E281+E286+E288+E296+E304+E307+E311+E315</f>
        <v>2053395.42</v>
      </c>
      <c r="F271" s="593"/>
      <c r="G271" s="70">
        <f>G272+G274+G276+G281+G286+G288+G296+G304+G307+G311+G315</f>
        <v>1962851.6</v>
      </c>
      <c r="H271" s="593"/>
      <c r="I271" s="1203">
        <f t="shared" si="6"/>
        <v>95.59053170577346</v>
      </c>
    </row>
    <row r="272" spans="1:11" ht="23.25" customHeight="1">
      <c r="A272" s="301"/>
      <c r="B272" s="28">
        <v>80102</v>
      </c>
      <c r="C272" s="25"/>
      <c r="D272" s="277" t="s">
        <v>454</v>
      </c>
      <c r="E272" s="105">
        <f>E273</f>
        <v>260</v>
      </c>
      <c r="F272" s="592"/>
      <c r="G272" s="105">
        <f>G273</f>
        <v>0</v>
      </c>
      <c r="H272" s="226"/>
      <c r="I272" s="1203"/>
      <c r="K272" s="58"/>
    </row>
    <row r="273" spans="1:9" ht="23.25" customHeight="1">
      <c r="A273" s="301"/>
      <c r="B273" s="339"/>
      <c r="C273" s="182" t="s">
        <v>94</v>
      </c>
      <c r="D273" s="261" t="s">
        <v>95</v>
      </c>
      <c r="E273" s="69">
        <v>260</v>
      </c>
      <c r="F273" s="589"/>
      <c r="G273" s="69"/>
      <c r="H273" s="226"/>
      <c r="I273" s="1204"/>
    </row>
    <row r="274" spans="1:9" ht="23.25" customHeight="1">
      <c r="A274" s="301"/>
      <c r="B274" s="24">
        <v>80111</v>
      </c>
      <c r="C274" s="25"/>
      <c r="D274" s="277" t="s">
        <v>455</v>
      </c>
      <c r="E274" s="105">
        <f>E275</f>
        <v>210</v>
      </c>
      <c r="F274" s="592"/>
      <c r="G274" s="105">
        <f>G275</f>
        <v>0</v>
      </c>
      <c r="H274" s="226"/>
      <c r="I274" s="1204"/>
    </row>
    <row r="275" spans="1:9" ht="23.25" customHeight="1">
      <c r="A275" s="301"/>
      <c r="B275" s="339"/>
      <c r="C275" s="182" t="s">
        <v>94</v>
      </c>
      <c r="D275" s="261" t="s">
        <v>95</v>
      </c>
      <c r="E275" s="69">
        <v>210</v>
      </c>
      <c r="F275" s="589"/>
      <c r="G275" s="69"/>
      <c r="H275" s="226"/>
      <c r="I275" s="1202"/>
    </row>
    <row r="276" spans="1:9" ht="24.75" customHeight="1">
      <c r="A276" s="301"/>
      <c r="B276" s="28">
        <v>80114</v>
      </c>
      <c r="C276" s="177"/>
      <c r="D276" s="277" t="s">
        <v>456</v>
      </c>
      <c r="E276" s="105">
        <f>SUM(E277:E280)</f>
        <v>149300</v>
      </c>
      <c r="F276" s="589"/>
      <c r="G276" s="105">
        <f>SUM(G277:G280)</f>
        <v>143600</v>
      </c>
      <c r="H276" s="589"/>
      <c r="I276" s="1202">
        <f t="shared" si="6"/>
        <v>96.18218352310784</v>
      </c>
    </row>
    <row r="277" spans="1:9" ht="66.75" customHeight="1">
      <c r="A277" s="300"/>
      <c r="B277" s="19"/>
      <c r="C277" s="182" t="s">
        <v>433</v>
      </c>
      <c r="D277" s="261" t="s">
        <v>126</v>
      </c>
      <c r="E277" s="55">
        <v>145000</v>
      </c>
      <c r="F277" s="589"/>
      <c r="G277" s="55">
        <v>140000</v>
      </c>
      <c r="H277" s="589"/>
      <c r="I277" s="340">
        <f t="shared" si="6"/>
        <v>96.55172413793103</v>
      </c>
    </row>
    <row r="278" spans="1:9" ht="20.25" customHeight="1">
      <c r="A278" s="300"/>
      <c r="B278" s="54"/>
      <c r="C278" s="183" t="s">
        <v>131</v>
      </c>
      <c r="D278" s="261" t="s">
        <v>342</v>
      </c>
      <c r="E278" s="55">
        <v>300</v>
      </c>
      <c r="F278" s="589"/>
      <c r="G278" s="55">
        <v>100</v>
      </c>
      <c r="H278" s="589"/>
      <c r="I278" s="340">
        <f t="shared" si="6"/>
        <v>33.33333333333333</v>
      </c>
    </row>
    <row r="279" spans="1:9" ht="24.75" customHeight="1">
      <c r="A279" s="300"/>
      <c r="B279" s="54"/>
      <c r="C279" s="178" t="s">
        <v>550</v>
      </c>
      <c r="D279" s="261" t="s">
        <v>551</v>
      </c>
      <c r="E279" s="55">
        <v>3500</v>
      </c>
      <c r="F279" s="589"/>
      <c r="G279" s="55">
        <v>3000</v>
      </c>
      <c r="H279" s="589"/>
      <c r="I279" s="340">
        <f t="shared" si="6"/>
        <v>85.71428571428571</v>
      </c>
    </row>
    <row r="280" spans="1:9" ht="18.75" customHeight="1">
      <c r="A280" s="300"/>
      <c r="B280" s="6"/>
      <c r="C280" s="182" t="s">
        <v>94</v>
      </c>
      <c r="D280" s="261" t="s">
        <v>95</v>
      </c>
      <c r="E280" s="55">
        <v>500</v>
      </c>
      <c r="F280" s="589"/>
      <c r="G280" s="55">
        <v>500</v>
      </c>
      <c r="H280" s="589"/>
      <c r="I280" s="340">
        <f t="shared" si="6"/>
        <v>100</v>
      </c>
    </row>
    <row r="281" spans="1:15" s="56" customFormat="1" ht="21.75" customHeight="1">
      <c r="A281" s="294"/>
      <c r="B281" s="33">
        <v>80120</v>
      </c>
      <c r="C281" s="177"/>
      <c r="D281" s="314" t="s">
        <v>371</v>
      </c>
      <c r="E281" s="105">
        <f>SUM(E282:E285)</f>
        <v>117220</v>
      </c>
      <c r="F281" s="592"/>
      <c r="G281" s="105">
        <f>SUM(G282:G285)</f>
        <v>101946</v>
      </c>
      <c r="H281" s="592"/>
      <c r="I281" s="340">
        <f t="shared" si="6"/>
        <v>86.96980037536257</v>
      </c>
      <c r="K281" s="238"/>
      <c r="L281" s="238"/>
      <c r="M281" s="238"/>
      <c r="N281" s="238"/>
      <c r="O281" s="238"/>
    </row>
    <row r="282" spans="1:15" s="56" customFormat="1" ht="21.75" customHeight="1">
      <c r="A282" s="297"/>
      <c r="B282" s="34"/>
      <c r="C282" s="182" t="s">
        <v>427</v>
      </c>
      <c r="D282" s="261" t="s">
        <v>428</v>
      </c>
      <c r="E282" s="69">
        <v>1200</v>
      </c>
      <c r="F282" s="592"/>
      <c r="G282" s="69">
        <v>1000</v>
      </c>
      <c r="H282" s="592"/>
      <c r="I282" s="340">
        <f t="shared" si="6"/>
        <v>83.33333333333334</v>
      </c>
      <c r="K282" s="238"/>
      <c r="L282" s="238"/>
      <c r="M282" s="238"/>
      <c r="N282" s="238"/>
      <c r="O282" s="238"/>
    </row>
    <row r="283" spans="1:9" ht="61.5" customHeight="1">
      <c r="A283" s="298"/>
      <c r="B283" s="8"/>
      <c r="C283" s="182" t="s">
        <v>433</v>
      </c>
      <c r="D283" s="261" t="s">
        <v>126</v>
      </c>
      <c r="E283" s="55">
        <v>90000</v>
      </c>
      <c r="F283" s="589"/>
      <c r="G283" s="55">
        <v>82466</v>
      </c>
      <c r="H283" s="589"/>
      <c r="I283" s="340">
        <f t="shared" si="6"/>
        <v>91.6288888888889</v>
      </c>
    </row>
    <row r="284" spans="1:9" ht="21.75" customHeight="1">
      <c r="A284" s="298"/>
      <c r="B284" s="8"/>
      <c r="C284" s="183" t="s">
        <v>131</v>
      </c>
      <c r="D284" s="261" t="s">
        <v>342</v>
      </c>
      <c r="E284" s="55">
        <v>20</v>
      </c>
      <c r="F284" s="589"/>
      <c r="G284" s="55">
        <v>0</v>
      </c>
      <c r="H284" s="589"/>
      <c r="I284" s="340"/>
    </row>
    <row r="285" spans="1:9" ht="21.75" customHeight="1">
      <c r="A285" s="298"/>
      <c r="B285" s="2"/>
      <c r="C285" s="182" t="s">
        <v>94</v>
      </c>
      <c r="D285" s="261" t="s">
        <v>95</v>
      </c>
      <c r="E285" s="55">
        <v>26000</v>
      </c>
      <c r="F285" s="589"/>
      <c r="G285" s="55">
        <v>18480</v>
      </c>
      <c r="H285" s="589"/>
      <c r="I285" s="340">
        <f t="shared" si="6"/>
        <v>71.07692307692308</v>
      </c>
    </row>
    <row r="286" spans="1:9" ht="21.75" customHeight="1">
      <c r="A286" s="298"/>
      <c r="B286" s="25">
        <v>80123</v>
      </c>
      <c r="C286" s="24"/>
      <c r="D286" s="277" t="s">
        <v>616</v>
      </c>
      <c r="E286" s="104">
        <f>E287</f>
        <v>100</v>
      </c>
      <c r="F286" s="592"/>
      <c r="G286" s="104">
        <f>G287</f>
        <v>0</v>
      </c>
      <c r="H286" s="592"/>
      <c r="I286" s="340"/>
    </row>
    <row r="287" spans="1:9" ht="19.5" customHeight="1">
      <c r="A287" s="298"/>
      <c r="B287" s="3"/>
      <c r="C287" s="182" t="s">
        <v>427</v>
      </c>
      <c r="D287" s="261" t="s">
        <v>428</v>
      </c>
      <c r="E287" s="55">
        <v>100</v>
      </c>
      <c r="F287" s="589"/>
      <c r="G287" s="55">
        <v>0</v>
      </c>
      <c r="H287" s="589"/>
      <c r="I287" s="340"/>
    </row>
    <row r="288" spans="1:9" ht="24.75" customHeight="1">
      <c r="A288" s="295"/>
      <c r="B288" s="39">
        <v>80130</v>
      </c>
      <c r="C288" s="171"/>
      <c r="D288" s="277" t="s">
        <v>372</v>
      </c>
      <c r="E288" s="104">
        <f>SUM(E289:E295)</f>
        <v>365868</v>
      </c>
      <c r="F288" s="592"/>
      <c r="G288" s="104">
        <f>SUM(G289:G295)</f>
        <v>376295</v>
      </c>
      <c r="H288" s="592"/>
      <c r="I288" s="340">
        <f aca="true" t="shared" si="7" ref="I288:I355">G288/E288*100</f>
        <v>102.84993494921666</v>
      </c>
    </row>
    <row r="289" spans="1:9" ht="21.75" customHeight="1">
      <c r="A289" s="295"/>
      <c r="B289" s="33"/>
      <c r="C289" s="182" t="s">
        <v>427</v>
      </c>
      <c r="D289" s="261" t="s">
        <v>428</v>
      </c>
      <c r="E289" s="55">
        <v>4372</v>
      </c>
      <c r="F289" s="592"/>
      <c r="G289" s="55">
        <v>4388</v>
      </c>
      <c r="H289" s="592"/>
      <c r="I289" s="340">
        <f t="shared" si="7"/>
        <v>100.36596523330283</v>
      </c>
    </row>
    <row r="290" spans="1:9" ht="61.5" customHeight="1">
      <c r="A290" s="295"/>
      <c r="B290" s="18"/>
      <c r="C290" s="182" t="s">
        <v>433</v>
      </c>
      <c r="D290" s="261" t="s">
        <v>126</v>
      </c>
      <c r="E290" s="55">
        <v>270000</v>
      </c>
      <c r="F290" s="589"/>
      <c r="G290" s="55">
        <v>302631</v>
      </c>
      <c r="H290" s="589"/>
      <c r="I290" s="340">
        <f t="shared" si="7"/>
        <v>112.08555555555554</v>
      </c>
    </row>
    <row r="291" spans="1:9" ht="17.25" customHeight="1">
      <c r="A291" s="295"/>
      <c r="B291" s="18"/>
      <c r="C291" s="182" t="s">
        <v>430</v>
      </c>
      <c r="D291" s="261" t="s">
        <v>431</v>
      </c>
      <c r="E291" s="55">
        <v>500</v>
      </c>
      <c r="F291" s="589"/>
      <c r="G291" s="55">
        <v>300</v>
      </c>
      <c r="H291" s="589"/>
      <c r="I291" s="340"/>
    </row>
    <row r="292" spans="1:9" ht="17.25" customHeight="1">
      <c r="A292" s="295"/>
      <c r="B292" s="18"/>
      <c r="C292" s="183" t="s">
        <v>131</v>
      </c>
      <c r="D292" s="261" t="s">
        <v>342</v>
      </c>
      <c r="E292" s="55">
        <v>500</v>
      </c>
      <c r="F292" s="589"/>
      <c r="G292" s="55"/>
      <c r="H292" s="589"/>
      <c r="I292" s="340"/>
    </row>
    <row r="293" spans="1:9" ht="25.5" customHeight="1">
      <c r="A293" s="295"/>
      <c r="B293" s="18"/>
      <c r="C293" s="178" t="s">
        <v>550</v>
      </c>
      <c r="D293" s="261" t="s">
        <v>551</v>
      </c>
      <c r="E293" s="55">
        <v>6000</v>
      </c>
      <c r="F293" s="589"/>
      <c r="G293" s="55"/>
      <c r="H293" s="589"/>
      <c r="I293" s="340"/>
    </row>
    <row r="294" spans="1:9" ht="19.5" customHeight="1">
      <c r="A294" s="295"/>
      <c r="B294" s="18"/>
      <c r="C294" s="182" t="s">
        <v>94</v>
      </c>
      <c r="D294" s="261" t="s">
        <v>95</v>
      </c>
      <c r="E294" s="55">
        <v>82000</v>
      </c>
      <c r="F294" s="589"/>
      <c r="G294" s="55">
        <v>68976</v>
      </c>
      <c r="H294" s="589"/>
      <c r="I294" s="340">
        <f t="shared" si="7"/>
        <v>84.1170731707317</v>
      </c>
    </row>
    <row r="295" spans="1:9" ht="50.25" customHeight="1">
      <c r="A295" s="295"/>
      <c r="B295" s="18"/>
      <c r="C295" s="182" t="s">
        <v>597</v>
      </c>
      <c r="D295" s="261" t="s">
        <v>445</v>
      </c>
      <c r="E295" s="55">
        <v>2496</v>
      </c>
      <c r="F295" s="589"/>
      <c r="G295" s="55">
        <v>0</v>
      </c>
      <c r="H295" s="589"/>
      <c r="I295" s="340"/>
    </row>
    <row r="296" spans="1:15" s="56" customFormat="1" ht="39" customHeight="1">
      <c r="A296" s="294"/>
      <c r="B296" s="28">
        <v>80140</v>
      </c>
      <c r="C296" s="171"/>
      <c r="D296" s="277" t="s">
        <v>618</v>
      </c>
      <c r="E296" s="104">
        <f>SUM(E297:E303)</f>
        <v>292505</v>
      </c>
      <c r="F296" s="592"/>
      <c r="G296" s="104">
        <f>SUM(G297:G303)</f>
        <v>237000</v>
      </c>
      <c r="H296" s="592"/>
      <c r="I296" s="340">
        <f t="shared" si="7"/>
        <v>81.024255995624</v>
      </c>
      <c r="K296" s="238"/>
      <c r="L296" s="238"/>
      <c r="M296" s="238"/>
      <c r="N296" s="238"/>
      <c r="O296" s="238"/>
    </row>
    <row r="297" spans="1:15" s="56" customFormat="1" ht="19.5" customHeight="1">
      <c r="A297" s="297"/>
      <c r="B297" s="34"/>
      <c r="C297" s="182" t="s">
        <v>427</v>
      </c>
      <c r="D297" s="261" t="s">
        <v>428</v>
      </c>
      <c r="E297" s="55">
        <v>20950</v>
      </c>
      <c r="F297" s="592"/>
      <c r="G297" s="55">
        <v>50000</v>
      </c>
      <c r="H297" s="592"/>
      <c r="I297" s="340">
        <f t="shared" si="7"/>
        <v>238.6634844868735</v>
      </c>
      <c r="K297" s="238"/>
      <c r="L297" s="238"/>
      <c r="M297" s="238"/>
      <c r="N297" s="238"/>
      <c r="O297" s="238"/>
    </row>
    <row r="298" spans="1:15" s="56" customFormat="1" ht="60.75" customHeight="1">
      <c r="A298" s="297"/>
      <c r="B298" s="35"/>
      <c r="C298" s="182" t="s">
        <v>433</v>
      </c>
      <c r="D298" s="261" t="s">
        <v>126</v>
      </c>
      <c r="E298" s="55">
        <v>121200</v>
      </c>
      <c r="F298" s="592"/>
      <c r="G298" s="55">
        <v>95000</v>
      </c>
      <c r="H298" s="592"/>
      <c r="I298" s="340">
        <f t="shared" si="7"/>
        <v>78.38283828382838</v>
      </c>
      <c r="K298" s="238"/>
      <c r="L298" s="238"/>
      <c r="M298" s="238"/>
      <c r="N298" s="238"/>
      <c r="O298" s="238"/>
    </row>
    <row r="299" spans="1:9" ht="18.75" customHeight="1">
      <c r="A299" s="298"/>
      <c r="B299" s="8"/>
      <c r="C299" s="182" t="s">
        <v>430</v>
      </c>
      <c r="D299" s="261" t="s">
        <v>431</v>
      </c>
      <c r="E299" s="55">
        <v>80350</v>
      </c>
      <c r="F299" s="589"/>
      <c r="G299" s="55">
        <v>90500</v>
      </c>
      <c r="H299" s="589"/>
      <c r="I299" s="340">
        <f t="shared" si="7"/>
        <v>112.63223397635345</v>
      </c>
    </row>
    <row r="300" spans="1:9" ht="18" customHeight="1">
      <c r="A300" s="298"/>
      <c r="B300" s="8"/>
      <c r="C300" s="182" t="s">
        <v>15</v>
      </c>
      <c r="D300" s="261" t="s">
        <v>16</v>
      </c>
      <c r="E300" s="55">
        <v>37000</v>
      </c>
      <c r="F300" s="589"/>
      <c r="G300" s="55"/>
      <c r="H300" s="589"/>
      <c r="I300" s="340"/>
    </row>
    <row r="301" spans="1:9" ht="28.5" customHeight="1">
      <c r="A301" s="298"/>
      <c r="B301" s="8"/>
      <c r="C301" s="182" t="s">
        <v>468</v>
      </c>
      <c r="D301" s="337" t="s">
        <v>160</v>
      </c>
      <c r="E301" s="55">
        <v>5000</v>
      </c>
      <c r="F301" s="589"/>
      <c r="G301" s="55"/>
      <c r="H301" s="589"/>
      <c r="I301" s="340"/>
    </row>
    <row r="302" spans="1:9" ht="18" customHeight="1">
      <c r="A302" s="298"/>
      <c r="B302" s="8"/>
      <c r="C302" s="183" t="s">
        <v>131</v>
      </c>
      <c r="D302" s="261" t="s">
        <v>342</v>
      </c>
      <c r="E302" s="55">
        <v>5</v>
      </c>
      <c r="F302" s="589"/>
      <c r="G302" s="55"/>
      <c r="H302" s="589"/>
      <c r="I302" s="340"/>
    </row>
    <row r="303" spans="1:9" ht="17.25" customHeight="1">
      <c r="A303" s="298"/>
      <c r="B303" s="8"/>
      <c r="C303" s="182" t="s">
        <v>94</v>
      </c>
      <c r="D303" s="261" t="s">
        <v>95</v>
      </c>
      <c r="E303" s="55">
        <v>28000</v>
      </c>
      <c r="F303" s="589"/>
      <c r="G303" s="55">
        <v>1500</v>
      </c>
      <c r="H303" s="589"/>
      <c r="I303" s="340">
        <f t="shared" si="7"/>
        <v>5.357142857142857</v>
      </c>
    </row>
    <row r="304" spans="1:15" s="56" customFormat="1" ht="21.75" customHeight="1">
      <c r="A304" s="297"/>
      <c r="B304" s="25">
        <v>80145</v>
      </c>
      <c r="C304" s="171"/>
      <c r="D304" s="314" t="s">
        <v>17</v>
      </c>
      <c r="E304" s="104">
        <f>SUM(E305:E306)</f>
        <v>16500</v>
      </c>
      <c r="F304" s="592"/>
      <c r="G304" s="104">
        <f>SUM(G305:G306)</f>
        <v>12300</v>
      </c>
      <c r="H304" s="592"/>
      <c r="I304" s="340"/>
      <c r="K304" s="238"/>
      <c r="L304" s="238"/>
      <c r="M304" s="238"/>
      <c r="N304" s="238"/>
      <c r="O304" s="238"/>
    </row>
    <row r="305" spans="1:9" ht="18.75" customHeight="1">
      <c r="A305" s="298"/>
      <c r="B305" s="14"/>
      <c r="C305" s="182" t="s">
        <v>427</v>
      </c>
      <c r="D305" s="261" t="s">
        <v>428</v>
      </c>
      <c r="E305" s="55">
        <v>3500</v>
      </c>
      <c r="F305" s="589"/>
      <c r="G305" s="55">
        <v>0</v>
      </c>
      <c r="H305" s="589"/>
      <c r="I305" s="340"/>
    </row>
    <row r="306" spans="1:9" ht="18" customHeight="1">
      <c r="A306" s="298"/>
      <c r="B306" s="2"/>
      <c r="C306" s="182" t="s">
        <v>94</v>
      </c>
      <c r="D306" s="261" t="s">
        <v>95</v>
      </c>
      <c r="E306" s="55">
        <v>13000</v>
      </c>
      <c r="F306" s="589"/>
      <c r="G306" s="55">
        <v>12300</v>
      </c>
      <c r="H306" s="589"/>
      <c r="I306" s="340"/>
    </row>
    <row r="307" spans="1:15" s="56" customFormat="1" ht="26.25" customHeight="1">
      <c r="A307" s="294"/>
      <c r="B307" s="33">
        <v>80146</v>
      </c>
      <c r="C307" s="177"/>
      <c r="D307" s="314" t="s">
        <v>675</v>
      </c>
      <c r="E307" s="105">
        <f>SUM(E308:E310)</f>
        <v>542780</v>
      </c>
      <c r="F307" s="592"/>
      <c r="G307" s="105">
        <f>SUM(G308:G310)</f>
        <v>575490</v>
      </c>
      <c r="H307" s="592"/>
      <c r="I307" s="340">
        <f t="shared" si="7"/>
        <v>106.02638269648845</v>
      </c>
      <c r="K307" s="238"/>
      <c r="L307" s="238"/>
      <c r="M307" s="238"/>
      <c r="N307" s="238"/>
      <c r="O307" s="238"/>
    </row>
    <row r="308" spans="1:9" ht="20.25" customHeight="1">
      <c r="A308" s="298"/>
      <c r="B308" s="14"/>
      <c r="C308" s="182" t="s">
        <v>430</v>
      </c>
      <c r="D308" s="261" t="s">
        <v>431</v>
      </c>
      <c r="E308" s="55">
        <f>146000+396620</f>
        <v>542620</v>
      </c>
      <c r="F308" s="589"/>
      <c r="G308" s="55">
        <v>575490</v>
      </c>
      <c r="H308" s="589"/>
      <c r="I308" s="340">
        <f t="shared" si="7"/>
        <v>106.05764623493421</v>
      </c>
    </row>
    <row r="309" spans="1:9" ht="20.25" customHeight="1">
      <c r="A309" s="298"/>
      <c r="B309" s="8"/>
      <c r="C309" s="183" t="s">
        <v>131</v>
      </c>
      <c r="D309" s="261" t="s">
        <v>342</v>
      </c>
      <c r="E309" s="55">
        <v>100</v>
      </c>
      <c r="F309" s="589"/>
      <c r="G309" s="55"/>
      <c r="H309" s="589"/>
      <c r="I309" s="340"/>
    </row>
    <row r="310" spans="1:9" ht="20.25" customHeight="1">
      <c r="A310" s="298"/>
      <c r="B310" s="2"/>
      <c r="C310" s="182" t="s">
        <v>94</v>
      </c>
      <c r="D310" s="261" t="s">
        <v>95</v>
      </c>
      <c r="E310" s="55">
        <v>60</v>
      </c>
      <c r="F310" s="589"/>
      <c r="G310" s="55"/>
      <c r="H310" s="589"/>
      <c r="I310" s="340"/>
    </row>
    <row r="311" spans="1:15" s="56" customFormat="1" ht="22.5" customHeight="1">
      <c r="A311" s="297"/>
      <c r="B311" s="38">
        <v>80148</v>
      </c>
      <c r="C311" s="171"/>
      <c r="D311" s="314" t="s">
        <v>18</v>
      </c>
      <c r="E311" s="104">
        <f>SUM(E312:E314)</f>
        <v>225475</v>
      </c>
      <c r="F311" s="592"/>
      <c r="G311" s="104">
        <f>SUM(G312:G314)</f>
        <v>231069</v>
      </c>
      <c r="H311" s="592"/>
      <c r="I311" s="340">
        <f t="shared" si="7"/>
        <v>102.4809845880918</v>
      </c>
      <c r="K311" s="238"/>
      <c r="L311" s="238"/>
      <c r="M311" s="238"/>
      <c r="N311" s="238"/>
      <c r="O311" s="238"/>
    </row>
    <row r="312" spans="1:9" ht="22.5" customHeight="1">
      <c r="A312" s="298"/>
      <c r="B312" s="14"/>
      <c r="C312" s="182" t="s">
        <v>427</v>
      </c>
      <c r="D312" s="261" t="s">
        <v>428</v>
      </c>
      <c r="E312" s="55">
        <v>14000</v>
      </c>
      <c r="F312" s="589"/>
      <c r="G312" s="55">
        <v>14000</v>
      </c>
      <c r="H312" s="589"/>
      <c r="I312" s="340">
        <f t="shared" si="7"/>
        <v>100</v>
      </c>
    </row>
    <row r="313" spans="1:9" ht="20.25" customHeight="1">
      <c r="A313" s="298"/>
      <c r="B313" s="8"/>
      <c r="C313" s="182" t="s">
        <v>430</v>
      </c>
      <c r="D313" s="261" t="s">
        <v>431</v>
      </c>
      <c r="E313" s="55">
        <v>204000</v>
      </c>
      <c r="F313" s="589"/>
      <c r="G313" s="55">
        <v>205818</v>
      </c>
      <c r="H313" s="589"/>
      <c r="I313" s="340">
        <f t="shared" si="7"/>
        <v>100.89117647058823</v>
      </c>
    </row>
    <row r="314" spans="1:9" ht="16.5" customHeight="1">
      <c r="A314" s="298"/>
      <c r="B314" s="2"/>
      <c r="C314" s="182" t="s">
        <v>94</v>
      </c>
      <c r="D314" s="261" t="s">
        <v>95</v>
      </c>
      <c r="E314" s="55">
        <v>7475</v>
      </c>
      <c r="F314" s="589"/>
      <c r="G314" s="55">
        <v>11251</v>
      </c>
      <c r="H314" s="589"/>
      <c r="I314" s="340">
        <f t="shared" si="7"/>
        <v>150.51505016722408</v>
      </c>
    </row>
    <row r="315" spans="1:15" s="56" customFormat="1" ht="21" customHeight="1">
      <c r="A315" s="294"/>
      <c r="B315" s="39">
        <v>80195</v>
      </c>
      <c r="C315" s="177"/>
      <c r="D315" s="314" t="s">
        <v>143</v>
      </c>
      <c r="E315" s="105">
        <f>SUM(E316:E317)</f>
        <v>343177.42</v>
      </c>
      <c r="F315" s="592"/>
      <c r="G315" s="105">
        <f>SUM(G316:G317)</f>
        <v>285151.6</v>
      </c>
      <c r="H315" s="592"/>
      <c r="I315" s="340"/>
      <c r="K315" s="238"/>
      <c r="L315" s="238"/>
      <c r="M315" s="238"/>
      <c r="N315" s="238"/>
      <c r="O315" s="238"/>
    </row>
    <row r="316" spans="1:15" s="56" customFormat="1" ht="21" customHeight="1">
      <c r="A316" s="294"/>
      <c r="B316" s="30"/>
      <c r="C316" s="178" t="s">
        <v>94</v>
      </c>
      <c r="D316" s="261" t="s">
        <v>95</v>
      </c>
      <c r="E316" s="69">
        <v>3500</v>
      </c>
      <c r="F316" s="592"/>
      <c r="G316" s="105">
        <v>0</v>
      </c>
      <c r="H316" s="592"/>
      <c r="I316" s="340"/>
      <c r="K316" s="238"/>
      <c r="L316" s="238"/>
      <c r="M316" s="238"/>
      <c r="N316" s="238"/>
      <c r="O316" s="238"/>
    </row>
    <row r="317" spans="1:9" ht="49.5" customHeight="1">
      <c r="A317" s="180"/>
      <c r="B317" s="10"/>
      <c r="C317" s="178">
        <v>2701</v>
      </c>
      <c r="D317" s="261" t="s">
        <v>445</v>
      </c>
      <c r="E317" s="55">
        <v>339677.42</v>
      </c>
      <c r="F317" s="589"/>
      <c r="G317" s="55">
        <v>285151.6</v>
      </c>
      <c r="H317" s="589"/>
      <c r="I317" s="340"/>
    </row>
    <row r="318" spans="1:9" ht="24" customHeight="1">
      <c r="A318" s="169">
        <v>852</v>
      </c>
      <c r="B318" s="12"/>
      <c r="C318" s="169"/>
      <c r="D318" s="273" t="s">
        <v>378</v>
      </c>
      <c r="E318" s="36">
        <f>E319+E322+E330+E335</f>
        <v>4559219</v>
      </c>
      <c r="F318" s="343">
        <f>F319+F322+F330+F335</f>
        <v>0</v>
      </c>
      <c r="G318" s="36">
        <f>G319+G322+G330+G335</f>
        <v>4473589</v>
      </c>
      <c r="H318" s="343">
        <f>H319+H322+H330+H335</f>
        <v>0</v>
      </c>
      <c r="I318" s="340">
        <f t="shared" si="7"/>
        <v>98.12182744456891</v>
      </c>
    </row>
    <row r="319" spans="1:15" s="56" customFormat="1" ht="22.5" customHeight="1">
      <c r="A319" s="294"/>
      <c r="B319" s="25">
        <v>85201</v>
      </c>
      <c r="C319" s="177"/>
      <c r="D319" s="314" t="s">
        <v>531</v>
      </c>
      <c r="E319" s="161">
        <f>SUM(E320:E321)</f>
        <v>127300</v>
      </c>
      <c r="F319" s="590"/>
      <c r="G319" s="161">
        <f>SUM(G320:G321)</f>
        <v>120600</v>
      </c>
      <c r="H319" s="590"/>
      <c r="I319" s="340">
        <f t="shared" si="7"/>
        <v>94.73684210526315</v>
      </c>
      <c r="K319" s="238"/>
      <c r="L319" s="238"/>
      <c r="M319" s="238"/>
      <c r="N319" s="238"/>
      <c r="O319" s="238"/>
    </row>
    <row r="320" spans="1:9" ht="18.75" customHeight="1">
      <c r="A320" s="298"/>
      <c r="B320" s="8"/>
      <c r="C320" s="182" t="s">
        <v>94</v>
      </c>
      <c r="D320" s="261" t="s">
        <v>95</v>
      </c>
      <c r="E320" s="55">
        <v>5300</v>
      </c>
      <c r="F320" s="589"/>
      <c r="G320" s="55">
        <v>600</v>
      </c>
      <c r="H320" s="589"/>
      <c r="I320" s="340">
        <f t="shared" si="7"/>
        <v>11.320754716981133</v>
      </c>
    </row>
    <row r="321" spans="1:9" ht="48" customHeight="1">
      <c r="A321" s="298"/>
      <c r="B321" s="2"/>
      <c r="C321" s="183">
        <v>2320</v>
      </c>
      <c r="D321" s="315" t="s">
        <v>534</v>
      </c>
      <c r="E321" s="55">
        <v>122000</v>
      </c>
      <c r="F321" s="589"/>
      <c r="G321" s="55">
        <v>120000</v>
      </c>
      <c r="H321" s="589"/>
      <c r="I321" s="340">
        <f t="shared" si="7"/>
        <v>98.36065573770492</v>
      </c>
    </row>
    <row r="322" spans="1:15" s="56" customFormat="1" ht="25.5" customHeight="1">
      <c r="A322" s="294"/>
      <c r="B322" s="38">
        <v>85202</v>
      </c>
      <c r="C322" s="177"/>
      <c r="D322" s="314" t="s">
        <v>532</v>
      </c>
      <c r="E322" s="104">
        <f>SUM(E323:E329)</f>
        <v>4256465</v>
      </c>
      <c r="F322" s="592"/>
      <c r="G322" s="104">
        <f>SUM(G323:G329)</f>
        <v>4192889</v>
      </c>
      <c r="H322" s="592"/>
      <c r="I322" s="340">
        <f t="shared" si="7"/>
        <v>98.50636619824196</v>
      </c>
      <c r="K322" s="238"/>
      <c r="L322" s="238"/>
      <c r="M322" s="238"/>
      <c r="N322" s="238"/>
      <c r="O322" s="238"/>
    </row>
    <row r="323" spans="1:15" s="56" customFormat="1" ht="25.5" customHeight="1">
      <c r="A323" s="294"/>
      <c r="B323" s="33"/>
      <c r="C323" s="178" t="s">
        <v>134</v>
      </c>
      <c r="D323" s="261" t="s">
        <v>604</v>
      </c>
      <c r="E323" s="55">
        <v>500</v>
      </c>
      <c r="F323" s="589"/>
      <c r="G323" s="55">
        <v>0</v>
      </c>
      <c r="H323" s="592"/>
      <c r="I323" s="340"/>
      <c r="K323" s="238"/>
      <c r="L323" s="238"/>
      <c r="M323" s="238"/>
      <c r="N323" s="238"/>
      <c r="O323" s="238"/>
    </row>
    <row r="324" spans="1:9" ht="58.5" customHeight="1">
      <c r="A324" s="295"/>
      <c r="B324" s="18"/>
      <c r="C324" s="182" t="s">
        <v>433</v>
      </c>
      <c r="D324" s="261" t="s">
        <v>89</v>
      </c>
      <c r="E324" s="55">
        <v>4796</v>
      </c>
      <c r="F324" s="589"/>
      <c r="G324" s="55">
        <v>4796</v>
      </c>
      <c r="H324" s="589"/>
      <c r="I324" s="340">
        <f t="shared" si="7"/>
        <v>100</v>
      </c>
    </row>
    <row r="325" spans="1:9" ht="20.25" customHeight="1">
      <c r="A325" s="295"/>
      <c r="B325" s="18"/>
      <c r="C325" s="182" t="s">
        <v>430</v>
      </c>
      <c r="D325" s="261" t="s">
        <v>431</v>
      </c>
      <c r="E325" s="55">
        <f>263000+3185680</f>
        <v>3448680</v>
      </c>
      <c r="F325" s="589"/>
      <c r="G325" s="55">
        <f>3185680+280000</f>
        <v>3465680</v>
      </c>
      <c r="H325" s="589"/>
      <c r="I325" s="340">
        <f t="shared" si="7"/>
        <v>100.49294222717097</v>
      </c>
    </row>
    <row r="326" spans="1:9" ht="19.5" customHeight="1">
      <c r="A326" s="295"/>
      <c r="B326" s="18"/>
      <c r="C326" s="182" t="s">
        <v>468</v>
      </c>
      <c r="D326" s="261" t="s">
        <v>659</v>
      </c>
      <c r="E326" s="55">
        <v>33300</v>
      </c>
      <c r="F326" s="589"/>
      <c r="G326" s="55"/>
      <c r="H326" s="589"/>
      <c r="I326" s="340"/>
    </row>
    <row r="327" spans="1:9" ht="20.25" customHeight="1">
      <c r="A327" s="295"/>
      <c r="B327" s="18"/>
      <c r="C327" s="178" t="s">
        <v>131</v>
      </c>
      <c r="D327" s="261" t="s">
        <v>342</v>
      </c>
      <c r="E327" s="55">
        <v>550</v>
      </c>
      <c r="F327" s="589"/>
      <c r="G327" s="55">
        <v>550</v>
      </c>
      <c r="H327" s="589"/>
      <c r="I327" s="340">
        <f t="shared" si="7"/>
        <v>100</v>
      </c>
    </row>
    <row r="328" spans="1:9" ht="22.5" customHeight="1">
      <c r="A328" s="295"/>
      <c r="B328" s="18"/>
      <c r="C328" s="182" t="s">
        <v>94</v>
      </c>
      <c r="D328" s="261" t="s">
        <v>95</v>
      </c>
      <c r="E328" s="55">
        <v>1800</v>
      </c>
      <c r="F328" s="589"/>
      <c r="G328" s="55">
        <v>1800</v>
      </c>
      <c r="H328" s="589"/>
      <c r="I328" s="340">
        <f t="shared" si="7"/>
        <v>100</v>
      </c>
    </row>
    <row r="329" spans="1:9" ht="26.25" customHeight="1">
      <c r="A329" s="295"/>
      <c r="B329" s="18"/>
      <c r="C329" s="182">
        <v>2130</v>
      </c>
      <c r="D329" s="261" t="s">
        <v>533</v>
      </c>
      <c r="E329" s="55">
        <v>766839</v>
      </c>
      <c r="F329" s="589"/>
      <c r="G329" s="55">
        <v>720063</v>
      </c>
      <c r="H329" s="589"/>
      <c r="I329" s="340">
        <f t="shared" si="7"/>
        <v>93.90015374804881</v>
      </c>
    </row>
    <row r="330" spans="1:15" s="56" customFormat="1" ht="20.25" customHeight="1">
      <c r="A330" s="294"/>
      <c r="B330" s="25">
        <v>85204</v>
      </c>
      <c r="C330" s="171"/>
      <c r="D330" s="314" t="s">
        <v>601</v>
      </c>
      <c r="E330" s="104">
        <f>SUM(E331:E334)</f>
        <v>163454</v>
      </c>
      <c r="F330" s="592"/>
      <c r="G330" s="104">
        <f>SUM(G331:G334)</f>
        <v>160100</v>
      </c>
      <c r="H330" s="592"/>
      <c r="I330" s="340">
        <f t="shared" si="7"/>
        <v>97.94804654520539</v>
      </c>
      <c r="K330" s="238"/>
      <c r="L330" s="238"/>
      <c r="M330" s="238"/>
      <c r="N330" s="238"/>
      <c r="O330" s="238"/>
    </row>
    <row r="331" spans="1:15" s="56" customFormat="1" ht="20.25" customHeight="1">
      <c r="A331" s="294"/>
      <c r="B331" s="33"/>
      <c r="C331" s="178" t="s">
        <v>131</v>
      </c>
      <c r="D331" s="261" t="s">
        <v>342</v>
      </c>
      <c r="E331" s="55">
        <v>10</v>
      </c>
      <c r="F331" s="592"/>
      <c r="G331" s="55"/>
      <c r="H331" s="592"/>
      <c r="I331" s="340"/>
      <c r="K331" s="238"/>
      <c r="L331" s="238"/>
      <c r="M331" s="238"/>
      <c r="N331" s="238"/>
      <c r="O331" s="238"/>
    </row>
    <row r="332" spans="1:15" s="56" customFormat="1" ht="20.25" customHeight="1">
      <c r="A332" s="294"/>
      <c r="B332" s="33"/>
      <c r="C332" s="182" t="s">
        <v>94</v>
      </c>
      <c r="D332" s="261" t="s">
        <v>95</v>
      </c>
      <c r="E332" s="55">
        <v>2000</v>
      </c>
      <c r="F332" s="592"/>
      <c r="G332" s="55">
        <v>2100</v>
      </c>
      <c r="H332" s="592"/>
      <c r="I332" s="340">
        <f t="shared" si="7"/>
        <v>105</v>
      </c>
      <c r="K332" s="238"/>
      <c r="L332" s="238"/>
      <c r="M332" s="238"/>
      <c r="N332" s="238"/>
      <c r="O332" s="238"/>
    </row>
    <row r="333" spans="1:15" s="56" customFormat="1" ht="27" customHeight="1">
      <c r="A333" s="294"/>
      <c r="B333" s="33"/>
      <c r="C333" s="182">
        <v>2130</v>
      </c>
      <c r="D333" s="261" t="s">
        <v>533</v>
      </c>
      <c r="E333" s="55">
        <v>7444</v>
      </c>
      <c r="F333" s="592"/>
      <c r="G333" s="55"/>
      <c r="H333" s="592"/>
      <c r="I333" s="340">
        <f t="shared" si="7"/>
        <v>0</v>
      </c>
      <c r="K333" s="238"/>
      <c r="L333" s="238"/>
      <c r="M333" s="238"/>
      <c r="N333" s="238"/>
      <c r="O333" s="238"/>
    </row>
    <row r="334" spans="1:9" ht="48" customHeight="1">
      <c r="A334" s="295"/>
      <c r="B334" s="18"/>
      <c r="C334" s="183">
        <v>2320</v>
      </c>
      <c r="D334" s="315" t="s">
        <v>534</v>
      </c>
      <c r="E334" s="55">
        <v>154000</v>
      </c>
      <c r="F334" s="589"/>
      <c r="G334" s="55">
        <v>158000</v>
      </c>
      <c r="H334" s="589"/>
      <c r="I334" s="340">
        <f t="shared" si="7"/>
        <v>102.59740259740259</v>
      </c>
    </row>
    <row r="335" spans="1:15" s="56" customFormat="1" ht="36" customHeight="1">
      <c r="A335" s="294"/>
      <c r="B335" s="25">
        <v>85220</v>
      </c>
      <c r="C335" s="25"/>
      <c r="D335" s="277" t="s">
        <v>684</v>
      </c>
      <c r="E335" s="104">
        <f>E336</f>
        <v>12000</v>
      </c>
      <c r="F335" s="592"/>
      <c r="G335" s="104">
        <f>G336</f>
        <v>0</v>
      </c>
      <c r="H335" s="592"/>
      <c r="I335" s="395"/>
      <c r="K335" s="238"/>
      <c r="L335" s="238"/>
      <c r="M335" s="238"/>
      <c r="N335" s="238"/>
      <c r="O335" s="238"/>
    </row>
    <row r="336" spans="1:9" ht="38.25" customHeight="1">
      <c r="A336" s="295"/>
      <c r="B336" s="18"/>
      <c r="C336" s="182">
        <v>2130</v>
      </c>
      <c r="D336" s="261" t="s">
        <v>533</v>
      </c>
      <c r="E336" s="55">
        <v>12000</v>
      </c>
      <c r="F336" s="589"/>
      <c r="G336" s="55"/>
      <c r="H336" s="589"/>
      <c r="I336" s="340"/>
    </row>
    <row r="337" spans="1:9" ht="23.25" customHeight="1">
      <c r="A337" s="169">
        <v>853</v>
      </c>
      <c r="B337" s="12"/>
      <c r="C337" s="169"/>
      <c r="D337" s="273" t="s">
        <v>401</v>
      </c>
      <c r="E337" s="36">
        <f>E338+E340+E343+E345</f>
        <v>1754789.6600000001</v>
      </c>
      <c r="F337" s="343">
        <f>F338+F340+F343+F345</f>
        <v>171147</v>
      </c>
      <c r="G337" s="36">
        <f>G338+G340+G343+G345</f>
        <v>762274</v>
      </c>
      <c r="H337" s="343">
        <f>H338+H340+H343+H345</f>
        <v>187707</v>
      </c>
      <c r="I337" s="340">
        <f t="shared" si="7"/>
        <v>43.43962227358919</v>
      </c>
    </row>
    <row r="338" spans="1:15" s="56" customFormat="1" ht="24.75" customHeight="1">
      <c r="A338" s="294"/>
      <c r="B338" s="28">
        <v>85311</v>
      </c>
      <c r="C338" s="186"/>
      <c r="D338" s="318" t="s">
        <v>346</v>
      </c>
      <c r="E338" s="104">
        <f>SUM(E339:E339)</f>
        <v>20000</v>
      </c>
      <c r="F338" s="592"/>
      <c r="G338" s="104">
        <f>SUM(G339:G339)</f>
        <v>20000</v>
      </c>
      <c r="H338" s="592"/>
      <c r="I338" s="340">
        <f t="shared" si="7"/>
        <v>100</v>
      </c>
      <c r="K338" s="238"/>
      <c r="L338" s="238"/>
      <c r="M338" s="238"/>
      <c r="N338" s="238"/>
      <c r="O338" s="238"/>
    </row>
    <row r="339" spans="1:9" ht="48.75" customHeight="1">
      <c r="A339" s="298"/>
      <c r="B339" s="14"/>
      <c r="C339" s="183">
        <v>2320</v>
      </c>
      <c r="D339" s="315" t="s">
        <v>534</v>
      </c>
      <c r="E339" s="55">
        <v>20000</v>
      </c>
      <c r="F339" s="589"/>
      <c r="G339" s="55">
        <v>20000</v>
      </c>
      <c r="H339" s="589"/>
      <c r="I339" s="340">
        <f t="shared" si="7"/>
        <v>100</v>
      </c>
    </row>
    <row r="340" spans="1:15" s="56" customFormat="1" ht="27" customHeight="1">
      <c r="A340" s="294"/>
      <c r="B340" s="25">
        <v>85321</v>
      </c>
      <c r="C340" s="177"/>
      <c r="D340" s="277" t="s">
        <v>535</v>
      </c>
      <c r="E340" s="104">
        <f>SUM(E341:E342)</f>
        <v>459230</v>
      </c>
      <c r="F340" s="596">
        <f>SUM(F341:F342)</f>
        <v>171147</v>
      </c>
      <c r="G340" s="104">
        <f>SUM(G341:G342)</f>
        <v>503262</v>
      </c>
      <c r="H340" s="596">
        <f>SUM(H341:H342)</f>
        <v>187707</v>
      </c>
      <c r="I340" s="340">
        <f t="shared" si="7"/>
        <v>109.58822376586896</v>
      </c>
      <c r="K340" s="238"/>
      <c r="L340" s="238"/>
      <c r="M340" s="238"/>
      <c r="N340" s="238"/>
      <c r="O340" s="238"/>
    </row>
    <row r="341" spans="1:11" ht="52.5" customHeight="1">
      <c r="A341" s="298"/>
      <c r="B341" s="14"/>
      <c r="C341" s="182">
        <v>2110</v>
      </c>
      <c r="D341" s="261" t="s">
        <v>556</v>
      </c>
      <c r="E341" s="55">
        <v>171147</v>
      </c>
      <c r="F341" s="330">
        <v>171147</v>
      </c>
      <c r="G341" s="55">
        <v>187707</v>
      </c>
      <c r="H341" s="330">
        <v>187707</v>
      </c>
      <c r="I341" s="340">
        <f t="shared" si="7"/>
        <v>109.67589265368368</v>
      </c>
      <c r="K341" s="58"/>
    </row>
    <row r="342" spans="1:9" ht="50.25" customHeight="1">
      <c r="A342" s="298"/>
      <c r="B342" s="2"/>
      <c r="C342" s="182">
        <v>2320</v>
      </c>
      <c r="D342" s="261" t="s">
        <v>534</v>
      </c>
      <c r="E342" s="55">
        <v>288083</v>
      </c>
      <c r="F342" s="589"/>
      <c r="G342" s="55">
        <f>180230+135325</f>
        <v>315555</v>
      </c>
      <c r="H342" s="589"/>
      <c r="I342" s="340">
        <f t="shared" si="7"/>
        <v>109.53614062613899</v>
      </c>
    </row>
    <row r="343" spans="1:15" s="56" customFormat="1" ht="26.25" customHeight="1">
      <c r="A343" s="294"/>
      <c r="B343" s="39">
        <v>85324</v>
      </c>
      <c r="C343" s="177"/>
      <c r="D343" s="314" t="s">
        <v>536</v>
      </c>
      <c r="E343" s="104">
        <f>E344</f>
        <v>85619</v>
      </c>
      <c r="F343" s="592"/>
      <c r="G343" s="104">
        <f>G344</f>
        <v>72232</v>
      </c>
      <c r="H343" s="592"/>
      <c r="I343" s="340">
        <f t="shared" si="7"/>
        <v>84.36445181560168</v>
      </c>
      <c r="K343" s="238"/>
      <c r="L343" s="238"/>
      <c r="M343" s="238"/>
      <c r="N343" s="238"/>
      <c r="O343" s="238"/>
    </row>
    <row r="344" spans="1:11" ht="22.5" customHeight="1">
      <c r="A344" s="295"/>
      <c r="B344" s="22"/>
      <c r="C344" s="178" t="s">
        <v>94</v>
      </c>
      <c r="D344" s="261" t="s">
        <v>95</v>
      </c>
      <c r="E344" s="55">
        <v>85619</v>
      </c>
      <c r="F344" s="589"/>
      <c r="G344" s="55">
        <v>72232</v>
      </c>
      <c r="H344" s="589"/>
      <c r="I344" s="340">
        <f t="shared" si="7"/>
        <v>84.36445181560168</v>
      </c>
      <c r="K344" s="58"/>
    </row>
    <row r="345" spans="1:15" s="56" customFormat="1" ht="23.25" customHeight="1">
      <c r="A345" s="294"/>
      <c r="B345" s="25">
        <v>85395</v>
      </c>
      <c r="C345" s="177"/>
      <c r="D345" s="314" t="s">
        <v>143</v>
      </c>
      <c r="E345" s="104">
        <f>SUM(E346:E347)</f>
        <v>1189940.6600000001</v>
      </c>
      <c r="F345" s="592"/>
      <c r="G345" s="104">
        <f>SUM(G346:G347)</f>
        <v>166780</v>
      </c>
      <c r="H345" s="592"/>
      <c r="I345" s="340">
        <f t="shared" si="7"/>
        <v>14.015824957187359</v>
      </c>
      <c r="K345" s="238"/>
      <c r="L345" s="238"/>
      <c r="M345" s="238"/>
      <c r="N345" s="238"/>
      <c r="O345" s="238"/>
    </row>
    <row r="346" spans="1:15" s="56" customFormat="1" ht="62.25" customHeight="1">
      <c r="A346" s="297"/>
      <c r="B346" s="35"/>
      <c r="C346" s="182">
        <v>2007</v>
      </c>
      <c r="D346" s="261" t="s">
        <v>99</v>
      </c>
      <c r="E346" s="79">
        <v>1133064.34</v>
      </c>
      <c r="F346" s="592"/>
      <c r="G346" s="79">
        <v>165580</v>
      </c>
      <c r="H346" s="592"/>
      <c r="I346" s="340">
        <f t="shared" si="7"/>
        <v>14.613468463759084</v>
      </c>
      <c r="K346" s="238"/>
      <c r="L346" s="238"/>
      <c r="M346" s="238"/>
      <c r="N346" s="238"/>
      <c r="O346" s="238"/>
    </row>
    <row r="347" spans="1:9" ht="61.5" customHeight="1">
      <c r="A347" s="298"/>
      <c r="B347" s="2"/>
      <c r="C347" s="182">
        <v>2009</v>
      </c>
      <c r="D347" s="261" t="s">
        <v>99</v>
      </c>
      <c r="E347" s="79">
        <v>56876.32</v>
      </c>
      <c r="F347" s="589"/>
      <c r="G347" s="79">
        <v>1200</v>
      </c>
      <c r="H347" s="589"/>
      <c r="I347" s="340">
        <f t="shared" si="7"/>
        <v>2.1098411430275377</v>
      </c>
    </row>
    <row r="348" spans="1:9" ht="23.25" customHeight="1">
      <c r="A348" s="169">
        <v>854</v>
      </c>
      <c r="B348" s="7"/>
      <c r="C348" s="169"/>
      <c r="D348" s="273" t="s">
        <v>354</v>
      </c>
      <c r="E348" s="36">
        <f>E349+E353+E359+E361+E367+E369</f>
        <v>786160</v>
      </c>
      <c r="F348" s="594"/>
      <c r="G348" s="36">
        <f>G349+G353+G359+G361+G367+G369</f>
        <v>822300</v>
      </c>
      <c r="H348" s="594"/>
      <c r="I348" s="340">
        <f t="shared" si="7"/>
        <v>104.59702859468811</v>
      </c>
    </row>
    <row r="349" spans="1:15" s="56" customFormat="1" ht="23.25" customHeight="1">
      <c r="A349" s="297"/>
      <c r="B349" s="34">
        <v>85401</v>
      </c>
      <c r="C349" s="177"/>
      <c r="D349" s="314" t="s">
        <v>692</v>
      </c>
      <c r="E349" s="29">
        <f>SUM(E350:E352)</f>
        <v>37570</v>
      </c>
      <c r="F349" s="601"/>
      <c r="G349" s="29">
        <f>SUM(G350:G352)</f>
        <v>38600</v>
      </c>
      <c r="H349" s="601"/>
      <c r="I349" s="340">
        <f t="shared" si="7"/>
        <v>102.74154910833111</v>
      </c>
      <c r="K349" s="238"/>
      <c r="L349" s="238"/>
      <c r="M349" s="238"/>
      <c r="N349" s="238"/>
      <c r="O349" s="238"/>
    </row>
    <row r="350" spans="1:9" ht="18.75" customHeight="1">
      <c r="A350" s="300"/>
      <c r="B350" s="19"/>
      <c r="C350" s="182" t="s">
        <v>430</v>
      </c>
      <c r="D350" s="261" t="s">
        <v>431</v>
      </c>
      <c r="E350" s="27">
        <v>37500</v>
      </c>
      <c r="F350" s="597"/>
      <c r="G350" s="27">
        <v>38600</v>
      </c>
      <c r="H350" s="597"/>
      <c r="I350" s="340">
        <f t="shared" si="7"/>
        <v>102.93333333333334</v>
      </c>
    </row>
    <row r="351" spans="1:9" ht="18.75" customHeight="1">
      <c r="A351" s="300"/>
      <c r="B351" s="54"/>
      <c r="C351" s="182" t="s">
        <v>131</v>
      </c>
      <c r="D351" s="261" t="s">
        <v>342</v>
      </c>
      <c r="E351" s="27">
        <v>50</v>
      </c>
      <c r="F351" s="597"/>
      <c r="G351" s="27"/>
      <c r="H351" s="597"/>
      <c r="I351" s="340"/>
    </row>
    <row r="352" spans="1:9" ht="18.75" customHeight="1">
      <c r="A352" s="300"/>
      <c r="B352" s="6"/>
      <c r="C352" s="178" t="s">
        <v>94</v>
      </c>
      <c r="D352" s="261" t="s">
        <v>95</v>
      </c>
      <c r="E352" s="27">
        <v>20</v>
      </c>
      <c r="F352" s="597"/>
      <c r="G352" s="27"/>
      <c r="H352" s="597"/>
      <c r="I352" s="340"/>
    </row>
    <row r="353" spans="1:9" ht="22.5" customHeight="1">
      <c r="A353" s="300"/>
      <c r="B353" s="38">
        <v>85403</v>
      </c>
      <c r="C353" s="177"/>
      <c r="D353" s="314" t="s">
        <v>612</v>
      </c>
      <c r="E353" s="29">
        <f>SUM(E354:E358)</f>
        <v>68660</v>
      </c>
      <c r="F353" s="597"/>
      <c r="G353" s="29">
        <f>SUM(G354:G358)</f>
        <v>70600</v>
      </c>
      <c r="H353" s="597"/>
      <c r="I353" s="340">
        <f t="shared" si="7"/>
        <v>102.82551704048937</v>
      </c>
    </row>
    <row r="354" spans="1:9" ht="24" customHeight="1">
      <c r="A354" s="300"/>
      <c r="B354" s="34"/>
      <c r="C354" s="182" t="s">
        <v>427</v>
      </c>
      <c r="D354" s="261" t="s">
        <v>428</v>
      </c>
      <c r="E354" s="27">
        <v>420</v>
      </c>
      <c r="F354" s="597"/>
      <c r="G354" s="27">
        <v>430</v>
      </c>
      <c r="H354" s="597"/>
      <c r="I354" s="340">
        <f t="shared" si="7"/>
        <v>102.38095238095238</v>
      </c>
    </row>
    <row r="355" spans="1:9" ht="61.5" customHeight="1">
      <c r="A355" s="300"/>
      <c r="B355" s="54"/>
      <c r="C355" s="182" t="s">
        <v>433</v>
      </c>
      <c r="D355" s="261" t="s">
        <v>89</v>
      </c>
      <c r="E355" s="27">
        <v>12000</v>
      </c>
      <c r="F355" s="597"/>
      <c r="G355" s="27">
        <v>12310</v>
      </c>
      <c r="H355" s="597"/>
      <c r="I355" s="340">
        <f t="shared" si="7"/>
        <v>102.58333333333334</v>
      </c>
    </row>
    <row r="356" spans="1:9" ht="22.5" customHeight="1">
      <c r="A356" s="300"/>
      <c r="B356" s="54"/>
      <c r="C356" s="182" t="s">
        <v>430</v>
      </c>
      <c r="D356" s="261" t="s">
        <v>431</v>
      </c>
      <c r="E356" s="27">
        <v>41180</v>
      </c>
      <c r="F356" s="597"/>
      <c r="G356" s="27">
        <v>42410</v>
      </c>
      <c r="H356" s="597"/>
      <c r="I356" s="340">
        <f>G356/E356*100</f>
        <v>102.98688683827099</v>
      </c>
    </row>
    <row r="357" spans="1:9" ht="22.5" customHeight="1">
      <c r="A357" s="300"/>
      <c r="B357" s="54"/>
      <c r="C357" s="182" t="s">
        <v>131</v>
      </c>
      <c r="D357" s="261" t="s">
        <v>342</v>
      </c>
      <c r="E357" s="27">
        <v>60</v>
      </c>
      <c r="F357" s="597"/>
      <c r="G357" s="27"/>
      <c r="H357" s="597"/>
      <c r="I357" s="340"/>
    </row>
    <row r="358" spans="1:9" ht="23.25" customHeight="1">
      <c r="A358" s="300"/>
      <c r="B358" s="6"/>
      <c r="C358" s="182" t="s">
        <v>94</v>
      </c>
      <c r="D358" s="261" t="s">
        <v>95</v>
      </c>
      <c r="E358" s="27">
        <v>15000</v>
      </c>
      <c r="F358" s="597"/>
      <c r="G358" s="27">
        <v>15450</v>
      </c>
      <c r="H358" s="597"/>
      <c r="I358" s="340">
        <f>G358/E358*100</f>
        <v>103</v>
      </c>
    </row>
    <row r="359" spans="1:15" s="56" customFormat="1" ht="23.25" customHeight="1">
      <c r="A359" s="585"/>
      <c r="B359" s="25">
        <v>85406</v>
      </c>
      <c r="C359" s="25"/>
      <c r="D359" s="277" t="s">
        <v>694</v>
      </c>
      <c r="E359" s="29">
        <f>E360</f>
        <v>350</v>
      </c>
      <c r="F359" s="599"/>
      <c r="G359" s="29">
        <f>G360</f>
        <v>0</v>
      </c>
      <c r="H359" s="599"/>
      <c r="I359" s="395"/>
      <c r="K359" s="238"/>
      <c r="L359" s="238"/>
      <c r="M359" s="238"/>
      <c r="N359" s="238"/>
      <c r="O359" s="238"/>
    </row>
    <row r="360" spans="1:9" ht="23.25" customHeight="1">
      <c r="A360" s="300"/>
      <c r="B360" s="6"/>
      <c r="C360" s="182" t="s">
        <v>94</v>
      </c>
      <c r="D360" s="261" t="s">
        <v>95</v>
      </c>
      <c r="E360" s="27">
        <v>350</v>
      </c>
      <c r="F360" s="597"/>
      <c r="G360" s="27"/>
      <c r="H360" s="597"/>
      <c r="I360" s="340"/>
    </row>
    <row r="361" spans="1:15" s="56" customFormat="1" ht="24.75" customHeight="1">
      <c r="A361" s="297"/>
      <c r="B361" s="38">
        <v>85410</v>
      </c>
      <c r="C361" s="177"/>
      <c r="D361" s="314" t="s">
        <v>423</v>
      </c>
      <c r="E361" s="29">
        <f>SUM(E362:E366)</f>
        <v>551250</v>
      </c>
      <c r="F361" s="599"/>
      <c r="G361" s="29">
        <f>SUM(G362:G366)</f>
        <v>591100</v>
      </c>
      <c r="H361" s="599"/>
      <c r="I361" s="340">
        <f>G361/E361*100</f>
        <v>107.22902494331066</v>
      </c>
      <c r="K361" s="238"/>
      <c r="L361" s="238"/>
      <c r="M361" s="238"/>
      <c r="N361" s="238"/>
      <c r="O361" s="238"/>
    </row>
    <row r="362" spans="1:9" ht="22.5" customHeight="1">
      <c r="A362" s="298"/>
      <c r="B362" s="8"/>
      <c r="C362" s="183" t="s">
        <v>427</v>
      </c>
      <c r="D362" s="315" t="s">
        <v>428</v>
      </c>
      <c r="E362" s="27">
        <v>110000</v>
      </c>
      <c r="F362" s="597"/>
      <c r="G362" s="27">
        <v>110000</v>
      </c>
      <c r="H362" s="597"/>
      <c r="I362" s="340">
        <f>G362/E362*100</f>
        <v>100</v>
      </c>
    </row>
    <row r="363" spans="1:9" ht="59.25" customHeight="1">
      <c r="A363" s="298"/>
      <c r="B363" s="8"/>
      <c r="C363" s="182" t="s">
        <v>433</v>
      </c>
      <c r="D363" s="261" t="s">
        <v>89</v>
      </c>
      <c r="E363" s="27">
        <v>31000</v>
      </c>
      <c r="F363" s="597"/>
      <c r="G363" s="27">
        <v>31000</v>
      </c>
      <c r="H363" s="597"/>
      <c r="I363" s="340">
        <f>G363/E363*100</f>
        <v>100</v>
      </c>
    </row>
    <row r="364" spans="1:9" ht="18.75" customHeight="1">
      <c r="A364" s="298"/>
      <c r="B364" s="8"/>
      <c r="C364" s="182" t="s">
        <v>430</v>
      </c>
      <c r="D364" s="261" t="s">
        <v>431</v>
      </c>
      <c r="E364" s="27">
        <v>410000</v>
      </c>
      <c r="F364" s="597"/>
      <c r="G364" s="27">
        <v>450000</v>
      </c>
      <c r="H364" s="597"/>
      <c r="I364" s="340">
        <f>G364/E364*100</f>
        <v>109.75609756097562</v>
      </c>
    </row>
    <row r="365" spans="1:9" ht="18" customHeight="1">
      <c r="A365" s="298"/>
      <c r="B365" s="8"/>
      <c r="C365" s="182" t="s">
        <v>131</v>
      </c>
      <c r="D365" s="261" t="s">
        <v>342</v>
      </c>
      <c r="E365" s="27">
        <v>100</v>
      </c>
      <c r="F365" s="597"/>
      <c r="G365" s="27">
        <v>100</v>
      </c>
      <c r="H365" s="597"/>
      <c r="I365" s="340">
        <f>G365/E365*100</f>
        <v>100</v>
      </c>
    </row>
    <row r="366" spans="1:9" ht="18" customHeight="1">
      <c r="A366" s="298"/>
      <c r="B366" s="8"/>
      <c r="C366" s="182" t="s">
        <v>94</v>
      </c>
      <c r="D366" s="261" t="s">
        <v>95</v>
      </c>
      <c r="E366" s="27">
        <v>150</v>
      </c>
      <c r="F366" s="597"/>
      <c r="G366" s="27">
        <v>0</v>
      </c>
      <c r="H366" s="597"/>
      <c r="I366" s="340"/>
    </row>
    <row r="367" spans="1:9" ht="36.75" customHeight="1">
      <c r="A367" s="298"/>
      <c r="B367" s="25">
        <v>85412</v>
      </c>
      <c r="C367" s="177"/>
      <c r="D367" s="314" t="s">
        <v>135</v>
      </c>
      <c r="E367" s="29">
        <f>E368</f>
        <v>11690</v>
      </c>
      <c r="F367" s="597"/>
      <c r="G367" s="29">
        <f>G368</f>
        <v>12000</v>
      </c>
      <c r="H367" s="597"/>
      <c r="I367" s="340">
        <f aca="true" t="shared" si="8" ref="I367:I379">G367/E367*100</f>
        <v>102.65183917878528</v>
      </c>
    </row>
    <row r="368" spans="1:9" ht="17.25" customHeight="1">
      <c r="A368" s="298"/>
      <c r="B368" s="8"/>
      <c r="C368" s="182" t="s">
        <v>430</v>
      </c>
      <c r="D368" s="261" t="s">
        <v>431</v>
      </c>
      <c r="E368" s="27">
        <v>11690</v>
      </c>
      <c r="F368" s="597"/>
      <c r="G368" s="27">
        <v>12000</v>
      </c>
      <c r="H368" s="597"/>
      <c r="I368" s="340">
        <f t="shared" si="8"/>
        <v>102.65183917878528</v>
      </c>
    </row>
    <row r="369" spans="1:15" s="56" customFormat="1" ht="21" customHeight="1">
      <c r="A369" s="297"/>
      <c r="B369" s="25">
        <v>85417</v>
      </c>
      <c r="C369" s="171"/>
      <c r="D369" s="314" t="s">
        <v>424</v>
      </c>
      <c r="E369" s="29">
        <f>SUM(E370:E371)</f>
        <v>116640</v>
      </c>
      <c r="F369" s="599"/>
      <c r="G369" s="29">
        <f>SUM(G370:G371)</f>
        <v>110000</v>
      </c>
      <c r="H369" s="599"/>
      <c r="I369" s="340">
        <f t="shared" si="8"/>
        <v>94.30727023319616</v>
      </c>
      <c r="K369" s="238"/>
      <c r="L369" s="238"/>
      <c r="M369" s="238"/>
      <c r="N369" s="238"/>
      <c r="O369" s="238"/>
    </row>
    <row r="370" spans="1:9" ht="20.25" customHeight="1">
      <c r="A370" s="298"/>
      <c r="B370" s="8"/>
      <c r="C370" s="182" t="s">
        <v>430</v>
      </c>
      <c r="D370" s="261" t="s">
        <v>431</v>
      </c>
      <c r="E370" s="27">
        <v>100000</v>
      </c>
      <c r="F370" s="597"/>
      <c r="G370" s="27">
        <v>93000</v>
      </c>
      <c r="H370" s="597"/>
      <c r="I370" s="340">
        <f t="shared" si="8"/>
        <v>93</v>
      </c>
    </row>
    <row r="371" spans="1:9" ht="19.5" customHeight="1">
      <c r="A371" s="298"/>
      <c r="B371" s="8"/>
      <c r="C371" s="178" t="s">
        <v>94</v>
      </c>
      <c r="D371" s="261" t="s">
        <v>95</v>
      </c>
      <c r="E371" s="27">
        <v>16640</v>
      </c>
      <c r="F371" s="598"/>
      <c r="G371" s="27">
        <v>17000</v>
      </c>
      <c r="H371" s="598"/>
      <c r="I371" s="340">
        <f t="shared" si="8"/>
        <v>102.16346153846155</v>
      </c>
    </row>
    <row r="372" spans="1:9" ht="25.5" customHeight="1">
      <c r="A372" s="169">
        <v>900</v>
      </c>
      <c r="B372" s="11"/>
      <c r="C372" s="169"/>
      <c r="D372" s="273" t="s">
        <v>151</v>
      </c>
      <c r="E372" s="36">
        <f>E373</f>
        <v>1300000</v>
      </c>
      <c r="F372" s="591"/>
      <c r="G372" s="36">
        <f>G373</f>
        <v>1700000</v>
      </c>
      <c r="H372" s="591"/>
      <c r="I372" s="340">
        <f t="shared" si="8"/>
        <v>130.76923076923077</v>
      </c>
    </row>
    <row r="373" spans="1:9" ht="36" customHeight="1">
      <c r="A373" s="294"/>
      <c r="B373" s="25">
        <v>90019</v>
      </c>
      <c r="C373" s="177"/>
      <c r="D373" s="314" t="s">
        <v>419</v>
      </c>
      <c r="E373" s="104">
        <f>SUM(E374:E374)</f>
        <v>1300000</v>
      </c>
      <c r="F373" s="589"/>
      <c r="G373" s="104">
        <f>SUM(G374:G374)</f>
        <v>1700000</v>
      </c>
      <c r="H373" s="589"/>
      <c r="I373" s="340">
        <f t="shared" si="8"/>
        <v>130.76923076923077</v>
      </c>
    </row>
    <row r="374" spans="1:9" ht="18.75" customHeight="1">
      <c r="A374" s="298"/>
      <c r="B374" s="2"/>
      <c r="C374" s="182" t="s">
        <v>427</v>
      </c>
      <c r="D374" s="261" t="s">
        <v>428</v>
      </c>
      <c r="E374" s="55">
        <v>1300000</v>
      </c>
      <c r="F374" s="589"/>
      <c r="G374" s="55">
        <v>1700000</v>
      </c>
      <c r="H374" s="589"/>
      <c r="I374" s="340">
        <f t="shared" si="8"/>
        <v>130.76923076923077</v>
      </c>
    </row>
    <row r="375" spans="1:9" ht="23.25" customHeight="1">
      <c r="A375" s="169">
        <v>921</v>
      </c>
      <c r="B375" s="6"/>
      <c r="C375" s="169"/>
      <c r="D375" s="273" t="s">
        <v>537</v>
      </c>
      <c r="E375" s="36">
        <f>E376</f>
        <v>80000</v>
      </c>
      <c r="F375" s="589"/>
      <c r="G375" s="36">
        <f>G376</f>
        <v>80000</v>
      </c>
      <c r="H375" s="589"/>
      <c r="I375" s="340">
        <f t="shared" si="8"/>
        <v>100</v>
      </c>
    </row>
    <row r="376" spans="1:15" s="56" customFormat="1" ht="24" customHeight="1">
      <c r="A376" s="294"/>
      <c r="B376" s="25">
        <v>92116</v>
      </c>
      <c r="C376" s="177"/>
      <c r="D376" s="314" t="s">
        <v>402</v>
      </c>
      <c r="E376" s="104">
        <f>E377</f>
        <v>80000</v>
      </c>
      <c r="F376" s="592"/>
      <c r="G376" s="104">
        <f>G377</f>
        <v>80000</v>
      </c>
      <c r="H376" s="592"/>
      <c r="I376" s="340">
        <f t="shared" si="8"/>
        <v>100</v>
      </c>
      <c r="K376" s="238"/>
      <c r="L376" s="235"/>
      <c r="M376" s="235"/>
      <c r="N376" s="238"/>
      <c r="O376" s="238"/>
    </row>
    <row r="377" spans="1:14" ht="49.5" customHeight="1">
      <c r="A377" s="298"/>
      <c r="B377" s="2"/>
      <c r="C377" s="183">
        <v>2320</v>
      </c>
      <c r="D377" s="315" t="s">
        <v>534</v>
      </c>
      <c r="E377" s="55">
        <v>80000</v>
      </c>
      <c r="F377" s="589"/>
      <c r="G377" s="55">
        <v>80000</v>
      </c>
      <c r="H377" s="589"/>
      <c r="I377" s="340">
        <f t="shared" si="8"/>
        <v>100</v>
      </c>
      <c r="J377" s="53"/>
      <c r="K377" s="58"/>
      <c r="N377" s="58"/>
    </row>
    <row r="378" spans="1:14" ht="24" customHeight="1">
      <c r="A378" s="302" t="s">
        <v>538</v>
      </c>
      <c r="B378" s="5"/>
      <c r="C378" s="187"/>
      <c r="D378" s="320"/>
      <c r="E378" s="70">
        <f>E218+E221+E225+E229+E239+E247+E255+E264+E271+E318+E337+E348+E372+E375</f>
        <v>125961793.08</v>
      </c>
      <c r="F378" s="344">
        <f>F218+F221+F225+F229+F239+F247+F255+F264+F271+F318+F337+F348+F372+F375</f>
        <v>11188743</v>
      </c>
      <c r="G378" s="70">
        <f>G218+G221+G225+G229+G239+G247+G255+G264+G271+G318+G337+G348+G372+G375</f>
        <v>114388826.05</v>
      </c>
      <c r="H378" s="344">
        <f>H218+H221+H225+H229+H239+H247+H255+H264+H271+H318+H337+H348+H372+H375</f>
        <v>11340808</v>
      </c>
      <c r="I378" s="342">
        <f t="shared" si="8"/>
        <v>90.81231955578002</v>
      </c>
      <c r="J378" s="53"/>
      <c r="K378" s="231"/>
      <c r="L378" s="58"/>
      <c r="M378" s="58"/>
      <c r="N378" s="58"/>
    </row>
    <row r="379" spans="1:14" ht="21" customHeight="1">
      <c r="A379" s="303" t="s">
        <v>539</v>
      </c>
      <c r="B379" s="11"/>
      <c r="C379" s="169"/>
      <c r="D379" s="276"/>
      <c r="E379" s="70">
        <f>E216+E378</f>
        <v>405315004.54999995</v>
      </c>
      <c r="F379" s="603">
        <f>F216+F378</f>
        <v>33339788.99</v>
      </c>
      <c r="G379" s="70">
        <f>G216+G378</f>
        <v>394087064.51</v>
      </c>
      <c r="H379" s="603">
        <f>H216+H378</f>
        <v>31449756</v>
      </c>
      <c r="I379" s="342">
        <f t="shared" si="8"/>
        <v>97.22982373858432</v>
      </c>
      <c r="J379" s="53"/>
      <c r="K379" s="58"/>
      <c r="L379" s="58"/>
      <c r="M379" s="58"/>
      <c r="N379" s="58"/>
    </row>
    <row r="380" spans="1:14" ht="21" customHeight="1">
      <c r="A380" s="304"/>
      <c r="B380" s="21"/>
      <c r="C380" s="232"/>
      <c r="D380" s="321"/>
      <c r="E380" s="233"/>
      <c r="F380" s="346"/>
      <c r="G380" s="233"/>
      <c r="H380" s="346"/>
      <c r="I380" s="341"/>
      <c r="J380" s="53"/>
      <c r="K380" s="58"/>
      <c r="L380" s="58"/>
      <c r="M380" s="58"/>
      <c r="N380" s="58"/>
    </row>
  </sheetData>
  <sheetProtection/>
  <mergeCells count="6">
    <mergeCell ref="G9:H9"/>
    <mergeCell ref="E9:F9"/>
    <mergeCell ref="A9:A11"/>
    <mergeCell ref="B9:B11"/>
    <mergeCell ref="C9:C11"/>
    <mergeCell ref="D9:D1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699"/>
  <sheetViews>
    <sheetView zoomScale="130" zoomScaleNormal="130" zoomScalePageLayoutView="0" workbookViewId="0" topLeftCell="A1311">
      <selection activeCell="K15" sqref="K15"/>
    </sheetView>
  </sheetViews>
  <sheetFormatPr defaultColWidth="9.140625" defaultRowHeight="12.75"/>
  <cols>
    <col min="1" max="1" width="5.57421875" style="40" customWidth="1"/>
    <col min="2" max="2" width="6.7109375" style="40" customWidth="1"/>
    <col min="3" max="3" width="5.421875" style="93" customWidth="1"/>
    <col min="4" max="4" width="29.140625" style="61" customWidth="1"/>
    <col min="5" max="5" width="14.57421875" style="53" customWidth="1"/>
    <col min="6" max="6" width="11.421875" style="106" customWidth="1"/>
    <col min="7" max="7" width="14.28125" style="53" customWidth="1"/>
    <col min="8" max="8" width="11.421875" style="106" customWidth="1"/>
    <col min="9" max="9" width="6.00390625" style="58" customWidth="1"/>
    <col min="10" max="10" width="12.57421875" style="58" customWidth="1"/>
    <col min="11" max="11" width="14.00390625" style="58" customWidth="1"/>
    <col min="12" max="12" width="17.00390625" style="247" customWidth="1"/>
    <col min="13" max="13" width="17.421875" style="58" customWidth="1"/>
    <col min="14" max="14" width="13.140625" style="58" customWidth="1"/>
    <col min="15" max="15" width="13.421875" style="58" customWidth="1"/>
    <col min="16" max="16" width="12.28125" style="58" customWidth="1"/>
    <col min="17" max="19" width="9.140625" style="58" customWidth="1"/>
    <col min="20" max="25" width="9.140625" style="235" customWidth="1"/>
    <col min="26" max="16384" width="9.140625" style="40" customWidth="1"/>
  </cols>
  <sheetData>
    <row r="1" spans="5:7" ht="20.25">
      <c r="E1" s="266"/>
      <c r="G1" s="266" t="s">
        <v>725</v>
      </c>
    </row>
    <row r="4" spans="1:2" ht="12.75">
      <c r="A4" s="61"/>
      <c r="B4" s="61"/>
    </row>
    <row r="5" spans="1:4" ht="18.75">
      <c r="A5" s="93"/>
      <c r="B5" s="137" t="s">
        <v>121</v>
      </c>
      <c r="C5" s="138"/>
      <c r="D5" s="310"/>
    </row>
    <row r="6" spans="1:4" ht="18.75">
      <c r="A6" s="93"/>
      <c r="B6" s="137" t="s">
        <v>678</v>
      </c>
      <c r="C6" s="137"/>
      <c r="D6" s="310"/>
    </row>
    <row r="7" spans="1:4" ht="18.75">
      <c r="A7" s="93"/>
      <c r="B7" s="137"/>
      <c r="C7" s="137"/>
      <c r="D7" s="310"/>
    </row>
    <row r="8" spans="1:8" ht="12.75">
      <c r="A8" s="60"/>
      <c r="B8" s="139"/>
      <c r="C8" s="140"/>
      <c r="D8" s="270"/>
      <c r="F8" s="147"/>
      <c r="H8" s="147" t="s">
        <v>22</v>
      </c>
    </row>
    <row r="9" spans="1:9" ht="24.75" customHeight="1">
      <c r="A9" s="84"/>
      <c r="B9" s="84"/>
      <c r="C9" s="14"/>
      <c r="D9" s="311"/>
      <c r="E9" s="1236" t="s">
        <v>679</v>
      </c>
      <c r="F9" s="1247"/>
      <c r="G9" s="1236" t="s">
        <v>680</v>
      </c>
      <c r="H9" s="1237"/>
      <c r="I9" s="307"/>
    </row>
    <row r="10" spans="1:9" ht="15.75" customHeight="1">
      <c r="A10" s="66" t="s">
        <v>23</v>
      </c>
      <c r="B10" s="66" t="s">
        <v>24</v>
      </c>
      <c r="C10" s="66" t="s">
        <v>393</v>
      </c>
      <c r="D10" s="271" t="s">
        <v>394</v>
      </c>
      <c r="E10" s="142" t="s">
        <v>21</v>
      </c>
      <c r="F10" s="143" t="s">
        <v>708</v>
      </c>
      <c r="G10" s="142" t="s">
        <v>21</v>
      </c>
      <c r="H10" s="143" t="s">
        <v>708</v>
      </c>
      <c r="I10" s="89" t="s">
        <v>726</v>
      </c>
    </row>
    <row r="11" spans="1:9" ht="38.25" customHeight="1">
      <c r="A11" s="97"/>
      <c r="B11" s="97"/>
      <c r="C11" s="2"/>
      <c r="D11" s="415"/>
      <c r="E11" s="1223" t="s">
        <v>395</v>
      </c>
      <c r="F11" s="1224" t="s">
        <v>396</v>
      </c>
      <c r="G11" s="1223" t="s">
        <v>395</v>
      </c>
      <c r="H11" s="1224" t="s">
        <v>396</v>
      </c>
      <c r="I11" s="97" t="s">
        <v>681</v>
      </c>
    </row>
    <row r="12" spans="1:9" ht="23.25" customHeight="1">
      <c r="A12" s="4" t="s">
        <v>403</v>
      </c>
      <c r="B12" s="87"/>
      <c r="C12" s="5"/>
      <c r="D12" s="312"/>
      <c r="E12" s="44"/>
      <c r="F12" s="308"/>
      <c r="G12" s="44"/>
      <c r="H12" s="308"/>
      <c r="I12" s="289"/>
    </row>
    <row r="13" spans="1:9" ht="24" customHeight="1">
      <c r="A13" s="74" t="s">
        <v>390</v>
      </c>
      <c r="B13" s="74"/>
      <c r="C13" s="6"/>
      <c r="D13" s="317" t="s">
        <v>391</v>
      </c>
      <c r="E13" s="158">
        <f>E14+E16</f>
        <v>94563.99</v>
      </c>
      <c r="F13" s="158">
        <f>F14+F16</f>
        <v>87663.99</v>
      </c>
      <c r="G13" s="158">
        <f>G14+G16</f>
        <v>8000</v>
      </c>
      <c r="H13" s="158">
        <f>H14+H16</f>
        <v>0</v>
      </c>
      <c r="I13" s="330">
        <f>G13/E13*100</f>
        <v>8.459879918349468</v>
      </c>
    </row>
    <row r="14" spans="1:9" ht="20.25" customHeight="1">
      <c r="A14" s="115"/>
      <c r="B14" s="83" t="s">
        <v>404</v>
      </c>
      <c r="C14" s="38"/>
      <c r="D14" s="323" t="s">
        <v>405</v>
      </c>
      <c r="E14" s="29">
        <f>E15</f>
        <v>4400</v>
      </c>
      <c r="F14" s="110"/>
      <c r="G14" s="29">
        <f>G15</f>
        <v>5500</v>
      </c>
      <c r="H14" s="110"/>
      <c r="I14" s="330">
        <f>G14/E14*100</f>
        <v>125</v>
      </c>
    </row>
    <row r="15" spans="1:9" ht="39" customHeight="1">
      <c r="A15" s="89"/>
      <c r="B15" s="81"/>
      <c r="C15" s="9">
        <v>2850</v>
      </c>
      <c r="D15" s="272" t="s">
        <v>406</v>
      </c>
      <c r="E15" s="100">
        <v>4400</v>
      </c>
      <c r="F15" s="94"/>
      <c r="G15" s="100">
        <v>5500</v>
      </c>
      <c r="H15" s="94"/>
      <c r="I15" s="330"/>
    </row>
    <row r="16" spans="1:9" ht="20.25" customHeight="1">
      <c r="A16" s="118"/>
      <c r="B16" s="49" t="s">
        <v>392</v>
      </c>
      <c r="C16" s="25"/>
      <c r="D16" s="277" t="s">
        <v>143</v>
      </c>
      <c r="E16" s="29">
        <f>SUM(E17:E20)</f>
        <v>90163.99</v>
      </c>
      <c r="F16" s="104">
        <f>SUM(F17:F20)</f>
        <v>87663.99</v>
      </c>
      <c r="G16" s="104">
        <f>SUM(G17:G20)</f>
        <v>2500</v>
      </c>
      <c r="H16" s="104">
        <f>SUM(H17:H20)</f>
        <v>0</v>
      </c>
      <c r="I16" s="1067">
        <f>G16/E16*100</f>
        <v>2.7727255637200616</v>
      </c>
    </row>
    <row r="17" spans="1:9" ht="20.25" customHeight="1">
      <c r="A17" s="88"/>
      <c r="B17" s="89"/>
      <c r="C17" s="9">
        <v>4210</v>
      </c>
      <c r="D17" s="272" t="s">
        <v>411</v>
      </c>
      <c r="E17" s="55">
        <v>2044.68</v>
      </c>
      <c r="F17" s="114">
        <v>1044.68</v>
      </c>
      <c r="G17" s="114">
        <v>1000</v>
      </c>
      <c r="H17" s="144"/>
      <c r="I17" s="1067"/>
    </row>
    <row r="18" spans="1:9" ht="18" customHeight="1">
      <c r="A18" s="88"/>
      <c r="B18" s="89"/>
      <c r="C18" s="9">
        <v>4300</v>
      </c>
      <c r="D18" s="272" t="s">
        <v>408</v>
      </c>
      <c r="E18" s="55">
        <v>1674.23</v>
      </c>
      <c r="F18" s="114">
        <v>674.23</v>
      </c>
      <c r="G18" s="55">
        <v>1000</v>
      </c>
      <c r="H18" s="144"/>
      <c r="I18" s="597"/>
    </row>
    <row r="19" spans="1:9" ht="27" customHeight="1">
      <c r="A19" s="88"/>
      <c r="B19" s="89"/>
      <c r="C19" s="20">
        <v>4390</v>
      </c>
      <c r="D19" s="272" t="s">
        <v>154</v>
      </c>
      <c r="E19" s="55">
        <v>500</v>
      </c>
      <c r="F19" s="114"/>
      <c r="G19" s="55">
        <v>500</v>
      </c>
      <c r="H19" s="144"/>
      <c r="I19" s="597"/>
    </row>
    <row r="20" spans="1:9" ht="21.75" customHeight="1">
      <c r="A20" s="88"/>
      <c r="B20" s="97"/>
      <c r="C20" s="20">
        <v>4430</v>
      </c>
      <c r="D20" s="272" t="s">
        <v>518</v>
      </c>
      <c r="E20" s="55">
        <v>85945.08</v>
      </c>
      <c r="F20" s="114">
        <v>85945.08</v>
      </c>
      <c r="G20" s="114"/>
      <c r="H20" s="144"/>
      <c r="I20" s="598"/>
    </row>
    <row r="21" spans="1:9" ht="24.75" customHeight="1">
      <c r="A21" s="62">
        <v>600</v>
      </c>
      <c r="B21" s="62"/>
      <c r="C21" s="11"/>
      <c r="D21" s="276" t="s">
        <v>409</v>
      </c>
      <c r="E21" s="36">
        <f>E22+E27+E38</f>
        <v>31205992.53</v>
      </c>
      <c r="F21" s="96"/>
      <c r="G21" s="36">
        <f>G22+G27+G38</f>
        <v>24840684.1</v>
      </c>
      <c r="H21" s="96"/>
      <c r="I21" s="598">
        <f>G21/E21*100</f>
        <v>79.60228816987414</v>
      </c>
    </row>
    <row r="22" spans="1:9" ht="18" customHeight="1">
      <c r="A22" s="115"/>
      <c r="B22" s="117">
        <v>60004</v>
      </c>
      <c r="C22" s="25"/>
      <c r="D22" s="277" t="s">
        <v>26</v>
      </c>
      <c r="E22" s="104">
        <f>SUM(E23:E26)</f>
        <v>11086440.08</v>
      </c>
      <c r="F22" s="94"/>
      <c r="G22" s="104">
        <f>SUM(G23:G26)</f>
        <v>11000184.75</v>
      </c>
      <c r="H22" s="94"/>
      <c r="I22" s="1067">
        <f>G22/E22*100</f>
        <v>99.2219745077989</v>
      </c>
    </row>
    <row r="23" spans="1:9" ht="27.75" customHeight="1">
      <c r="A23" s="88"/>
      <c r="B23" s="84"/>
      <c r="C23" s="9">
        <v>2650</v>
      </c>
      <c r="D23" s="272" t="s">
        <v>5</v>
      </c>
      <c r="E23" s="55">
        <v>10840561.08</v>
      </c>
      <c r="F23" s="94"/>
      <c r="G23" s="55">
        <v>11000184.75</v>
      </c>
      <c r="H23" s="389"/>
      <c r="I23" s="1067"/>
    </row>
    <row r="24" spans="1:9" ht="18.75" customHeight="1">
      <c r="A24" s="88"/>
      <c r="B24" s="89"/>
      <c r="C24" s="9">
        <v>4300</v>
      </c>
      <c r="D24" s="272" t="s">
        <v>408</v>
      </c>
      <c r="E24" s="55">
        <v>27429</v>
      </c>
      <c r="F24" s="94"/>
      <c r="G24" s="55">
        <v>0</v>
      </c>
      <c r="H24" s="389"/>
      <c r="I24" s="597"/>
    </row>
    <row r="25" spans="1:9" ht="19.5" customHeight="1">
      <c r="A25" s="88"/>
      <c r="B25" s="89"/>
      <c r="C25" s="9">
        <v>6050</v>
      </c>
      <c r="D25" s="272" t="s">
        <v>623</v>
      </c>
      <c r="E25" s="55">
        <v>18450</v>
      </c>
      <c r="F25" s="94"/>
      <c r="G25" s="55">
        <v>0</v>
      </c>
      <c r="H25" s="389"/>
      <c r="I25" s="597"/>
    </row>
    <row r="26" spans="1:9" ht="49.5" customHeight="1">
      <c r="A26" s="88"/>
      <c r="B26" s="97"/>
      <c r="C26" s="9">
        <v>6210</v>
      </c>
      <c r="D26" s="272" t="s">
        <v>716</v>
      </c>
      <c r="E26" s="55">
        <v>200000</v>
      </c>
      <c r="F26" s="94"/>
      <c r="G26" s="55">
        <v>0</v>
      </c>
      <c r="H26" s="389"/>
      <c r="I26" s="598"/>
    </row>
    <row r="27" spans="1:9" ht="22.5" customHeight="1">
      <c r="A27" s="118"/>
      <c r="B27" s="85">
        <v>60016</v>
      </c>
      <c r="C27" s="24"/>
      <c r="D27" s="277" t="s">
        <v>410</v>
      </c>
      <c r="E27" s="104">
        <f>SUM(E28:E37)</f>
        <v>20043552.45</v>
      </c>
      <c r="F27" s="94"/>
      <c r="G27" s="104">
        <f>SUM(G28:G37)</f>
        <v>13789499.35</v>
      </c>
      <c r="H27" s="94"/>
      <c r="I27" s="597">
        <f>G27/E27*100</f>
        <v>68.79768137109846</v>
      </c>
    </row>
    <row r="28" spans="1:9" ht="18.75" customHeight="1">
      <c r="A28" s="118"/>
      <c r="B28" s="116"/>
      <c r="C28" s="9">
        <v>4170</v>
      </c>
      <c r="D28" s="272" t="s">
        <v>631</v>
      </c>
      <c r="E28" s="55">
        <v>12000</v>
      </c>
      <c r="F28" s="94"/>
      <c r="G28" s="55">
        <v>12000</v>
      </c>
      <c r="H28" s="389"/>
      <c r="I28" s="1067"/>
    </row>
    <row r="29" spans="1:9" ht="15" customHeight="1">
      <c r="A29" s="118"/>
      <c r="B29" s="116"/>
      <c r="C29" s="9">
        <v>4210</v>
      </c>
      <c r="D29" s="272" t="s">
        <v>411</v>
      </c>
      <c r="E29" s="55">
        <v>55000</v>
      </c>
      <c r="F29" s="94"/>
      <c r="G29" s="55">
        <v>0</v>
      </c>
      <c r="H29" s="389"/>
      <c r="I29" s="597"/>
    </row>
    <row r="30" spans="1:9" ht="15" customHeight="1">
      <c r="A30" s="88"/>
      <c r="B30" s="89"/>
      <c r="C30" s="9">
        <v>4270</v>
      </c>
      <c r="D30" s="272" t="s">
        <v>412</v>
      </c>
      <c r="E30" s="55">
        <v>3542000</v>
      </c>
      <c r="F30" s="94"/>
      <c r="G30" s="55">
        <v>4289122.3</v>
      </c>
      <c r="H30" s="389"/>
      <c r="I30" s="597"/>
    </row>
    <row r="31" spans="1:9" ht="15" customHeight="1">
      <c r="A31" s="88"/>
      <c r="B31" s="89"/>
      <c r="C31" s="9">
        <v>4300</v>
      </c>
      <c r="D31" s="272" t="s">
        <v>408</v>
      </c>
      <c r="E31" s="55">
        <v>1539000</v>
      </c>
      <c r="F31" s="94"/>
      <c r="G31" s="55">
        <f>5000+1264020</f>
        <v>1269020</v>
      </c>
      <c r="H31" s="389"/>
      <c r="I31" s="597"/>
    </row>
    <row r="32" spans="1:9" ht="24" customHeight="1">
      <c r="A32" s="88"/>
      <c r="B32" s="89"/>
      <c r="C32" s="9">
        <v>4390</v>
      </c>
      <c r="D32" s="272" t="s">
        <v>622</v>
      </c>
      <c r="E32" s="55">
        <f>30000+10000</f>
        <v>40000</v>
      </c>
      <c r="F32" s="94"/>
      <c r="G32" s="55">
        <f>5000+15000</f>
        <v>20000</v>
      </c>
      <c r="H32" s="389"/>
      <c r="I32" s="597"/>
    </row>
    <row r="33" spans="1:9" ht="15" customHeight="1">
      <c r="A33" s="88"/>
      <c r="B33" s="89"/>
      <c r="C33" s="9">
        <v>4580</v>
      </c>
      <c r="D33" s="272" t="s">
        <v>342</v>
      </c>
      <c r="E33" s="55">
        <v>5000</v>
      </c>
      <c r="F33" s="94"/>
      <c r="G33" s="55">
        <v>5000</v>
      </c>
      <c r="H33" s="389"/>
      <c r="I33" s="597"/>
    </row>
    <row r="34" spans="1:9" ht="26.25" customHeight="1">
      <c r="A34" s="88"/>
      <c r="B34" s="89"/>
      <c r="C34" s="9">
        <v>4590</v>
      </c>
      <c r="D34" s="272" t="s">
        <v>413</v>
      </c>
      <c r="E34" s="55">
        <v>25000</v>
      </c>
      <c r="F34" s="94"/>
      <c r="G34" s="55">
        <v>30000</v>
      </c>
      <c r="H34" s="389"/>
      <c r="I34" s="597"/>
    </row>
    <row r="35" spans="1:9" ht="39" customHeight="1">
      <c r="A35" s="88"/>
      <c r="B35" s="89"/>
      <c r="C35" s="9">
        <v>4600</v>
      </c>
      <c r="D35" s="272" t="s">
        <v>383</v>
      </c>
      <c r="E35" s="55">
        <v>8000</v>
      </c>
      <c r="F35" s="94"/>
      <c r="G35" s="55">
        <v>10000</v>
      </c>
      <c r="H35" s="389"/>
      <c r="I35" s="597"/>
    </row>
    <row r="36" spans="1:9" ht="27" customHeight="1">
      <c r="A36" s="88"/>
      <c r="B36" s="89"/>
      <c r="C36" s="9">
        <v>4610</v>
      </c>
      <c r="D36" s="272" t="s">
        <v>515</v>
      </c>
      <c r="E36" s="55">
        <v>5000</v>
      </c>
      <c r="F36" s="94"/>
      <c r="G36" s="55">
        <v>5000</v>
      </c>
      <c r="H36" s="389"/>
      <c r="I36" s="597"/>
    </row>
    <row r="37" spans="1:9" ht="24.75" customHeight="1">
      <c r="A37" s="88"/>
      <c r="B37" s="89"/>
      <c r="C37" s="9">
        <v>6050</v>
      </c>
      <c r="D37" s="272" t="s">
        <v>623</v>
      </c>
      <c r="E37" s="55">
        <v>14812552.45</v>
      </c>
      <c r="F37" s="94"/>
      <c r="G37" s="55">
        <f>7999357.05+300000+30000+20000-200000</f>
        <v>8149357.05</v>
      </c>
      <c r="H37" s="389"/>
      <c r="I37" s="598"/>
    </row>
    <row r="38" spans="1:25" s="56" customFormat="1" ht="24" customHeight="1">
      <c r="A38" s="118"/>
      <c r="B38" s="49">
        <v>60095</v>
      </c>
      <c r="C38" s="24"/>
      <c r="D38" s="277" t="s">
        <v>143</v>
      </c>
      <c r="E38" s="104">
        <f>SUM(E39:E40)</f>
        <v>76000</v>
      </c>
      <c r="F38" s="112"/>
      <c r="G38" s="104">
        <f>SUM(G39:G40)</f>
        <v>51000</v>
      </c>
      <c r="H38" s="112"/>
      <c r="I38" s="597">
        <f>G38/E38*100</f>
        <v>67.10526315789474</v>
      </c>
      <c r="J38" s="230"/>
      <c r="K38" s="230"/>
      <c r="L38" s="248"/>
      <c r="M38" s="230"/>
      <c r="N38" s="230"/>
      <c r="O38" s="230"/>
      <c r="P38" s="230"/>
      <c r="Q38" s="230"/>
      <c r="R38" s="230"/>
      <c r="S38" s="230"/>
      <c r="T38" s="238"/>
      <c r="U38" s="238"/>
      <c r="V38" s="238"/>
      <c r="W38" s="238"/>
      <c r="X38" s="238"/>
      <c r="Y38" s="238"/>
    </row>
    <row r="39" spans="1:9" ht="23.25" customHeight="1">
      <c r="A39" s="88"/>
      <c r="B39" s="89"/>
      <c r="C39" s="9">
        <v>4300</v>
      </c>
      <c r="D39" s="272" t="s">
        <v>408</v>
      </c>
      <c r="E39" s="55">
        <v>75000</v>
      </c>
      <c r="F39" s="94"/>
      <c r="G39" s="55">
        <v>50000</v>
      </c>
      <c r="H39" s="389"/>
      <c r="I39" s="1067"/>
    </row>
    <row r="40" spans="1:9" ht="25.5" customHeight="1">
      <c r="A40" s="88"/>
      <c r="B40" s="89"/>
      <c r="C40" s="9">
        <v>4610</v>
      </c>
      <c r="D40" s="272" t="s">
        <v>515</v>
      </c>
      <c r="E40" s="55">
        <v>1000</v>
      </c>
      <c r="F40" s="94"/>
      <c r="G40" s="55">
        <v>1000</v>
      </c>
      <c r="H40" s="389"/>
      <c r="I40" s="598"/>
    </row>
    <row r="41" spans="1:9" ht="25.5" customHeight="1">
      <c r="A41" s="62">
        <v>700</v>
      </c>
      <c r="B41" s="62"/>
      <c r="C41" s="11"/>
      <c r="D41" s="276" t="s">
        <v>370</v>
      </c>
      <c r="E41" s="36">
        <f>E42+E60</f>
        <v>16099009.05</v>
      </c>
      <c r="F41" s="114"/>
      <c r="G41" s="36">
        <f>G42+G60</f>
        <v>15217243</v>
      </c>
      <c r="H41" s="114"/>
      <c r="I41" s="598">
        <f>G41/E41*100</f>
        <v>94.52285511945841</v>
      </c>
    </row>
    <row r="42" spans="1:9" ht="25.5" customHeight="1">
      <c r="A42" s="115"/>
      <c r="B42" s="49">
        <v>70005</v>
      </c>
      <c r="C42" s="24"/>
      <c r="D42" s="277" t="s">
        <v>385</v>
      </c>
      <c r="E42" s="104">
        <f>SUM(E43:E59)</f>
        <v>15256849.05</v>
      </c>
      <c r="F42" s="94"/>
      <c r="G42" s="104">
        <f>SUM(G43:G59)</f>
        <v>14480860</v>
      </c>
      <c r="H42" s="94"/>
      <c r="I42" s="1067">
        <f>G42/E42*100</f>
        <v>94.91383150310449</v>
      </c>
    </row>
    <row r="43" spans="1:9" ht="16.5" customHeight="1">
      <c r="A43" s="118"/>
      <c r="B43" s="116"/>
      <c r="C43" s="9">
        <v>4170</v>
      </c>
      <c r="D43" s="272" t="s">
        <v>631</v>
      </c>
      <c r="E43" s="55">
        <v>2000</v>
      </c>
      <c r="F43" s="94"/>
      <c r="G43" s="104"/>
      <c r="H43" s="389"/>
      <c r="I43" s="1067"/>
    </row>
    <row r="44" spans="1:9" ht="15" customHeight="1">
      <c r="A44" s="88"/>
      <c r="B44" s="89"/>
      <c r="C44" s="9">
        <v>4210</v>
      </c>
      <c r="D44" s="272" t="s">
        <v>411</v>
      </c>
      <c r="E44" s="55">
        <v>4000</v>
      </c>
      <c r="F44" s="94"/>
      <c r="G44" s="55">
        <f>1500+500+200+800+1500</f>
        <v>4500</v>
      </c>
      <c r="H44" s="389"/>
      <c r="I44" s="597"/>
    </row>
    <row r="45" spans="1:9" ht="15" customHeight="1">
      <c r="A45" s="88"/>
      <c r="B45" s="89"/>
      <c r="C45" s="20">
        <v>4260</v>
      </c>
      <c r="D45" s="324" t="s">
        <v>505</v>
      </c>
      <c r="E45" s="55">
        <v>4733000</v>
      </c>
      <c r="F45" s="94"/>
      <c r="G45" s="55">
        <f>122300+500+315000+583000+3568500</f>
        <v>4589300</v>
      </c>
      <c r="H45" s="389"/>
      <c r="I45" s="597"/>
    </row>
    <row r="46" spans="1:9" ht="15" customHeight="1">
      <c r="A46" s="88"/>
      <c r="B46" s="89"/>
      <c r="C46" s="9">
        <v>4270</v>
      </c>
      <c r="D46" s="272" t="s">
        <v>412</v>
      </c>
      <c r="E46" s="55">
        <v>1726800</v>
      </c>
      <c r="F46" s="94"/>
      <c r="G46" s="55">
        <f>138300+45000+113200+90000+1326000</f>
        <v>1712500</v>
      </c>
      <c r="H46" s="389"/>
      <c r="I46" s="597"/>
    </row>
    <row r="47" spans="1:9" ht="15" customHeight="1">
      <c r="A47" s="88"/>
      <c r="B47" s="89"/>
      <c r="C47" s="16">
        <v>4300</v>
      </c>
      <c r="D47" s="272" t="s">
        <v>386</v>
      </c>
      <c r="E47" s="55">
        <v>4815000</v>
      </c>
      <c r="F47" s="94"/>
      <c r="G47" s="55">
        <f>197200+190000+285000+465500+3269000+105000</f>
        <v>4511700</v>
      </c>
      <c r="H47" s="389"/>
      <c r="I47" s="597"/>
    </row>
    <row r="48" spans="1:9" ht="21.75" customHeight="1">
      <c r="A48" s="88"/>
      <c r="B48" s="89"/>
      <c r="C48" s="3">
        <v>4390</v>
      </c>
      <c r="D48" s="272" t="s">
        <v>128</v>
      </c>
      <c r="E48" s="55">
        <v>5000</v>
      </c>
      <c r="F48" s="94"/>
      <c r="G48" s="55">
        <v>3000</v>
      </c>
      <c r="H48" s="389"/>
      <c r="I48" s="597"/>
    </row>
    <row r="49" spans="1:9" ht="15" customHeight="1">
      <c r="A49" s="88"/>
      <c r="B49" s="89"/>
      <c r="C49" s="20">
        <v>4430</v>
      </c>
      <c r="D49" s="272" t="s">
        <v>518</v>
      </c>
      <c r="E49" s="55">
        <v>57400</v>
      </c>
      <c r="F49" s="94"/>
      <c r="G49" s="55">
        <f>1400+20000+2000+4500+22000</f>
        <v>49900</v>
      </c>
      <c r="H49" s="389"/>
      <c r="I49" s="597"/>
    </row>
    <row r="50" spans="1:9" ht="15" customHeight="1">
      <c r="A50" s="88"/>
      <c r="B50" s="89"/>
      <c r="C50" s="9">
        <v>4480</v>
      </c>
      <c r="D50" s="272" t="s">
        <v>351</v>
      </c>
      <c r="E50" s="55">
        <v>1350000</v>
      </c>
      <c r="F50" s="94"/>
      <c r="G50" s="55">
        <v>1450000</v>
      </c>
      <c r="H50" s="389"/>
      <c r="I50" s="597"/>
    </row>
    <row r="51" spans="1:9" ht="27.75" customHeight="1">
      <c r="A51" s="88"/>
      <c r="B51" s="89"/>
      <c r="C51" s="9">
        <v>4500</v>
      </c>
      <c r="D51" s="272" t="s">
        <v>598</v>
      </c>
      <c r="E51" s="55">
        <v>3000</v>
      </c>
      <c r="F51" s="94"/>
      <c r="G51" s="55">
        <v>3000</v>
      </c>
      <c r="H51" s="389"/>
      <c r="I51" s="597"/>
    </row>
    <row r="52" spans="1:9" ht="31.5" customHeight="1">
      <c r="A52" s="88"/>
      <c r="B52" s="89"/>
      <c r="C52" s="9">
        <v>4520</v>
      </c>
      <c r="D52" s="272" t="s">
        <v>129</v>
      </c>
      <c r="E52" s="55">
        <v>191100</v>
      </c>
      <c r="F52" s="94"/>
      <c r="G52" s="55">
        <f>16200+36000+65000+270000</f>
        <v>387200</v>
      </c>
      <c r="H52" s="389"/>
      <c r="I52" s="597"/>
    </row>
    <row r="53" spans="1:9" ht="16.5" customHeight="1">
      <c r="A53" s="88"/>
      <c r="B53" s="89"/>
      <c r="C53" s="9">
        <v>4530</v>
      </c>
      <c r="D53" s="272" t="s">
        <v>636</v>
      </c>
      <c r="E53" s="55">
        <v>199400</v>
      </c>
      <c r="F53" s="94"/>
      <c r="G53" s="55">
        <f>9600+180000+50000</f>
        <v>239600</v>
      </c>
      <c r="H53" s="389"/>
      <c r="I53" s="597"/>
    </row>
    <row r="54" spans="1:9" ht="15" customHeight="1">
      <c r="A54" s="88"/>
      <c r="B54" s="89"/>
      <c r="C54" s="9">
        <v>4580</v>
      </c>
      <c r="D54" s="272" t="s">
        <v>342</v>
      </c>
      <c r="E54" s="55">
        <v>1500</v>
      </c>
      <c r="F54" s="94"/>
      <c r="G54" s="55">
        <v>500</v>
      </c>
      <c r="H54" s="389"/>
      <c r="I54" s="597"/>
    </row>
    <row r="55" spans="1:9" ht="27" customHeight="1">
      <c r="A55" s="88"/>
      <c r="B55" s="89"/>
      <c r="C55" s="9">
        <v>4590</v>
      </c>
      <c r="D55" s="272" t="s">
        <v>413</v>
      </c>
      <c r="E55" s="55">
        <v>212080</v>
      </c>
      <c r="F55" s="94"/>
      <c r="G55" s="55">
        <f>100000+191000</f>
        <v>291000</v>
      </c>
      <c r="H55" s="389"/>
      <c r="I55" s="597"/>
    </row>
    <row r="56" spans="1:9" ht="37.5" customHeight="1">
      <c r="A56" s="88"/>
      <c r="B56" s="89"/>
      <c r="C56" s="9">
        <v>4600</v>
      </c>
      <c r="D56" s="272" t="s">
        <v>383</v>
      </c>
      <c r="E56" s="55">
        <v>682320</v>
      </c>
      <c r="F56" s="94"/>
      <c r="G56" s="55">
        <f>34200+240000</f>
        <v>274200</v>
      </c>
      <c r="H56" s="389"/>
      <c r="I56" s="597"/>
    </row>
    <row r="57" spans="1:9" ht="29.25" customHeight="1">
      <c r="A57" s="88"/>
      <c r="B57" s="89"/>
      <c r="C57" s="9">
        <v>4610</v>
      </c>
      <c r="D57" s="272" t="s">
        <v>2</v>
      </c>
      <c r="E57" s="55">
        <v>103000</v>
      </c>
      <c r="F57" s="94"/>
      <c r="G57" s="55">
        <f>3000+90000+5000</f>
        <v>98000</v>
      </c>
      <c r="H57" s="389"/>
      <c r="I57" s="597"/>
    </row>
    <row r="58" spans="1:9" ht="21" customHeight="1">
      <c r="A58" s="88"/>
      <c r="B58" s="89"/>
      <c r="C58" s="9">
        <v>6050</v>
      </c>
      <c r="D58" s="272" t="s">
        <v>623</v>
      </c>
      <c r="E58" s="55">
        <v>17700</v>
      </c>
      <c r="F58" s="94"/>
      <c r="G58" s="55">
        <v>0</v>
      </c>
      <c r="H58" s="389"/>
      <c r="I58" s="597"/>
    </row>
    <row r="59" spans="1:9" ht="24" customHeight="1">
      <c r="A59" s="88"/>
      <c r="B59" s="89"/>
      <c r="C59" s="16">
        <v>6060</v>
      </c>
      <c r="D59" s="272" t="s">
        <v>516</v>
      </c>
      <c r="E59" s="55">
        <v>1153549.05</v>
      </c>
      <c r="F59" s="94"/>
      <c r="G59" s="55">
        <f>311460+100000+250000+205000</f>
        <v>866460</v>
      </c>
      <c r="H59" s="389"/>
      <c r="I59" s="598"/>
    </row>
    <row r="60" spans="1:9" ht="20.25" customHeight="1">
      <c r="A60" s="116"/>
      <c r="B60" s="49">
        <v>70095</v>
      </c>
      <c r="C60" s="25"/>
      <c r="D60" s="323" t="s">
        <v>143</v>
      </c>
      <c r="E60" s="104">
        <f>SUM(E61:E64)</f>
        <v>842160</v>
      </c>
      <c r="F60" s="94"/>
      <c r="G60" s="104">
        <f>SUM(G61:G64)</f>
        <v>736383</v>
      </c>
      <c r="H60" s="94"/>
      <c r="I60" s="597">
        <f>G60/E60*100</f>
        <v>87.4397976631519</v>
      </c>
    </row>
    <row r="61" spans="1:9" ht="18.75" customHeight="1">
      <c r="A61" s="89"/>
      <c r="B61" s="81"/>
      <c r="C61" s="16">
        <v>4300</v>
      </c>
      <c r="D61" s="272" t="s">
        <v>386</v>
      </c>
      <c r="E61" s="55">
        <v>19800</v>
      </c>
      <c r="F61" s="94"/>
      <c r="G61" s="55">
        <f>60000+5000</f>
        <v>65000</v>
      </c>
      <c r="H61" s="389"/>
      <c r="I61" s="1067"/>
    </row>
    <row r="62" spans="1:9" ht="18.75" customHeight="1">
      <c r="A62" s="89"/>
      <c r="B62" s="81"/>
      <c r="C62" s="16">
        <v>4430</v>
      </c>
      <c r="D62" s="272" t="s">
        <v>518</v>
      </c>
      <c r="E62" s="55">
        <v>43000</v>
      </c>
      <c r="F62" s="94"/>
      <c r="G62" s="55">
        <v>47000</v>
      </c>
      <c r="H62" s="389"/>
      <c r="I62" s="597"/>
    </row>
    <row r="63" spans="1:9" ht="30.75" customHeight="1">
      <c r="A63" s="89"/>
      <c r="B63" s="81"/>
      <c r="C63" s="9">
        <v>4610</v>
      </c>
      <c r="D63" s="272" t="s">
        <v>515</v>
      </c>
      <c r="E63" s="55">
        <v>39000</v>
      </c>
      <c r="F63" s="94"/>
      <c r="G63" s="55">
        <v>39000</v>
      </c>
      <c r="H63" s="389"/>
      <c r="I63" s="597"/>
    </row>
    <row r="64" spans="1:9" ht="21" customHeight="1">
      <c r="A64" s="89"/>
      <c r="B64" s="81"/>
      <c r="C64" s="9">
        <v>6050</v>
      </c>
      <c r="D64" s="272" t="s">
        <v>623</v>
      </c>
      <c r="E64" s="55">
        <v>740360</v>
      </c>
      <c r="F64" s="94"/>
      <c r="G64" s="55">
        <f>11000+1150+573233</f>
        <v>585383</v>
      </c>
      <c r="H64" s="389"/>
      <c r="I64" s="598"/>
    </row>
    <row r="65" spans="1:9" ht="23.25" customHeight="1">
      <c r="A65" s="62">
        <v>710</v>
      </c>
      <c r="B65" s="62"/>
      <c r="C65" s="11"/>
      <c r="D65" s="276" t="s">
        <v>152</v>
      </c>
      <c r="E65" s="36">
        <f>E66+E70+E72</f>
        <v>441278.29</v>
      </c>
      <c r="F65" s="114"/>
      <c r="G65" s="36">
        <f>G66+G70+G72</f>
        <v>350000</v>
      </c>
      <c r="H65" s="114"/>
      <c r="I65" s="598">
        <f>G65/E65*100</f>
        <v>79.31502816510643</v>
      </c>
    </row>
    <row r="66" spans="1:9" ht="26.25" customHeight="1">
      <c r="A66" s="116"/>
      <c r="B66" s="115">
        <v>71004</v>
      </c>
      <c r="C66" s="25"/>
      <c r="D66" s="277" t="s">
        <v>519</v>
      </c>
      <c r="E66" s="104">
        <f>SUM(E67:E69)</f>
        <v>264278.29</v>
      </c>
      <c r="F66" s="94"/>
      <c r="G66" s="104">
        <f>SUM(G67:G69)</f>
        <v>230000</v>
      </c>
      <c r="H66" s="94"/>
      <c r="I66" s="1067">
        <f>G66/E66*100</f>
        <v>87.02947184954164</v>
      </c>
    </row>
    <row r="67" spans="1:9" ht="18" customHeight="1">
      <c r="A67" s="88"/>
      <c r="B67" s="84"/>
      <c r="C67" s="9">
        <v>4170</v>
      </c>
      <c r="D67" s="272" t="s">
        <v>503</v>
      </c>
      <c r="E67" s="55">
        <v>12800</v>
      </c>
      <c r="F67" s="94"/>
      <c r="G67" s="55">
        <v>6000</v>
      </c>
      <c r="H67" s="389"/>
      <c r="I67" s="1067"/>
    </row>
    <row r="68" spans="1:9" ht="18" customHeight="1">
      <c r="A68" s="88"/>
      <c r="B68" s="89"/>
      <c r="C68" s="9">
        <v>4300</v>
      </c>
      <c r="D68" s="272" t="s">
        <v>386</v>
      </c>
      <c r="E68" s="55">
        <v>226675.19</v>
      </c>
      <c r="F68" s="94"/>
      <c r="G68" s="55">
        <v>224000</v>
      </c>
      <c r="H68" s="389"/>
      <c r="I68" s="597"/>
    </row>
    <row r="69" spans="1:9" ht="24.75" customHeight="1">
      <c r="A69" s="88"/>
      <c r="B69" s="97"/>
      <c r="C69" s="3">
        <v>4390</v>
      </c>
      <c r="D69" s="272" t="s">
        <v>128</v>
      </c>
      <c r="E69" s="55">
        <v>24803.1</v>
      </c>
      <c r="F69" s="94"/>
      <c r="G69" s="55">
        <v>0</v>
      </c>
      <c r="H69" s="389"/>
      <c r="I69" s="598"/>
    </row>
    <row r="70" spans="1:25" s="56" customFormat="1" ht="22.5" customHeight="1">
      <c r="A70" s="118"/>
      <c r="B70" s="85">
        <v>71014</v>
      </c>
      <c r="C70" s="24"/>
      <c r="D70" s="277" t="s">
        <v>521</v>
      </c>
      <c r="E70" s="104">
        <f>E71</f>
        <v>110000</v>
      </c>
      <c r="F70" s="112"/>
      <c r="G70" s="104">
        <f>G71</f>
        <v>115000</v>
      </c>
      <c r="H70" s="112"/>
      <c r="I70" s="598">
        <f>G70/E70*100</f>
        <v>104.54545454545455</v>
      </c>
      <c r="J70" s="230"/>
      <c r="K70" s="230"/>
      <c r="L70" s="248"/>
      <c r="M70" s="230"/>
      <c r="N70" s="230"/>
      <c r="O70" s="230"/>
      <c r="P70" s="230"/>
      <c r="Q70" s="230"/>
      <c r="R70" s="230"/>
      <c r="S70" s="230"/>
      <c r="T70" s="238"/>
      <c r="U70" s="238"/>
      <c r="V70" s="238"/>
      <c r="W70" s="238"/>
      <c r="X70" s="238"/>
      <c r="Y70" s="238"/>
    </row>
    <row r="71" spans="1:9" ht="19.5" customHeight="1">
      <c r="A71" s="88"/>
      <c r="B71" s="89"/>
      <c r="C71" s="16">
        <v>4300</v>
      </c>
      <c r="D71" s="272" t="s">
        <v>448</v>
      </c>
      <c r="E71" s="55">
        <v>110000</v>
      </c>
      <c r="F71" s="94"/>
      <c r="G71" s="55">
        <f>80000+35000</f>
        <v>115000</v>
      </c>
      <c r="H71" s="94"/>
      <c r="I71" s="330"/>
    </row>
    <row r="72" spans="1:25" s="56" customFormat="1" ht="22.5" customHeight="1">
      <c r="A72" s="116"/>
      <c r="B72" s="49">
        <v>71035</v>
      </c>
      <c r="C72" s="25"/>
      <c r="D72" s="277" t="s">
        <v>449</v>
      </c>
      <c r="E72" s="104">
        <f>SUM(E73:E75)</f>
        <v>67000</v>
      </c>
      <c r="F72" s="112"/>
      <c r="G72" s="104">
        <f>SUM(G73:G75)</f>
        <v>5000</v>
      </c>
      <c r="H72" s="112"/>
      <c r="I72" s="1067">
        <f>G72/E72*100</f>
        <v>7.462686567164178</v>
      </c>
      <c r="J72" s="230"/>
      <c r="K72" s="230"/>
      <c r="L72" s="248"/>
      <c r="M72" s="230"/>
      <c r="N72" s="230"/>
      <c r="O72" s="230"/>
      <c r="P72" s="230"/>
      <c r="Q72" s="230"/>
      <c r="R72" s="230"/>
      <c r="S72" s="230"/>
      <c r="T72" s="238"/>
      <c r="U72" s="238"/>
      <c r="V72" s="238"/>
      <c r="W72" s="238"/>
      <c r="X72" s="238"/>
      <c r="Y72" s="238"/>
    </row>
    <row r="73" spans="1:9" ht="19.5" customHeight="1">
      <c r="A73" s="88"/>
      <c r="B73" s="116"/>
      <c r="C73" s="9">
        <v>4300</v>
      </c>
      <c r="D73" s="272" t="s">
        <v>408</v>
      </c>
      <c r="E73" s="55">
        <v>15000</v>
      </c>
      <c r="F73" s="94"/>
      <c r="G73" s="55">
        <v>5000</v>
      </c>
      <c r="H73" s="389"/>
      <c r="I73" s="1067"/>
    </row>
    <row r="74" spans="1:9" ht="53.25" customHeight="1">
      <c r="A74" s="88"/>
      <c r="B74" s="116"/>
      <c r="C74" s="9">
        <v>4340</v>
      </c>
      <c r="D74" s="1" t="s">
        <v>0</v>
      </c>
      <c r="E74" s="27">
        <v>32000</v>
      </c>
      <c r="F74" s="94"/>
      <c r="G74" s="27">
        <v>0</v>
      </c>
      <c r="H74" s="389"/>
      <c r="I74" s="597"/>
    </row>
    <row r="75" spans="1:9" ht="28.5" customHeight="1">
      <c r="A75" s="88"/>
      <c r="B75" s="116"/>
      <c r="C75" s="9">
        <v>6050</v>
      </c>
      <c r="D75" s="272" t="s">
        <v>623</v>
      </c>
      <c r="E75" s="27">
        <v>20000</v>
      </c>
      <c r="F75" s="94"/>
      <c r="G75" s="27">
        <v>0</v>
      </c>
      <c r="H75" s="389"/>
      <c r="I75" s="598"/>
    </row>
    <row r="76" spans="1:9" ht="23.25" customHeight="1">
      <c r="A76" s="62">
        <v>750</v>
      </c>
      <c r="B76" s="62"/>
      <c r="C76" s="11"/>
      <c r="D76" s="276" t="s">
        <v>144</v>
      </c>
      <c r="E76" s="92">
        <f>E77+E83+E87+E117+E121</f>
        <v>31520692.500000004</v>
      </c>
      <c r="F76" s="36">
        <f>F77+F83+F87+F117+F121</f>
        <v>535525</v>
      </c>
      <c r="G76" s="92">
        <f>G77+G83+G87+G117+G121</f>
        <v>30169268.5</v>
      </c>
      <c r="H76" s="36">
        <f>H77+H83+H87+H117+H121</f>
        <v>499653</v>
      </c>
      <c r="I76" s="598">
        <f>G76/E76*100</f>
        <v>95.71258150499072</v>
      </c>
    </row>
    <row r="77" spans="1:9" ht="24" customHeight="1">
      <c r="A77" s="119"/>
      <c r="B77" s="83">
        <v>75011</v>
      </c>
      <c r="C77" s="25"/>
      <c r="D77" s="277" t="s">
        <v>450</v>
      </c>
      <c r="E77" s="104">
        <f>SUM(E78:E82)</f>
        <v>1723825</v>
      </c>
      <c r="F77" s="113">
        <f>SUM(F78:F82)</f>
        <v>535525</v>
      </c>
      <c r="G77" s="104">
        <f>SUM(G78:G82)</f>
        <v>1604390</v>
      </c>
      <c r="H77" s="113">
        <f>SUM(H78:H82)</f>
        <v>499653</v>
      </c>
      <c r="I77" s="1067">
        <f>G77/E77*100</f>
        <v>93.07151247951502</v>
      </c>
    </row>
    <row r="78" spans="1:9" ht="17.25" customHeight="1">
      <c r="A78" s="119"/>
      <c r="B78" s="98"/>
      <c r="C78" s="3">
        <v>4010</v>
      </c>
      <c r="D78" s="272" t="s">
        <v>451</v>
      </c>
      <c r="E78" s="55">
        <v>1328109.04</v>
      </c>
      <c r="F78" s="114">
        <v>410100.94</v>
      </c>
      <c r="G78" s="55">
        <f>842465.1+379584.9</f>
        <v>1222050</v>
      </c>
      <c r="H78" s="144">
        <v>379584.9</v>
      </c>
      <c r="I78" s="1067"/>
    </row>
    <row r="79" spans="1:9" ht="15" customHeight="1">
      <c r="A79" s="119"/>
      <c r="B79" s="98"/>
      <c r="C79" s="3">
        <v>4040</v>
      </c>
      <c r="D79" s="272" t="s">
        <v>452</v>
      </c>
      <c r="E79" s="55">
        <v>96200</v>
      </c>
      <c r="F79" s="114">
        <v>27036</v>
      </c>
      <c r="G79" s="55">
        <v>99700</v>
      </c>
      <c r="H79" s="144">
        <v>27036</v>
      </c>
      <c r="I79" s="597"/>
    </row>
    <row r="80" spans="1:9" ht="15" customHeight="1">
      <c r="A80" s="119"/>
      <c r="B80" s="98"/>
      <c r="C80" s="3">
        <v>4110</v>
      </c>
      <c r="D80" s="272" t="s">
        <v>496</v>
      </c>
      <c r="E80" s="55">
        <v>239837</v>
      </c>
      <c r="F80" s="114">
        <v>66970</v>
      </c>
      <c r="G80" s="55">
        <v>222480</v>
      </c>
      <c r="H80" s="144">
        <v>59073</v>
      </c>
      <c r="I80" s="597"/>
    </row>
    <row r="81" spans="1:9" ht="15" customHeight="1">
      <c r="A81" s="119"/>
      <c r="B81" s="98"/>
      <c r="C81" s="3">
        <v>4120</v>
      </c>
      <c r="D81" s="272" t="s">
        <v>497</v>
      </c>
      <c r="E81" s="55">
        <v>33060</v>
      </c>
      <c r="F81" s="114">
        <v>9528</v>
      </c>
      <c r="G81" s="55">
        <v>31000</v>
      </c>
      <c r="H81" s="144">
        <v>9528</v>
      </c>
      <c r="I81" s="597"/>
    </row>
    <row r="82" spans="1:9" ht="25.5" customHeight="1">
      <c r="A82" s="119"/>
      <c r="B82" s="98"/>
      <c r="C82" s="3">
        <v>4440</v>
      </c>
      <c r="D82" s="272" t="s">
        <v>498</v>
      </c>
      <c r="E82" s="55">
        <v>26618.96</v>
      </c>
      <c r="F82" s="110">
        <v>21890.06</v>
      </c>
      <c r="G82" s="55">
        <v>29160</v>
      </c>
      <c r="H82" s="1068">
        <v>24431.1</v>
      </c>
      <c r="I82" s="597"/>
    </row>
    <row r="83" spans="1:9" ht="23.25" customHeight="1">
      <c r="A83" s="116"/>
      <c r="B83" s="83">
        <v>75022</v>
      </c>
      <c r="C83" s="25"/>
      <c r="D83" s="277" t="s">
        <v>499</v>
      </c>
      <c r="E83" s="104">
        <f>SUM(E84:E86)</f>
        <v>450000</v>
      </c>
      <c r="F83" s="110"/>
      <c r="G83" s="104">
        <f>SUM(G84:G86)</f>
        <v>450000</v>
      </c>
      <c r="H83" s="1068"/>
      <c r="I83" s="330">
        <f>G83/E83*100</f>
        <v>100</v>
      </c>
    </row>
    <row r="84" spans="1:9" ht="18" customHeight="1">
      <c r="A84" s="89"/>
      <c r="B84" s="98"/>
      <c r="C84" s="3">
        <v>3030</v>
      </c>
      <c r="D84" s="272" t="s">
        <v>520</v>
      </c>
      <c r="E84" s="55">
        <v>375000</v>
      </c>
      <c r="F84" s="94"/>
      <c r="G84" s="55">
        <v>375000</v>
      </c>
      <c r="H84" s="389"/>
      <c r="I84" s="597"/>
    </row>
    <row r="85" spans="1:9" ht="15" customHeight="1">
      <c r="A85" s="89"/>
      <c r="B85" s="98"/>
      <c r="C85" s="3">
        <v>4210</v>
      </c>
      <c r="D85" s="272" t="s">
        <v>411</v>
      </c>
      <c r="E85" s="55">
        <v>33000</v>
      </c>
      <c r="F85" s="94"/>
      <c r="G85" s="55">
        <v>33000</v>
      </c>
      <c r="H85" s="389"/>
      <c r="I85" s="597"/>
    </row>
    <row r="86" spans="1:9" ht="15" customHeight="1">
      <c r="A86" s="89"/>
      <c r="B86" s="98"/>
      <c r="C86" s="3">
        <v>4300</v>
      </c>
      <c r="D86" s="272" t="s">
        <v>408</v>
      </c>
      <c r="E86" s="55">
        <v>42000</v>
      </c>
      <c r="F86" s="94"/>
      <c r="G86" s="55">
        <v>42000</v>
      </c>
      <c r="H86" s="389"/>
      <c r="I86" s="597"/>
    </row>
    <row r="87" spans="1:14" ht="27.75" customHeight="1">
      <c r="A87" s="116"/>
      <c r="B87" s="49">
        <v>75023</v>
      </c>
      <c r="C87" s="25"/>
      <c r="D87" s="277" t="s">
        <v>380</v>
      </c>
      <c r="E87" s="41">
        <f>SUM(E88:E116)</f>
        <v>25675805.000000004</v>
      </c>
      <c r="F87" s="94"/>
      <c r="G87" s="41">
        <f>SUM(G88:G116)</f>
        <v>26303791</v>
      </c>
      <c r="H87" s="389"/>
      <c r="I87" s="597"/>
      <c r="K87" s="230"/>
      <c r="L87" s="230"/>
      <c r="M87" s="230"/>
      <c r="N87" s="230"/>
    </row>
    <row r="88" spans="1:9" ht="24.75" customHeight="1">
      <c r="A88" s="88"/>
      <c r="B88" s="89"/>
      <c r="C88" s="16">
        <v>3020</v>
      </c>
      <c r="D88" s="272" t="s">
        <v>502</v>
      </c>
      <c r="E88" s="55">
        <v>144600</v>
      </c>
      <c r="F88" s="94"/>
      <c r="G88" s="55">
        <f>29000+20700+100500</f>
        <v>150200</v>
      </c>
      <c r="H88" s="389"/>
      <c r="I88" s="597"/>
    </row>
    <row r="89" spans="1:9" ht="18" customHeight="1">
      <c r="A89" s="88"/>
      <c r="B89" s="89"/>
      <c r="C89" s="9">
        <v>4010</v>
      </c>
      <c r="D89" s="272" t="s">
        <v>451</v>
      </c>
      <c r="E89" s="55">
        <v>15531652.49</v>
      </c>
      <c r="F89" s="94"/>
      <c r="G89" s="55">
        <f>13929680+2034430+2000</f>
        <v>15966110</v>
      </c>
      <c r="H89" s="389"/>
      <c r="I89" s="597"/>
    </row>
    <row r="90" spans="1:9" ht="15" customHeight="1">
      <c r="A90" s="88"/>
      <c r="B90" s="89"/>
      <c r="C90" s="9">
        <v>4040</v>
      </c>
      <c r="D90" s="272" t="s">
        <v>452</v>
      </c>
      <c r="E90" s="55">
        <v>1137960</v>
      </c>
      <c r="F90" s="94"/>
      <c r="G90" s="55">
        <f>1100000+137760</f>
        <v>1237760</v>
      </c>
      <c r="H90" s="389"/>
      <c r="I90" s="597"/>
    </row>
    <row r="91" spans="1:9" ht="15" customHeight="1">
      <c r="A91" s="88"/>
      <c r="B91" s="89"/>
      <c r="C91" s="9">
        <v>4110</v>
      </c>
      <c r="D91" s="272" t="s">
        <v>496</v>
      </c>
      <c r="E91" s="55">
        <v>2763200</v>
      </c>
      <c r="F91" s="94"/>
      <c r="G91" s="55">
        <f>320180+500+2462000</f>
        <v>2782680</v>
      </c>
      <c r="H91" s="389"/>
      <c r="I91" s="597"/>
    </row>
    <row r="92" spans="1:9" ht="15" customHeight="1">
      <c r="A92" s="88"/>
      <c r="B92" s="89"/>
      <c r="C92" s="9">
        <v>4120</v>
      </c>
      <c r="D92" s="272" t="s">
        <v>497</v>
      </c>
      <c r="E92" s="55">
        <v>404770</v>
      </c>
      <c r="F92" s="94"/>
      <c r="G92" s="55">
        <f>333000+45640</f>
        <v>378640</v>
      </c>
      <c r="H92" s="389"/>
      <c r="I92" s="597"/>
    </row>
    <row r="93" spans="1:9" ht="27" customHeight="1">
      <c r="A93" s="88"/>
      <c r="B93" s="89"/>
      <c r="C93" s="16">
        <v>4140</v>
      </c>
      <c r="D93" s="272" t="s">
        <v>96</v>
      </c>
      <c r="E93" s="55">
        <v>37000</v>
      </c>
      <c r="F93" s="94"/>
      <c r="G93" s="55">
        <f>15000+5000</f>
        <v>20000</v>
      </c>
      <c r="H93" s="389"/>
      <c r="I93" s="597"/>
    </row>
    <row r="94" spans="1:9" ht="15" customHeight="1">
      <c r="A94" s="88"/>
      <c r="B94" s="89"/>
      <c r="C94" s="9">
        <v>4170</v>
      </c>
      <c r="D94" s="272" t="s">
        <v>503</v>
      </c>
      <c r="E94" s="55">
        <v>128000</v>
      </c>
      <c r="F94" s="94"/>
      <c r="G94" s="55">
        <f>80000+5000+60000</f>
        <v>145000</v>
      </c>
      <c r="H94" s="389"/>
      <c r="I94" s="597"/>
    </row>
    <row r="95" spans="1:9" ht="15" customHeight="1">
      <c r="A95" s="88"/>
      <c r="B95" s="89"/>
      <c r="C95" s="9">
        <v>4210</v>
      </c>
      <c r="D95" s="324" t="s">
        <v>504</v>
      </c>
      <c r="E95" s="55">
        <v>1187750</v>
      </c>
      <c r="F95" s="94"/>
      <c r="G95" s="55">
        <f>8000+6500+751800+183075+15800+55000+2800</f>
        <v>1022975</v>
      </c>
      <c r="H95" s="389"/>
      <c r="I95" s="597"/>
    </row>
    <row r="96" spans="1:9" ht="15" customHeight="1">
      <c r="A96" s="88"/>
      <c r="B96" s="89"/>
      <c r="C96" s="9">
        <v>4260</v>
      </c>
      <c r="D96" s="272" t="s">
        <v>511</v>
      </c>
      <c r="E96" s="55">
        <v>685000</v>
      </c>
      <c r="F96" s="94"/>
      <c r="G96" s="55">
        <v>922000</v>
      </c>
      <c r="H96" s="389"/>
      <c r="I96" s="597"/>
    </row>
    <row r="97" spans="1:9" ht="15" customHeight="1">
      <c r="A97" s="88"/>
      <c r="B97" s="89"/>
      <c r="C97" s="9">
        <v>4270</v>
      </c>
      <c r="D97" s="272" t="s">
        <v>517</v>
      </c>
      <c r="E97" s="55">
        <v>317000</v>
      </c>
      <c r="F97" s="94"/>
      <c r="G97" s="55">
        <v>317000</v>
      </c>
      <c r="H97" s="389"/>
      <c r="I97" s="597"/>
    </row>
    <row r="98" spans="1:9" ht="15" customHeight="1">
      <c r="A98" s="88"/>
      <c r="B98" s="89"/>
      <c r="C98" s="9">
        <v>4280</v>
      </c>
      <c r="D98" s="324" t="s">
        <v>714</v>
      </c>
      <c r="E98" s="55">
        <v>34500</v>
      </c>
      <c r="F98" s="94"/>
      <c r="G98" s="55">
        <f>41200+4300</f>
        <v>45500</v>
      </c>
      <c r="H98" s="389"/>
      <c r="I98" s="597"/>
    </row>
    <row r="99" spans="1:9" ht="15" customHeight="1">
      <c r="A99" s="88"/>
      <c r="B99" s="89"/>
      <c r="C99" s="9">
        <v>4300</v>
      </c>
      <c r="D99" s="272" t="s">
        <v>386</v>
      </c>
      <c r="E99" s="55">
        <v>1412465</v>
      </c>
      <c r="F99" s="94"/>
      <c r="G99" s="55">
        <f>61000+150000+660690+100000+17000+8000+283900+5200+50000</f>
        <v>1335790</v>
      </c>
      <c r="H99" s="389"/>
      <c r="I99" s="597"/>
    </row>
    <row r="100" spans="1:9" ht="15" customHeight="1">
      <c r="A100" s="88"/>
      <c r="B100" s="89"/>
      <c r="C100" s="9">
        <v>4350</v>
      </c>
      <c r="D100" s="272" t="s">
        <v>506</v>
      </c>
      <c r="E100" s="55">
        <v>32475</v>
      </c>
      <c r="F100" s="94"/>
      <c r="G100" s="55">
        <f>24400+4600</f>
        <v>29000</v>
      </c>
      <c r="H100" s="389"/>
      <c r="I100" s="597"/>
    </row>
    <row r="101" spans="1:9" ht="36" customHeight="1">
      <c r="A101" s="88"/>
      <c r="B101" s="89"/>
      <c r="C101" s="9">
        <v>4360</v>
      </c>
      <c r="D101" s="272" t="s">
        <v>4</v>
      </c>
      <c r="E101" s="55">
        <v>39000</v>
      </c>
      <c r="F101" s="94"/>
      <c r="G101" s="55">
        <v>39000</v>
      </c>
      <c r="H101" s="389"/>
      <c r="I101" s="597"/>
    </row>
    <row r="102" spans="1:9" ht="37.5" customHeight="1">
      <c r="A102" s="88"/>
      <c r="B102" s="89"/>
      <c r="C102" s="9">
        <v>4370</v>
      </c>
      <c r="D102" s="272" t="s">
        <v>3</v>
      </c>
      <c r="E102" s="55">
        <v>110000</v>
      </c>
      <c r="F102" s="94"/>
      <c r="G102" s="55">
        <v>110000</v>
      </c>
      <c r="H102" s="389"/>
      <c r="I102" s="597"/>
    </row>
    <row r="103" spans="1:9" ht="20.25" customHeight="1">
      <c r="A103" s="88"/>
      <c r="B103" s="89"/>
      <c r="C103" s="9">
        <v>4380</v>
      </c>
      <c r="D103" s="272" t="s">
        <v>379</v>
      </c>
      <c r="E103" s="55">
        <v>4000</v>
      </c>
      <c r="F103" s="94"/>
      <c r="G103" s="55">
        <v>4000</v>
      </c>
      <c r="H103" s="389"/>
      <c r="I103" s="597"/>
    </row>
    <row r="104" spans="1:9" ht="26.25" customHeight="1">
      <c r="A104" s="88"/>
      <c r="B104" s="89"/>
      <c r="C104" s="9">
        <v>4390</v>
      </c>
      <c r="D104" s="272" t="s">
        <v>154</v>
      </c>
      <c r="E104" s="55">
        <v>20000</v>
      </c>
      <c r="F104" s="94"/>
      <c r="G104" s="55">
        <f>1500+20000+500</f>
        <v>22000</v>
      </c>
      <c r="H104" s="389"/>
      <c r="I104" s="597"/>
    </row>
    <row r="105" spans="1:9" ht="27" customHeight="1">
      <c r="A105" s="88"/>
      <c r="B105" s="89"/>
      <c r="C105" s="9">
        <v>4400</v>
      </c>
      <c r="D105" s="272" t="s">
        <v>720</v>
      </c>
      <c r="E105" s="55">
        <v>139000</v>
      </c>
      <c r="F105" s="94"/>
      <c r="G105" s="55">
        <v>139000</v>
      </c>
      <c r="H105" s="389"/>
      <c r="I105" s="597"/>
    </row>
    <row r="106" spans="1:9" ht="15" customHeight="1">
      <c r="A106" s="88"/>
      <c r="B106" s="89"/>
      <c r="C106" s="9">
        <v>4410</v>
      </c>
      <c r="D106" s="272" t="s">
        <v>507</v>
      </c>
      <c r="E106" s="55">
        <v>297000</v>
      </c>
      <c r="F106" s="94"/>
      <c r="G106" s="55">
        <f>300000+7500</f>
        <v>307500</v>
      </c>
      <c r="H106" s="389"/>
      <c r="I106" s="597"/>
    </row>
    <row r="107" spans="1:9" ht="15" customHeight="1">
      <c r="A107" s="88"/>
      <c r="B107" s="89"/>
      <c r="C107" s="9">
        <v>4420</v>
      </c>
      <c r="D107" s="272" t="s">
        <v>508</v>
      </c>
      <c r="E107" s="55">
        <v>70000</v>
      </c>
      <c r="F107" s="94"/>
      <c r="G107" s="55">
        <f>30000+10000</f>
        <v>40000</v>
      </c>
      <c r="H107" s="389"/>
      <c r="I107" s="597"/>
    </row>
    <row r="108" spans="1:9" ht="15" customHeight="1">
      <c r="A108" s="88"/>
      <c r="B108" s="89"/>
      <c r="C108" s="9">
        <v>4430</v>
      </c>
      <c r="D108" s="272" t="s">
        <v>518</v>
      </c>
      <c r="E108" s="55">
        <v>141625</v>
      </c>
      <c r="F108" s="94"/>
      <c r="G108" s="55">
        <f>49000+4000+65000+21000+12000+2625+5000</f>
        <v>158625</v>
      </c>
      <c r="H108" s="389"/>
      <c r="I108" s="597"/>
    </row>
    <row r="109" spans="1:9" ht="26.25" customHeight="1">
      <c r="A109" s="88"/>
      <c r="B109" s="89"/>
      <c r="C109" s="9">
        <v>4440</v>
      </c>
      <c r="D109" s="272" t="s">
        <v>498</v>
      </c>
      <c r="E109" s="55">
        <v>339662.51</v>
      </c>
      <c r="F109" s="94"/>
      <c r="G109" s="55">
        <f>401001+49000</f>
        <v>450001</v>
      </c>
      <c r="H109" s="389"/>
      <c r="I109" s="597"/>
    </row>
    <row r="110" spans="1:9" ht="19.5" customHeight="1">
      <c r="A110" s="88"/>
      <c r="B110" s="89"/>
      <c r="C110" s="9">
        <v>4480</v>
      </c>
      <c r="D110" s="272" t="s">
        <v>98</v>
      </c>
      <c r="E110" s="55">
        <v>30000</v>
      </c>
      <c r="F110" s="94"/>
      <c r="G110" s="55">
        <v>30000</v>
      </c>
      <c r="H110" s="389"/>
      <c r="I110" s="597"/>
    </row>
    <row r="111" spans="1:9" ht="22.5" customHeight="1">
      <c r="A111" s="88"/>
      <c r="B111" s="89"/>
      <c r="C111" s="9">
        <v>4520</v>
      </c>
      <c r="D111" s="272" t="s">
        <v>373</v>
      </c>
      <c r="E111" s="55">
        <v>16545</v>
      </c>
      <c r="F111" s="94"/>
      <c r="G111" s="55">
        <f>4000+30000</f>
        <v>34000</v>
      </c>
      <c r="H111" s="389"/>
      <c r="I111" s="597"/>
    </row>
    <row r="112" spans="1:9" ht="22.5" customHeight="1">
      <c r="A112" s="88"/>
      <c r="B112" s="89"/>
      <c r="C112" s="9">
        <v>4530</v>
      </c>
      <c r="D112" s="272" t="s">
        <v>636</v>
      </c>
      <c r="E112" s="55">
        <v>7000</v>
      </c>
      <c r="F112" s="94"/>
      <c r="G112" s="55">
        <v>7000</v>
      </c>
      <c r="H112" s="389"/>
      <c r="I112" s="597"/>
    </row>
    <row r="113" spans="1:9" ht="24.75" customHeight="1">
      <c r="A113" s="88"/>
      <c r="B113" s="89"/>
      <c r="C113" s="9">
        <v>4610</v>
      </c>
      <c r="D113" s="272" t="s">
        <v>515</v>
      </c>
      <c r="E113" s="55">
        <v>193000</v>
      </c>
      <c r="F113" s="94"/>
      <c r="G113" s="55">
        <f>226610+3000</f>
        <v>229610</v>
      </c>
      <c r="H113" s="389"/>
      <c r="I113" s="597"/>
    </row>
    <row r="114" spans="1:9" ht="28.5" customHeight="1">
      <c r="A114" s="88"/>
      <c r="B114" s="89"/>
      <c r="C114" s="9">
        <v>4700</v>
      </c>
      <c r="D114" s="272" t="s">
        <v>374</v>
      </c>
      <c r="E114" s="55">
        <v>127900</v>
      </c>
      <c r="F114" s="94"/>
      <c r="G114" s="55">
        <f>120000+4900+5500</f>
        <v>130400</v>
      </c>
      <c r="H114" s="389"/>
      <c r="I114" s="597"/>
    </row>
    <row r="115" spans="1:9" ht="28.5" customHeight="1">
      <c r="A115" s="88"/>
      <c r="B115" s="89"/>
      <c r="C115" s="9">
        <v>6050</v>
      </c>
      <c r="D115" s="272" t="s">
        <v>623</v>
      </c>
      <c r="E115" s="55">
        <v>237000</v>
      </c>
      <c r="F115" s="94"/>
      <c r="G115" s="55">
        <v>0</v>
      </c>
      <c r="H115" s="389"/>
      <c r="I115" s="597"/>
    </row>
    <row r="116" spans="1:9" ht="30" customHeight="1">
      <c r="A116" s="88"/>
      <c r="B116" s="97"/>
      <c r="C116" s="9">
        <v>6060</v>
      </c>
      <c r="D116" s="272" t="s">
        <v>516</v>
      </c>
      <c r="E116" s="55">
        <v>87700</v>
      </c>
      <c r="F116" s="94"/>
      <c r="G116" s="55">
        <f>50000+200000</f>
        <v>250000</v>
      </c>
      <c r="H116" s="389"/>
      <c r="I116" s="597"/>
    </row>
    <row r="117" spans="1:25" s="56" customFormat="1" ht="24" customHeight="1">
      <c r="A117" s="118"/>
      <c r="B117" s="49">
        <v>75075</v>
      </c>
      <c r="C117" s="24"/>
      <c r="D117" s="277" t="s">
        <v>509</v>
      </c>
      <c r="E117" s="220">
        <f>SUM(E118:E120)</f>
        <v>922200</v>
      </c>
      <c r="F117" s="112"/>
      <c r="G117" s="220">
        <f>SUM(G118:G120)</f>
        <v>798800</v>
      </c>
      <c r="H117" s="1069"/>
      <c r="I117" s="330">
        <f>G117/E117*100</f>
        <v>86.6189546736066</v>
      </c>
      <c r="J117" s="230"/>
      <c r="K117" s="230"/>
      <c r="L117" s="248"/>
      <c r="M117" s="230"/>
      <c r="N117" s="230"/>
      <c r="O117" s="230"/>
      <c r="P117" s="230"/>
      <c r="Q117" s="230"/>
      <c r="R117" s="230"/>
      <c r="S117" s="230"/>
      <c r="T117" s="238"/>
      <c r="U117" s="238"/>
      <c r="V117" s="238"/>
      <c r="W117" s="238"/>
      <c r="X117" s="238"/>
      <c r="Y117" s="238"/>
    </row>
    <row r="118" spans="1:25" s="56" customFormat="1" ht="19.5" customHeight="1">
      <c r="A118" s="118"/>
      <c r="B118" s="116"/>
      <c r="C118" s="9">
        <v>4170</v>
      </c>
      <c r="D118" s="272" t="s">
        <v>503</v>
      </c>
      <c r="E118" s="55">
        <v>14400</v>
      </c>
      <c r="F118" s="112"/>
      <c r="G118" s="55">
        <v>14400</v>
      </c>
      <c r="H118" s="1069"/>
      <c r="I118" s="597"/>
      <c r="J118" s="230"/>
      <c r="K118" s="230"/>
      <c r="L118" s="248"/>
      <c r="M118" s="230"/>
      <c r="N118" s="230"/>
      <c r="O118" s="230"/>
      <c r="P118" s="230"/>
      <c r="Q118" s="230"/>
      <c r="R118" s="230"/>
      <c r="S118" s="230"/>
      <c r="T118" s="238"/>
      <c r="U118" s="238"/>
      <c r="V118" s="238"/>
      <c r="W118" s="238"/>
      <c r="X118" s="238"/>
      <c r="Y118" s="238"/>
    </row>
    <row r="119" spans="1:25" s="56" customFormat="1" ht="21" customHeight="1">
      <c r="A119" s="118"/>
      <c r="B119" s="116"/>
      <c r="C119" s="9">
        <v>4210</v>
      </c>
      <c r="D119" s="272" t="s">
        <v>504</v>
      </c>
      <c r="E119" s="55">
        <v>82200</v>
      </c>
      <c r="F119" s="112"/>
      <c r="G119" s="55">
        <f>38000+40000+50400</f>
        <v>128400</v>
      </c>
      <c r="H119" s="1069"/>
      <c r="I119" s="597"/>
      <c r="J119" s="230"/>
      <c r="K119" s="230"/>
      <c r="L119" s="248"/>
      <c r="M119" s="230"/>
      <c r="N119" s="230"/>
      <c r="O119" s="230"/>
      <c r="P119" s="230"/>
      <c r="Q119" s="230"/>
      <c r="R119" s="230"/>
      <c r="S119" s="230"/>
      <c r="T119" s="238"/>
      <c r="U119" s="238"/>
      <c r="V119" s="238"/>
      <c r="W119" s="238"/>
      <c r="X119" s="238"/>
      <c r="Y119" s="238"/>
    </row>
    <row r="120" spans="1:25" s="56" customFormat="1" ht="20.25" customHeight="1">
      <c r="A120" s="118"/>
      <c r="B120" s="85"/>
      <c r="C120" s="9">
        <v>4300</v>
      </c>
      <c r="D120" s="272" t="s">
        <v>448</v>
      </c>
      <c r="E120" s="55">
        <v>825600</v>
      </c>
      <c r="F120" s="112"/>
      <c r="G120" s="55">
        <f>116000+540000</f>
        <v>656000</v>
      </c>
      <c r="H120" s="1069"/>
      <c r="I120" s="597"/>
      <c r="J120" s="230"/>
      <c r="K120" s="230"/>
      <c r="L120" s="248"/>
      <c r="M120" s="230"/>
      <c r="N120" s="230"/>
      <c r="O120" s="230"/>
      <c r="P120" s="230"/>
      <c r="Q120" s="230"/>
      <c r="R120" s="230"/>
      <c r="S120" s="230"/>
      <c r="T120" s="238"/>
      <c r="U120" s="238"/>
      <c r="V120" s="238"/>
      <c r="W120" s="238"/>
      <c r="X120" s="238"/>
      <c r="Y120" s="238"/>
    </row>
    <row r="121" spans="1:25" s="56" customFormat="1" ht="20.25" customHeight="1">
      <c r="A121" s="118"/>
      <c r="B121" s="85">
        <v>75095</v>
      </c>
      <c r="C121" s="28"/>
      <c r="D121" s="277" t="s">
        <v>143</v>
      </c>
      <c r="E121" s="29">
        <f>SUM(E122:E128)</f>
        <v>2748862.5</v>
      </c>
      <c r="F121" s="112"/>
      <c r="G121" s="29">
        <f>SUM(G122:G128)</f>
        <v>1012287.5</v>
      </c>
      <c r="H121" s="1069"/>
      <c r="I121" s="330">
        <f>G121/E121*100</f>
        <v>36.825686988708966</v>
      </c>
      <c r="J121" s="230"/>
      <c r="K121" s="230"/>
      <c r="L121" s="248"/>
      <c r="M121" s="230"/>
      <c r="N121" s="230"/>
      <c r="O121" s="230"/>
      <c r="P121" s="230"/>
      <c r="Q121" s="230"/>
      <c r="R121" s="230"/>
      <c r="S121" s="230"/>
      <c r="T121" s="238"/>
      <c r="U121" s="238"/>
      <c r="V121" s="238"/>
      <c r="W121" s="238"/>
      <c r="X121" s="238"/>
      <c r="Y121" s="238"/>
    </row>
    <row r="122" spans="1:25" s="56" customFormat="1" ht="48" customHeight="1">
      <c r="A122" s="118"/>
      <c r="B122" s="116"/>
      <c r="C122" s="3">
        <v>2320</v>
      </c>
      <c r="D122" s="272" t="s">
        <v>422</v>
      </c>
      <c r="E122" s="188">
        <v>5062.5</v>
      </c>
      <c r="F122" s="112"/>
      <c r="G122" s="27">
        <v>32287.5</v>
      </c>
      <c r="H122" s="1069"/>
      <c r="I122" s="597"/>
      <c r="J122" s="230"/>
      <c r="K122" s="230"/>
      <c r="L122" s="248"/>
      <c r="M122" s="230"/>
      <c r="N122" s="230"/>
      <c r="O122" s="230"/>
      <c r="P122" s="230"/>
      <c r="Q122" s="230"/>
      <c r="R122" s="230"/>
      <c r="S122" s="230"/>
      <c r="T122" s="238"/>
      <c r="U122" s="238"/>
      <c r="V122" s="238"/>
      <c r="W122" s="238"/>
      <c r="X122" s="238"/>
      <c r="Y122" s="238"/>
    </row>
    <row r="123" spans="1:25" s="56" customFormat="1" ht="27.75" customHeight="1">
      <c r="A123" s="118"/>
      <c r="B123" s="116"/>
      <c r="C123" s="16">
        <v>3020</v>
      </c>
      <c r="D123" s="272" t="s">
        <v>502</v>
      </c>
      <c r="E123" s="27">
        <v>1000</v>
      </c>
      <c r="F123" s="94"/>
      <c r="G123" s="27">
        <v>1000</v>
      </c>
      <c r="H123" s="389"/>
      <c r="I123" s="597"/>
      <c r="J123" s="230"/>
      <c r="K123" s="230"/>
      <c r="L123" s="248"/>
      <c r="M123" s="230"/>
      <c r="N123" s="230"/>
      <c r="O123" s="230"/>
      <c r="P123" s="230"/>
      <c r="Q123" s="230"/>
      <c r="R123" s="230"/>
      <c r="S123" s="230"/>
      <c r="T123" s="238"/>
      <c r="U123" s="238"/>
      <c r="V123" s="238"/>
      <c r="W123" s="238"/>
      <c r="X123" s="238"/>
      <c r="Y123" s="238"/>
    </row>
    <row r="124" spans="1:25" s="56" customFormat="1" ht="15.75" customHeight="1">
      <c r="A124" s="118"/>
      <c r="B124" s="116"/>
      <c r="C124" s="9">
        <v>4170</v>
      </c>
      <c r="D124" s="272" t="s">
        <v>503</v>
      </c>
      <c r="E124" s="27">
        <v>3000</v>
      </c>
      <c r="F124" s="94"/>
      <c r="G124" s="27"/>
      <c r="H124" s="389"/>
      <c r="I124" s="597"/>
      <c r="J124" s="230"/>
      <c r="K124" s="230"/>
      <c r="L124" s="248"/>
      <c r="M124" s="230"/>
      <c r="N124" s="230"/>
      <c r="O124" s="230"/>
      <c r="P124" s="230"/>
      <c r="Q124" s="230"/>
      <c r="R124" s="230"/>
      <c r="S124" s="230"/>
      <c r="T124" s="238"/>
      <c r="U124" s="238"/>
      <c r="V124" s="238"/>
      <c r="W124" s="238"/>
      <c r="X124" s="238"/>
      <c r="Y124" s="238"/>
    </row>
    <row r="125" spans="1:25" s="56" customFormat="1" ht="21" customHeight="1">
      <c r="A125" s="118"/>
      <c r="B125" s="116"/>
      <c r="C125" s="3">
        <v>4210</v>
      </c>
      <c r="D125" s="324" t="s">
        <v>504</v>
      </c>
      <c r="E125" s="27">
        <v>13000</v>
      </c>
      <c r="F125" s="94"/>
      <c r="G125" s="27">
        <v>10000</v>
      </c>
      <c r="H125" s="389"/>
      <c r="I125" s="597"/>
      <c r="J125" s="230"/>
      <c r="K125" s="230"/>
      <c r="L125" s="248"/>
      <c r="M125" s="230"/>
      <c r="N125" s="230"/>
      <c r="O125" s="230"/>
      <c r="P125" s="230"/>
      <c r="Q125" s="230"/>
      <c r="R125" s="230"/>
      <c r="S125" s="230"/>
      <c r="T125" s="238"/>
      <c r="U125" s="238"/>
      <c r="V125" s="238"/>
      <c r="W125" s="238"/>
      <c r="X125" s="238"/>
      <c r="Y125" s="238"/>
    </row>
    <row r="126" spans="1:25" s="56" customFormat="1" ht="19.5" customHeight="1">
      <c r="A126" s="118"/>
      <c r="B126" s="116"/>
      <c r="C126" s="3">
        <v>4300</v>
      </c>
      <c r="D126" s="272" t="s">
        <v>448</v>
      </c>
      <c r="E126" s="27">
        <v>32700</v>
      </c>
      <c r="F126" s="94"/>
      <c r="G126" s="27">
        <v>18700</v>
      </c>
      <c r="H126" s="389"/>
      <c r="I126" s="597"/>
      <c r="J126" s="230"/>
      <c r="K126" s="230"/>
      <c r="L126" s="248"/>
      <c r="M126" s="230"/>
      <c r="N126" s="230"/>
      <c r="O126" s="230"/>
      <c r="P126" s="230"/>
      <c r="Q126" s="230"/>
      <c r="R126" s="230"/>
      <c r="S126" s="230"/>
      <c r="T126" s="238"/>
      <c r="U126" s="238"/>
      <c r="V126" s="238"/>
      <c r="W126" s="238"/>
      <c r="X126" s="238"/>
      <c r="Y126" s="238"/>
    </row>
    <row r="127" spans="1:25" s="56" customFormat="1" ht="27" customHeight="1">
      <c r="A127" s="118"/>
      <c r="B127" s="116"/>
      <c r="C127" s="9">
        <v>4610</v>
      </c>
      <c r="D127" s="272" t="s">
        <v>515</v>
      </c>
      <c r="E127" s="27">
        <v>300</v>
      </c>
      <c r="F127" s="94"/>
      <c r="G127" s="27">
        <v>300</v>
      </c>
      <c r="H127" s="389"/>
      <c r="I127" s="597"/>
      <c r="J127" s="230"/>
      <c r="K127" s="230"/>
      <c r="L127" s="248"/>
      <c r="M127" s="230"/>
      <c r="N127" s="230"/>
      <c r="O127" s="230"/>
      <c r="P127" s="230"/>
      <c r="Q127" s="230"/>
      <c r="R127" s="230"/>
      <c r="S127" s="230"/>
      <c r="T127" s="238"/>
      <c r="U127" s="238"/>
      <c r="V127" s="238"/>
      <c r="W127" s="238"/>
      <c r="X127" s="238"/>
      <c r="Y127" s="238"/>
    </row>
    <row r="128" spans="1:25" s="56" customFormat="1" ht="28.5" customHeight="1">
      <c r="A128" s="118"/>
      <c r="B128" s="116"/>
      <c r="C128" s="3">
        <v>6050</v>
      </c>
      <c r="D128" s="272" t="s">
        <v>384</v>
      </c>
      <c r="E128" s="55">
        <v>2693800</v>
      </c>
      <c r="F128" s="94"/>
      <c r="G128" s="55">
        <v>950000</v>
      </c>
      <c r="H128" s="389"/>
      <c r="I128" s="597"/>
      <c r="J128" s="230"/>
      <c r="K128" s="230"/>
      <c r="L128" s="248"/>
      <c r="M128" s="230"/>
      <c r="N128" s="230"/>
      <c r="O128" s="230"/>
      <c r="P128" s="230"/>
      <c r="Q128" s="230"/>
      <c r="R128" s="230"/>
      <c r="S128" s="230"/>
      <c r="T128" s="238"/>
      <c r="U128" s="238"/>
      <c r="V128" s="238"/>
      <c r="W128" s="238"/>
      <c r="X128" s="238"/>
      <c r="Y128" s="238"/>
    </row>
    <row r="129" spans="1:9" ht="39.75" customHeight="1">
      <c r="A129" s="63">
        <v>751</v>
      </c>
      <c r="B129" s="62"/>
      <c r="C129" s="11"/>
      <c r="D129" s="276" t="s">
        <v>381</v>
      </c>
      <c r="E129" s="70">
        <f>E130</f>
        <v>13500</v>
      </c>
      <c r="F129" s="70">
        <f>F130</f>
        <v>13500</v>
      </c>
      <c r="G129" s="70">
        <f>G130</f>
        <v>13500</v>
      </c>
      <c r="H129" s="1070">
        <f>H130</f>
        <v>13500</v>
      </c>
      <c r="I129" s="330">
        <f>G129/E129*100</f>
        <v>100</v>
      </c>
    </row>
    <row r="130" spans="1:9" ht="36.75" customHeight="1">
      <c r="A130" s="115"/>
      <c r="B130" s="83">
        <v>75101</v>
      </c>
      <c r="C130" s="25"/>
      <c r="D130" s="277" t="s">
        <v>381</v>
      </c>
      <c r="E130" s="105">
        <f>E131+E132+E133</f>
        <v>13500</v>
      </c>
      <c r="F130" s="225">
        <f>F131+F132+F133</f>
        <v>13500</v>
      </c>
      <c r="G130" s="105">
        <f>G131+G132+G133</f>
        <v>13500</v>
      </c>
      <c r="H130" s="1071">
        <f>H131+H132+H133</f>
        <v>13500</v>
      </c>
      <c r="I130" s="330">
        <f>G130/E130*100</f>
        <v>100</v>
      </c>
    </row>
    <row r="131" spans="1:9" ht="15" customHeight="1">
      <c r="A131" s="89"/>
      <c r="B131" s="98"/>
      <c r="C131" s="3">
        <v>4110</v>
      </c>
      <c r="D131" s="272" t="s">
        <v>496</v>
      </c>
      <c r="E131" s="144">
        <v>1960</v>
      </c>
      <c r="F131" s="114">
        <v>1960</v>
      </c>
      <c r="G131" s="114">
        <v>1960</v>
      </c>
      <c r="H131" s="144">
        <v>1960</v>
      </c>
      <c r="I131" s="597"/>
    </row>
    <row r="132" spans="1:9" ht="15" customHeight="1">
      <c r="A132" s="89"/>
      <c r="B132" s="89"/>
      <c r="C132" s="3">
        <v>4120</v>
      </c>
      <c r="D132" s="272" t="s">
        <v>497</v>
      </c>
      <c r="E132" s="144">
        <v>210</v>
      </c>
      <c r="F132" s="114">
        <v>210</v>
      </c>
      <c r="G132" s="114">
        <v>210</v>
      </c>
      <c r="H132" s="144">
        <v>210</v>
      </c>
      <c r="I132" s="597"/>
    </row>
    <row r="133" spans="1:9" ht="18" customHeight="1">
      <c r="A133" s="88"/>
      <c r="B133" s="88"/>
      <c r="C133" s="3">
        <v>4170</v>
      </c>
      <c r="D133" s="272" t="s">
        <v>503</v>
      </c>
      <c r="E133" s="144">
        <v>11330</v>
      </c>
      <c r="F133" s="114">
        <v>11330</v>
      </c>
      <c r="G133" s="114">
        <v>11330</v>
      </c>
      <c r="H133" s="144">
        <v>11330</v>
      </c>
      <c r="I133" s="597"/>
    </row>
    <row r="134" spans="1:9" ht="22.5" customHeight="1">
      <c r="A134" s="120">
        <v>752</v>
      </c>
      <c r="B134" s="11"/>
      <c r="C134" s="12"/>
      <c r="D134" s="276" t="s">
        <v>343</v>
      </c>
      <c r="E134" s="36">
        <f>E135</f>
        <v>7500</v>
      </c>
      <c r="F134" s="114"/>
      <c r="G134" s="36">
        <f>G135</f>
        <v>5000</v>
      </c>
      <c r="H134" s="144"/>
      <c r="I134" s="330">
        <f>G134/E134*100</f>
        <v>66.66666666666666</v>
      </c>
    </row>
    <row r="135" spans="1:25" s="56" customFormat="1" ht="17.25" customHeight="1">
      <c r="A135" s="37"/>
      <c r="B135" s="38">
        <v>75212</v>
      </c>
      <c r="C135" s="25"/>
      <c r="D135" s="277" t="s">
        <v>344</v>
      </c>
      <c r="E135" s="104">
        <f>E136</f>
        <v>7500</v>
      </c>
      <c r="F135" s="113"/>
      <c r="G135" s="104">
        <f>G136</f>
        <v>5000</v>
      </c>
      <c r="H135" s="148"/>
      <c r="I135" s="597"/>
      <c r="J135" s="230"/>
      <c r="K135" s="230"/>
      <c r="L135" s="248"/>
      <c r="M135" s="230"/>
      <c r="N135" s="230"/>
      <c r="O135" s="230"/>
      <c r="P135" s="230"/>
      <c r="Q135" s="230"/>
      <c r="R135" s="230"/>
      <c r="S135" s="230"/>
      <c r="T135" s="238"/>
      <c r="U135" s="238"/>
      <c r="V135" s="238"/>
      <c r="W135" s="238"/>
      <c r="X135" s="238"/>
      <c r="Y135" s="238"/>
    </row>
    <row r="136" spans="1:9" ht="19.5" customHeight="1">
      <c r="A136" s="17"/>
      <c r="B136" s="17"/>
      <c r="C136" s="3">
        <v>4300</v>
      </c>
      <c r="D136" s="272" t="s">
        <v>408</v>
      </c>
      <c r="E136" s="100">
        <v>7500</v>
      </c>
      <c r="F136" s="94"/>
      <c r="G136" s="100">
        <v>5000</v>
      </c>
      <c r="H136" s="389"/>
      <c r="I136" s="597"/>
    </row>
    <row r="137" spans="1:9" ht="28.5" customHeight="1">
      <c r="A137" s="62">
        <v>754</v>
      </c>
      <c r="B137" s="63"/>
      <c r="C137" s="11"/>
      <c r="D137" s="276" t="s">
        <v>145</v>
      </c>
      <c r="E137" s="92">
        <f>E138+E150+E154+E158</f>
        <v>423500</v>
      </c>
      <c r="F137" s="114"/>
      <c r="G137" s="92">
        <f>G138+G150+G154+G158</f>
        <v>280000</v>
      </c>
      <c r="H137" s="144"/>
      <c r="I137" s="330">
        <f>G137/E137*100</f>
        <v>66.11570247933885</v>
      </c>
    </row>
    <row r="138" spans="1:9" ht="24.75" customHeight="1">
      <c r="A138" s="116" t="s">
        <v>21</v>
      </c>
      <c r="B138" s="83">
        <v>75412</v>
      </c>
      <c r="C138" s="24" t="s">
        <v>21</v>
      </c>
      <c r="D138" s="277" t="s">
        <v>510</v>
      </c>
      <c r="E138" s="104">
        <f>SUM(E139:E149)</f>
        <v>165840</v>
      </c>
      <c r="F138" s="94"/>
      <c r="G138" s="104">
        <f>SUM(G139:G149)</f>
        <v>151140</v>
      </c>
      <c r="H138" s="389"/>
      <c r="I138" s="330">
        <f>G138/E138*100</f>
        <v>91.13603473227207</v>
      </c>
    </row>
    <row r="139" spans="1:9" ht="20.25" customHeight="1">
      <c r="A139" s="89"/>
      <c r="B139" s="81"/>
      <c r="C139" s="9">
        <v>3030</v>
      </c>
      <c r="D139" s="272" t="s">
        <v>520</v>
      </c>
      <c r="E139" s="55">
        <v>20000</v>
      </c>
      <c r="F139" s="94"/>
      <c r="G139" s="55">
        <v>25000</v>
      </c>
      <c r="H139" s="389"/>
      <c r="I139" s="597"/>
    </row>
    <row r="140" spans="1:9" ht="15" customHeight="1">
      <c r="A140" s="89"/>
      <c r="B140" s="81"/>
      <c r="C140" s="9">
        <v>4110</v>
      </c>
      <c r="D140" s="272" t="s">
        <v>496</v>
      </c>
      <c r="E140" s="55">
        <v>2850</v>
      </c>
      <c r="F140" s="94"/>
      <c r="G140" s="55">
        <v>2850</v>
      </c>
      <c r="H140" s="389"/>
      <c r="I140" s="597"/>
    </row>
    <row r="141" spans="1:9" ht="15" customHeight="1">
      <c r="A141" s="89"/>
      <c r="B141" s="81"/>
      <c r="C141" s="3">
        <v>4120</v>
      </c>
      <c r="D141" s="272" t="s">
        <v>497</v>
      </c>
      <c r="E141" s="55">
        <v>150</v>
      </c>
      <c r="F141" s="94"/>
      <c r="G141" s="55">
        <v>150</v>
      </c>
      <c r="H141" s="389"/>
      <c r="I141" s="597"/>
    </row>
    <row r="142" spans="1:9" ht="15" customHeight="1">
      <c r="A142" s="89"/>
      <c r="B142" s="81"/>
      <c r="C142" s="3">
        <v>4170</v>
      </c>
      <c r="D142" s="272" t="s">
        <v>503</v>
      </c>
      <c r="E142" s="55">
        <v>36600</v>
      </c>
      <c r="F142" s="94"/>
      <c r="G142" s="55">
        <v>36600</v>
      </c>
      <c r="H142" s="389"/>
      <c r="I142" s="597"/>
    </row>
    <row r="143" spans="1:9" ht="15" customHeight="1">
      <c r="A143" s="89"/>
      <c r="B143" s="81"/>
      <c r="C143" s="9">
        <v>4210</v>
      </c>
      <c r="D143" s="272" t="s">
        <v>411</v>
      </c>
      <c r="E143" s="55">
        <v>44000</v>
      </c>
      <c r="F143" s="94"/>
      <c r="G143" s="55">
        <v>42840</v>
      </c>
      <c r="H143" s="389"/>
      <c r="I143" s="597"/>
    </row>
    <row r="144" spans="1:9" ht="15" customHeight="1">
      <c r="A144" s="89"/>
      <c r="B144" s="81"/>
      <c r="C144" s="9">
        <v>4260</v>
      </c>
      <c r="D144" s="272" t="s">
        <v>511</v>
      </c>
      <c r="E144" s="55">
        <v>6500</v>
      </c>
      <c r="F144" s="94"/>
      <c r="G144" s="55">
        <v>4000</v>
      </c>
      <c r="H144" s="389"/>
      <c r="I144" s="597"/>
    </row>
    <row r="145" spans="1:9" ht="15" customHeight="1">
      <c r="A145" s="89"/>
      <c r="B145" s="81"/>
      <c r="C145" s="9">
        <v>4300</v>
      </c>
      <c r="D145" s="272" t="s">
        <v>408</v>
      </c>
      <c r="E145" s="55">
        <v>23000</v>
      </c>
      <c r="F145" s="94"/>
      <c r="G145" s="55">
        <v>20000</v>
      </c>
      <c r="H145" s="389"/>
      <c r="I145" s="597"/>
    </row>
    <row r="146" spans="1:9" ht="35.25" customHeight="1">
      <c r="A146" s="89"/>
      <c r="B146" s="81"/>
      <c r="C146" s="3">
        <v>4360</v>
      </c>
      <c r="D146" s="272" t="s">
        <v>4</v>
      </c>
      <c r="E146" s="55">
        <v>240</v>
      </c>
      <c r="F146" s="94"/>
      <c r="G146" s="55">
        <v>200</v>
      </c>
      <c r="H146" s="389"/>
      <c r="I146" s="597"/>
    </row>
    <row r="147" spans="1:9" ht="15" customHeight="1">
      <c r="A147" s="89"/>
      <c r="B147" s="81"/>
      <c r="C147" s="16">
        <v>4430</v>
      </c>
      <c r="D147" s="274" t="s">
        <v>387</v>
      </c>
      <c r="E147" s="55">
        <v>12500</v>
      </c>
      <c r="F147" s="94"/>
      <c r="G147" s="55">
        <v>13500</v>
      </c>
      <c r="H147" s="389"/>
      <c r="I147" s="597"/>
    </row>
    <row r="148" spans="1:9" ht="27.75" customHeight="1">
      <c r="A148" s="89"/>
      <c r="B148" s="81"/>
      <c r="C148" s="9">
        <v>6060</v>
      </c>
      <c r="D148" s="272" t="s">
        <v>516</v>
      </c>
      <c r="E148" s="79">
        <v>5000</v>
      </c>
      <c r="F148" s="94"/>
      <c r="G148" s="79">
        <v>6000</v>
      </c>
      <c r="H148" s="389"/>
      <c r="I148" s="597"/>
    </row>
    <row r="149" spans="1:9" ht="60.75" customHeight="1">
      <c r="A149" s="89"/>
      <c r="B149" s="81"/>
      <c r="C149" s="16">
        <v>6230</v>
      </c>
      <c r="D149" s="274" t="s">
        <v>660</v>
      </c>
      <c r="E149" s="79">
        <v>15000</v>
      </c>
      <c r="F149" s="94"/>
      <c r="G149" s="79">
        <v>0</v>
      </c>
      <c r="H149" s="389"/>
      <c r="I149" s="597"/>
    </row>
    <row r="150" spans="1:9" ht="20.25" customHeight="1">
      <c r="A150" s="116"/>
      <c r="B150" s="49">
        <v>75414</v>
      </c>
      <c r="C150" s="24" t="s">
        <v>21</v>
      </c>
      <c r="D150" s="277" t="s">
        <v>512</v>
      </c>
      <c r="E150" s="104">
        <f>SUM(E151:E153)</f>
        <v>25760</v>
      </c>
      <c r="F150" s="94"/>
      <c r="G150" s="104">
        <f>SUM(G151:G153)</f>
        <v>26760</v>
      </c>
      <c r="H150" s="389"/>
      <c r="I150" s="330">
        <f>G150/E150*100</f>
        <v>103.88198757763976</v>
      </c>
    </row>
    <row r="151" spans="1:9" ht="15" customHeight="1">
      <c r="A151" s="116"/>
      <c r="B151" s="123"/>
      <c r="C151" s="9">
        <v>4210</v>
      </c>
      <c r="D151" s="272" t="s">
        <v>411</v>
      </c>
      <c r="E151" s="55">
        <v>5560</v>
      </c>
      <c r="F151" s="94"/>
      <c r="G151" s="55">
        <v>5560</v>
      </c>
      <c r="H151" s="389"/>
      <c r="I151" s="597"/>
    </row>
    <row r="152" spans="1:9" ht="15" customHeight="1">
      <c r="A152" s="116"/>
      <c r="B152" s="123"/>
      <c r="C152" s="9">
        <v>4300</v>
      </c>
      <c r="D152" s="272" t="s">
        <v>408</v>
      </c>
      <c r="E152" s="55">
        <v>4200</v>
      </c>
      <c r="F152" s="94"/>
      <c r="G152" s="55">
        <v>4200</v>
      </c>
      <c r="H152" s="389"/>
      <c r="I152" s="597"/>
    </row>
    <row r="153" spans="1:25" s="61" customFormat="1" ht="27.75" customHeight="1">
      <c r="A153" s="116"/>
      <c r="B153" s="124"/>
      <c r="C153" s="9">
        <v>6060</v>
      </c>
      <c r="D153" s="272" t="s">
        <v>516</v>
      </c>
      <c r="E153" s="79">
        <v>16000</v>
      </c>
      <c r="F153" s="94"/>
      <c r="G153" s="79">
        <v>17000</v>
      </c>
      <c r="H153" s="389"/>
      <c r="I153" s="597"/>
      <c r="J153" s="226"/>
      <c r="K153" s="226"/>
      <c r="L153" s="249"/>
      <c r="M153" s="226"/>
      <c r="N153" s="226"/>
      <c r="O153" s="226"/>
      <c r="P153" s="226"/>
      <c r="Q153" s="226"/>
      <c r="R153" s="226"/>
      <c r="S153" s="226"/>
      <c r="T153" s="222"/>
      <c r="U153" s="222"/>
      <c r="V153" s="222"/>
      <c r="W153" s="222"/>
      <c r="X153" s="222"/>
      <c r="Y153" s="222"/>
    </row>
    <row r="154" spans="1:9" ht="21" customHeight="1">
      <c r="A154" s="116"/>
      <c r="B154" s="124">
        <v>75421</v>
      </c>
      <c r="C154" s="9"/>
      <c r="D154" s="277" t="s">
        <v>349</v>
      </c>
      <c r="E154" s="104">
        <f>SUM(E155:E157)</f>
        <v>172800</v>
      </c>
      <c r="F154" s="112"/>
      <c r="G154" s="104">
        <f>SUM(G155:G157)</f>
        <v>93000</v>
      </c>
      <c r="H154" s="1069"/>
      <c r="I154" s="330">
        <f>G154/E154*100</f>
        <v>53.81944444444444</v>
      </c>
    </row>
    <row r="155" spans="1:9" ht="21" customHeight="1">
      <c r="A155" s="116"/>
      <c r="B155" s="123"/>
      <c r="C155" s="9">
        <v>4210</v>
      </c>
      <c r="D155" s="272" t="s">
        <v>411</v>
      </c>
      <c r="E155" s="100">
        <v>0</v>
      </c>
      <c r="F155" s="94"/>
      <c r="G155" s="100">
        <v>3000</v>
      </c>
      <c r="H155" s="1069"/>
      <c r="I155" s="597"/>
    </row>
    <row r="156" spans="1:9" ht="21" customHeight="1">
      <c r="A156" s="116"/>
      <c r="B156" s="123"/>
      <c r="C156" s="9">
        <v>4260</v>
      </c>
      <c r="D156" s="272" t="s">
        <v>511</v>
      </c>
      <c r="E156" s="100">
        <v>84000</v>
      </c>
      <c r="F156" s="94"/>
      <c r="G156" s="100">
        <v>60000</v>
      </c>
      <c r="H156" s="389"/>
      <c r="I156" s="597"/>
    </row>
    <row r="157" spans="1:9" ht="21" customHeight="1">
      <c r="A157" s="116"/>
      <c r="B157" s="123"/>
      <c r="C157" s="9">
        <v>4300</v>
      </c>
      <c r="D157" s="272" t="s">
        <v>408</v>
      </c>
      <c r="E157" s="100">
        <v>88800</v>
      </c>
      <c r="F157" s="94"/>
      <c r="G157" s="100">
        <v>30000</v>
      </c>
      <c r="H157" s="389"/>
      <c r="I157" s="597"/>
    </row>
    <row r="158" spans="1:9" ht="24.75" customHeight="1">
      <c r="A158" s="89"/>
      <c r="B158" s="117">
        <v>75495</v>
      </c>
      <c r="C158" s="24"/>
      <c r="D158" s="277" t="s">
        <v>513</v>
      </c>
      <c r="E158" s="41">
        <f>SUM(E159:E162)</f>
        <v>59100</v>
      </c>
      <c r="F158" s="94"/>
      <c r="G158" s="41">
        <f>SUM(G159:G161)</f>
        <v>9100</v>
      </c>
      <c r="H158" s="389"/>
      <c r="I158" s="330">
        <f>G158/E158*100</f>
        <v>15.397631133671744</v>
      </c>
    </row>
    <row r="159" spans="1:9" ht="21" customHeight="1">
      <c r="A159" s="88"/>
      <c r="B159" s="115"/>
      <c r="C159" s="9">
        <v>3030</v>
      </c>
      <c r="D159" s="272" t="s">
        <v>520</v>
      </c>
      <c r="E159" s="100">
        <v>5000</v>
      </c>
      <c r="F159" s="94"/>
      <c r="G159" s="100">
        <v>5000</v>
      </c>
      <c r="H159" s="389"/>
      <c r="I159" s="597"/>
    </row>
    <row r="160" spans="1:9" ht="16.5" customHeight="1">
      <c r="A160" s="88"/>
      <c r="B160" s="116"/>
      <c r="C160" s="16">
        <v>4170</v>
      </c>
      <c r="D160" s="272" t="s">
        <v>503</v>
      </c>
      <c r="E160" s="79">
        <v>1100</v>
      </c>
      <c r="F160" s="96"/>
      <c r="G160" s="79">
        <v>1100</v>
      </c>
      <c r="H160" s="393"/>
      <c r="I160" s="597"/>
    </row>
    <row r="161" spans="1:9" ht="16.5" customHeight="1">
      <c r="A161" s="88"/>
      <c r="B161" s="116"/>
      <c r="C161" s="9">
        <v>4260</v>
      </c>
      <c r="D161" s="272" t="s">
        <v>511</v>
      </c>
      <c r="E161" s="79">
        <v>3000</v>
      </c>
      <c r="F161" s="94"/>
      <c r="G161" s="79">
        <v>3000</v>
      </c>
      <c r="H161" s="389"/>
      <c r="I161" s="597"/>
    </row>
    <row r="162" spans="1:9" ht="28.5" customHeight="1">
      <c r="A162" s="88"/>
      <c r="B162" s="116"/>
      <c r="C162" s="3">
        <v>6050</v>
      </c>
      <c r="D162" s="272" t="s">
        <v>384</v>
      </c>
      <c r="E162" s="79">
        <v>50000</v>
      </c>
      <c r="F162" s="94"/>
      <c r="G162" s="79">
        <v>0</v>
      </c>
      <c r="H162" s="389"/>
      <c r="I162" s="597"/>
    </row>
    <row r="163" spans="1:9" ht="24" customHeight="1">
      <c r="A163" s="62">
        <v>757</v>
      </c>
      <c r="B163" s="62"/>
      <c r="C163" s="11"/>
      <c r="D163" s="276" t="s">
        <v>540</v>
      </c>
      <c r="E163" s="80">
        <f>E164</f>
        <v>7150000</v>
      </c>
      <c r="F163" s="94"/>
      <c r="G163" s="80">
        <f>G164</f>
        <v>5100000</v>
      </c>
      <c r="H163" s="389"/>
      <c r="I163" s="330">
        <f>G163/E163*100</f>
        <v>71.32867132867133</v>
      </c>
    </row>
    <row r="164" spans="1:9" ht="30" customHeight="1">
      <c r="A164" s="115"/>
      <c r="B164" s="49">
        <v>75702</v>
      </c>
      <c r="C164" s="25"/>
      <c r="D164" s="277" t="s">
        <v>541</v>
      </c>
      <c r="E164" s="224">
        <f>E165+E166</f>
        <v>7150000</v>
      </c>
      <c r="F164" s="110"/>
      <c r="G164" s="224">
        <f>G165+G166</f>
        <v>5100000</v>
      </c>
      <c r="H164" s="1068"/>
      <c r="I164" s="330">
        <f>G164/E164*100</f>
        <v>71.32867132867133</v>
      </c>
    </row>
    <row r="165" spans="1:9" ht="19.5" customHeight="1">
      <c r="A165" s="116"/>
      <c r="B165" s="86"/>
      <c r="C165" s="3">
        <v>4300</v>
      </c>
      <c r="D165" s="272" t="s">
        <v>386</v>
      </c>
      <c r="E165" s="100">
        <v>0</v>
      </c>
      <c r="F165" s="94"/>
      <c r="G165" s="100">
        <v>100000</v>
      </c>
      <c r="H165" s="389"/>
      <c r="I165" s="597"/>
    </row>
    <row r="166" spans="1:9" ht="50.25" customHeight="1">
      <c r="A166" s="116"/>
      <c r="B166" s="86"/>
      <c r="C166" s="14">
        <v>8110</v>
      </c>
      <c r="D166" s="261" t="s">
        <v>13</v>
      </c>
      <c r="E166" s="55">
        <v>7150000</v>
      </c>
      <c r="F166" s="96"/>
      <c r="G166" s="55">
        <v>5000000</v>
      </c>
      <c r="H166" s="393"/>
      <c r="I166" s="597"/>
    </row>
    <row r="167" spans="1:9" ht="27" customHeight="1">
      <c r="A167" s="63">
        <v>758</v>
      </c>
      <c r="B167" s="62"/>
      <c r="C167" s="11"/>
      <c r="D167" s="276" t="s">
        <v>146</v>
      </c>
      <c r="E167" s="36">
        <f>E168</f>
        <v>1688276.6800000002</v>
      </c>
      <c r="F167" s="149"/>
      <c r="G167" s="36">
        <f>G168</f>
        <v>1774434.53</v>
      </c>
      <c r="H167" s="59"/>
      <c r="I167" s="330">
        <f>G167/E167*100</f>
        <v>105.10330155125996</v>
      </c>
    </row>
    <row r="168" spans="1:9" ht="17.25" customHeight="1">
      <c r="A168" s="115"/>
      <c r="B168" s="83">
        <v>75818</v>
      </c>
      <c r="C168" s="25"/>
      <c r="D168" s="277" t="s">
        <v>147</v>
      </c>
      <c r="E168" s="104">
        <f>E169+E174</f>
        <v>1688276.6800000002</v>
      </c>
      <c r="F168" s="102"/>
      <c r="G168" s="104">
        <f>G169+G174</f>
        <v>1774434.53</v>
      </c>
      <c r="H168" s="1072"/>
      <c r="I168" s="330">
        <f>G168/E168*100</f>
        <v>105.10330155125996</v>
      </c>
    </row>
    <row r="169" spans="1:9" ht="18.75" customHeight="1">
      <c r="A169" s="89"/>
      <c r="B169" s="90"/>
      <c r="C169" s="14">
        <v>4810</v>
      </c>
      <c r="D169" s="272" t="s">
        <v>707</v>
      </c>
      <c r="E169" s="157">
        <f>E171+E172+E173</f>
        <v>1595774.6800000002</v>
      </c>
      <c r="F169" s="149"/>
      <c r="G169" s="157">
        <f>G171+G172+G173</f>
        <v>1374434.53</v>
      </c>
      <c r="H169" s="59"/>
      <c r="I169" s="597"/>
    </row>
    <row r="170" spans="1:9" ht="15" customHeight="1">
      <c r="A170" s="89"/>
      <c r="B170" s="98"/>
      <c r="C170" s="14"/>
      <c r="D170" s="316" t="s">
        <v>708</v>
      </c>
      <c r="E170" s="55"/>
      <c r="F170" s="149"/>
      <c r="G170" s="55"/>
      <c r="H170" s="59"/>
      <c r="I170" s="597"/>
    </row>
    <row r="171" spans="1:9" ht="15" customHeight="1">
      <c r="A171" s="89"/>
      <c r="B171" s="98"/>
      <c r="C171" s="8"/>
      <c r="D171" s="316" t="s">
        <v>709</v>
      </c>
      <c r="E171" s="55"/>
      <c r="F171" s="149"/>
      <c r="G171" s="55">
        <f>300001.86+432.67+9000</f>
        <v>309434.52999999997</v>
      </c>
      <c r="H171" s="59"/>
      <c r="I171" s="597"/>
    </row>
    <row r="172" spans="1:9" ht="15" customHeight="1">
      <c r="A172" s="89"/>
      <c r="B172" s="98"/>
      <c r="C172" s="8"/>
      <c r="D172" s="316" t="s">
        <v>710</v>
      </c>
      <c r="E172" s="55">
        <v>715774.68</v>
      </c>
      <c r="F172" s="149"/>
      <c r="G172" s="55">
        <v>200000</v>
      </c>
      <c r="H172" s="59"/>
      <c r="I172" s="597"/>
    </row>
    <row r="173" spans="1:9" ht="15" customHeight="1">
      <c r="A173" s="89"/>
      <c r="B173" s="98"/>
      <c r="C173" s="8"/>
      <c r="D173" s="316" t="s">
        <v>345</v>
      </c>
      <c r="E173" s="55">
        <v>880000</v>
      </c>
      <c r="F173" s="149"/>
      <c r="G173" s="55">
        <f>880000-15000</f>
        <v>865000</v>
      </c>
      <c r="H173" s="59"/>
      <c r="I173" s="597"/>
    </row>
    <row r="174" spans="1:9" ht="19.5" customHeight="1">
      <c r="A174" s="89"/>
      <c r="B174" s="125"/>
      <c r="C174" s="3">
        <v>6800</v>
      </c>
      <c r="D174" s="272" t="s">
        <v>711</v>
      </c>
      <c r="E174" s="55">
        <v>92502</v>
      </c>
      <c r="F174" s="149"/>
      <c r="G174" s="55">
        <v>400000</v>
      </c>
      <c r="H174" s="59"/>
      <c r="I174" s="597"/>
    </row>
    <row r="175" spans="1:9" ht="24" customHeight="1">
      <c r="A175" s="62">
        <v>801</v>
      </c>
      <c r="B175" s="62"/>
      <c r="C175" s="11"/>
      <c r="D175" s="276" t="s">
        <v>148</v>
      </c>
      <c r="E175" s="158">
        <f>E176+E205+E219+E256+E284+E286+E298+E318</f>
        <v>100879871.75</v>
      </c>
      <c r="F175" s="114"/>
      <c r="G175" s="158">
        <f>G176+G205+G219+G256+G284+G286+G298+G318</f>
        <v>88229694.4</v>
      </c>
      <c r="H175" s="144"/>
      <c r="I175" s="330">
        <f>G175/E175*100</f>
        <v>87.46015718442862</v>
      </c>
    </row>
    <row r="176" spans="1:9" ht="19.5" customHeight="1">
      <c r="A176" s="115"/>
      <c r="B176" s="49">
        <v>80101</v>
      </c>
      <c r="C176" s="25"/>
      <c r="D176" s="277" t="s">
        <v>149</v>
      </c>
      <c r="E176" s="41">
        <f>SUM(E177:E204)</f>
        <v>34373104</v>
      </c>
      <c r="F176" s="110"/>
      <c r="G176" s="41">
        <f>SUM(G177:G204)</f>
        <v>33409769</v>
      </c>
      <c r="H176" s="1068"/>
      <c r="I176" s="330">
        <f>G176/E176*100</f>
        <v>97.19741632876682</v>
      </c>
    </row>
    <row r="177" spans="1:9" ht="23.25" customHeight="1">
      <c r="A177" s="88"/>
      <c r="B177" s="89"/>
      <c r="C177" s="9">
        <v>3020</v>
      </c>
      <c r="D177" s="272" t="s">
        <v>712</v>
      </c>
      <c r="E177" s="100">
        <v>136480</v>
      </c>
      <c r="F177" s="94"/>
      <c r="G177" s="100">
        <v>129879</v>
      </c>
      <c r="H177" s="389"/>
      <c r="I177" s="597"/>
    </row>
    <row r="178" spans="1:9" ht="15" customHeight="1">
      <c r="A178" s="88"/>
      <c r="B178" s="89"/>
      <c r="C178" s="9">
        <v>3050</v>
      </c>
      <c r="D178" s="272" t="s">
        <v>713</v>
      </c>
      <c r="E178" s="55">
        <v>17000</v>
      </c>
      <c r="F178" s="94"/>
      <c r="G178" s="55">
        <v>18000</v>
      </c>
      <c r="H178" s="389"/>
      <c r="I178" s="597"/>
    </row>
    <row r="179" spans="1:9" ht="16.5" customHeight="1">
      <c r="A179" s="88"/>
      <c r="B179" s="89"/>
      <c r="C179" s="9">
        <v>4010</v>
      </c>
      <c r="D179" s="272" t="s">
        <v>451</v>
      </c>
      <c r="E179" s="55">
        <v>22103970</v>
      </c>
      <c r="F179" s="94"/>
      <c r="G179" s="55">
        <v>21607909</v>
      </c>
      <c r="H179" s="389"/>
      <c r="I179" s="597"/>
    </row>
    <row r="180" spans="1:9" ht="15" customHeight="1">
      <c r="A180" s="88"/>
      <c r="B180" s="89"/>
      <c r="C180" s="9">
        <v>4040</v>
      </c>
      <c r="D180" s="272" t="s">
        <v>452</v>
      </c>
      <c r="E180" s="55">
        <v>1755253</v>
      </c>
      <c r="F180" s="287"/>
      <c r="G180" s="55">
        <v>1888170</v>
      </c>
      <c r="H180" s="1073"/>
      <c r="I180" s="597"/>
    </row>
    <row r="181" spans="1:9" ht="15" customHeight="1">
      <c r="A181" s="88"/>
      <c r="B181" s="89"/>
      <c r="C181" s="9">
        <v>4110</v>
      </c>
      <c r="D181" s="272" t="s">
        <v>496</v>
      </c>
      <c r="E181" s="55">
        <v>3767226</v>
      </c>
      <c r="F181" s="94"/>
      <c r="G181" s="55">
        <v>3625000</v>
      </c>
      <c r="H181" s="389"/>
      <c r="I181" s="597"/>
    </row>
    <row r="182" spans="1:9" ht="15" customHeight="1">
      <c r="A182" s="88"/>
      <c r="B182" s="89"/>
      <c r="C182" s="9">
        <v>4120</v>
      </c>
      <c r="D182" s="272" t="s">
        <v>497</v>
      </c>
      <c r="E182" s="55">
        <v>560981</v>
      </c>
      <c r="F182" s="94"/>
      <c r="G182" s="55">
        <v>564120</v>
      </c>
      <c r="H182" s="389"/>
      <c r="I182" s="597"/>
    </row>
    <row r="183" spans="1:9" ht="26.25" customHeight="1">
      <c r="A183" s="88"/>
      <c r="B183" s="89"/>
      <c r="C183" s="9">
        <v>4140</v>
      </c>
      <c r="D183" s="272" t="s">
        <v>96</v>
      </c>
      <c r="E183" s="55">
        <v>13500</v>
      </c>
      <c r="F183" s="94"/>
      <c r="G183" s="55">
        <v>24000</v>
      </c>
      <c r="H183" s="389"/>
      <c r="I183" s="597"/>
    </row>
    <row r="184" spans="1:9" ht="15" customHeight="1">
      <c r="A184" s="88"/>
      <c r="B184" s="89"/>
      <c r="C184" s="3">
        <v>4170</v>
      </c>
      <c r="D184" s="272" t="s">
        <v>503</v>
      </c>
      <c r="E184" s="55">
        <v>45969</v>
      </c>
      <c r="F184" s="94"/>
      <c r="G184" s="55">
        <v>56500</v>
      </c>
      <c r="H184" s="389"/>
      <c r="I184" s="597"/>
    </row>
    <row r="185" spans="1:9" ht="15" customHeight="1">
      <c r="A185" s="88"/>
      <c r="B185" s="89"/>
      <c r="C185" s="9">
        <v>4210</v>
      </c>
      <c r="D185" s="272" t="s">
        <v>411</v>
      </c>
      <c r="E185" s="55">
        <v>537515</v>
      </c>
      <c r="F185" s="94"/>
      <c r="G185" s="55">
        <v>434830</v>
      </c>
      <c r="H185" s="389"/>
      <c r="I185" s="597"/>
    </row>
    <row r="186" spans="1:9" ht="24.75" customHeight="1">
      <c r="A186" s="88"/>
      <c r="B186" s="89"/>
      <c r="C186" s="9">
        <v>4240</v>
      </c>
      <c r="D186" s="272" t="s">
        <v>97</v>
      </c>
      <c r="E186" s="55">
        <v>66180</v>
      </c>
      <c r="F186" s="94"/>
      <c r="G186" s="55">
        <v>58400</v>
      </c>
      <c r="H186" s="389"/>
      <c r="I186" s="597"/>
    </row>
    <row r="187" spans="1:9" ht="15" customHeight="1">
      <c r="A187" s="88"/>
      <c r="B187" s="89"/>
      <c r="C187" s="9">
        <v>4260</v>
      </c>
      <c r="D187" s="272" t="s">
        <v>511</v>
      </c>
      <c r="E187" s="55">
        <v>1846837</v>
      </c>
      <c r="F187" s="94"/>
      <c r="G187" s="55">
        <v>1971070</v>
      </c>
      <c r="H187" s="389"/>
      <c r="I187" s="597"/>
    </row>
    <row r="188" spans="1:9" ht="15" customHeight="1">
      <c r="A188" s="88"/>
      <c r="B188" s="89"/>
      <c r="C188" s="9">
        <v>4270</v>
      </c>
      <c r="D188" s="272" t="s">
        <v>412</v>
      </c>
      <c r="E188" s="55">
        <v>407679</v>
      </c>
      <c r="F188" s="94"/>
      <c r="G188" s="55">
        <v>234500</v>
      </c>
      <c r="H188" s="389"/>
      <c r="I188" s="597"/>
    </row>
    <row r="189" spans="1:9" ht="15" customHeight="1">
      <c r="A189" s="88"/>
      <c r="B189" s="89"/>
      <c r="C189" s="9">
        <v>4280</v>
      </c>
      <c r="D189" s="272" t="s">
        <v>714</v>
      </c>
      <c r="E189" s="55">
        <v>18919</v>
      </c>
      <c r="F189" s="94"/>
      <c r="G189" s="55">
        <v>23200</v>
      </c>
      <c r="H189" s="389"/>
      <c r="I189" s="597"/>
    </row>
    <row r="190" spans="1:9" ht="15" customHeight="1">
      <c r="A190" s="88"/>
      <c r="B190" s="89"/>
      <c r="C190" s="9">
        <v>4300</v>
      </c>
      <c r="D190" s="272" t="s">
        <v>408</v>
      </c>
      <c r="E190" s="55">
        <v>528910</v>
      </c>
      <c r="F190" s="94"/>
      <c r="G190" s="55">
        <v>515585</v>
      </c>
      <c r="H190" s="389"/>
      <c r="I190" s="597"/>
    </row>
    <row r="191" spans="1:9" ht="15" customHeight="1">
      <c r="A191" s="88"/>
      <c r="B191" s="89"/>
      <c r="C191" s="3">
        <v>4350</v>
      </c>
      <c r="D191" s="272" t="s">
        <v>506</v>
      </c>
      <c r="E191" s="55">
        <v>14941</v>
      </c>
      <c r="F191" s="94"/>
      <c r="G191" s="55">
        <v>17230</v>
      </c>
      <c r="H191" s="389"/>
      <c r="I191" s="597"/>
    </row>
    <row r="192" spans="1:9" ht="38.25" customHeight="1">
      <c r="A192" s="88"/>
      <c r="B192" s="89"/>
      <c r="C192" s="3">
        <v>4360</v>
      </c>
      <c r="D192" s="272" t="s">
        <v>4</v>
      </c>
      <c r="E192" s="55">
        <v>5860</v>
      </c>
      <c r="F192" s="94"/>
      <c r="G192" s="55">
        <v>6600</v>
      </c>
      <c r="H192" s="389"/>
      <c r="I192" s="597"/>
    </row>
    <row r="193" spans="1:9" ht="37.5" customHeight="1">
      <c r="A193" s="88"/>
      <c r="B193" s="89"/>
      <c r="C193" s="3">
        <v>4370</v>
      </c>
      <c r="D193" s="272" t="s">
        <v>3</v>
      </c>
      <c r="E193" s="55">
        <v>30320</v>
      </c>
      <c r="F193" s="94"/>
      <c r="G193" s="55">
        <v>32470</v>
      </c>
      <c r="H193" s="389"/>
      <c r="I193" s="597"/>
    </row>
    <row r="194" spans="1:9" ht="27" customHeight="1">
      <c r="A194" s="88"/>
      <c r="B194" s="89"/>
      <c r="C194" s="3">
        <v>4390</v>
      </c>
      <c r="D194" s="272" t="s">
        <v>154</v>
      </c>
      <c r="E194" s="55">
        <v>10640</v>
      </c>
      <c r="F194" s="94"/>
      <c r="G194" s="55">
        <v>5200</v>
      </c>
      <c r="H194" s="389"/>
      <c r="I194" s="597"/>
    </row>
    <row r="195" spans="1:9" ht="16.5" customHeight="1">
      <c r="A195" s="88"/>
      <c r="B195" s="89"/>
      <c r="C195" s="3">
        <v>4410</v>
      </c>
      <c r="D195" s="272" t="s">
        <v>500</v>
      </c>
      <c r="E195" s="55">
        <v>13260</v>
      </c>
      <c r="F195" s="94"/>
      <c r="G195" s="55">
        <v>15800</v>
      </c>
      <c r="H195" s="389"/>
      <c r="I195" s="597"/>
    </row>
    <row r="196" spans="1:9" ht="17.25" customHeight="1">
      <c r="A196" s="88"/>
      <c r="B196" s="89"/>
      <c r="C196" s="9">
        <v>4430</v>
      </c>
      <c r="D196" s="272" t="s">
        <v>387</v>
      </c>
      <c r="E196" s="55">
        <v>30898</v>
      </c>
      <c r="F196" s="94"/>
      <c r="G196" s="55">
        <v>40300</v>
      </c>
      <c r="H196" s="389"/>
      <c r="I196" s="597"/>
    </row>
    <row r="197" spans="1:9" ht="23.25" customHeight="1">
      <c r="A197" s="88"/>
      <c r="B197" s="89"/>
      <c r="C197" s="9">
        <v>4440</v>
      </c>
      <c r="D197" s="272" t="s">
        <v>498</v>
      </c>
      <c r="E197" s="55">
        <v>1317511</v>
      </c>
      <c r="F197" s="94"/>
      <c r="G197" s="55">
        <v>1340168</v>
      </c>
      <c r="H197" s="389"/>
      <c r="I197" s="597"/>
    </row>
    <row r="198" spans="1:9" ht="16.5" customHeight="1">
      <c r="A198" s="88"/>
      <c r="B198" s="89"/>
      <c r="C198" s="9">
        <v>4480</v>
      </c>
      <c r="D198" s="272" t="s">
        <v>351</v>
      </c>
      <c r="E198" s="55">
        <v>7905</v>
      </c>
      <c r="F198" s="94"/>
      <c r="G198" s="55">
        <v>9246</v>
      </c>
      <c r="H198" s="389"/>
      <c r="I198" s="597"/>
    </row>
    <row r="199" spans="1:9" ht="16.5" customHeight="1">
      <c r="A199" s="88"/>
      <c r="B199" s="89"/>
      <c r="C199" s="9">
        <v>4510</v>
      </c>
      <c r="D199" s="272" t="s">
        <v>447</v>
      </c>
      <c r="E199" s="55">
        <v>375</v>
      </c>
      <c r="F199" s="94"/>
      <c r="G199" s="55">
        <v>450</v>
      </c>
      <c r="H199" s="389"/>
      <c r="I199" s="597"/>
    </row>
    <row r="200" spans="1:9" ht="22.5" customHeight="1">
      <c r="A200" s="88"/>
      <c r="B200" s="89"/>
      <c r="C200" s="9">
        <v>4520</v>
      </c>
      <c r="D200" s="272" t="s">
        <v>373</v>
      </c>
      <c r="E200" s="55">
        <v>17647</v>
      </c>
      <c r="F200" s="94"/>
      <c r="G200" s="55">
        <v>43522</v>
      </c>
      <c r="H200" s="389"/>
      <c r="I200" s="597"/>
    </row>
    <row r="201" spans="1:9" ht="28.5" customHeight="1">
      <c r="A201" s="88"/>
      <c r="B201" s="89"/>
      <c r="C201" s="9">
        <v>4610</v>
      </c>
      <c r="D201" s="272" t="s">
        <v>2</v>
      </c>
      <c r="E201" s="55">
        <v>2200</v>
      </c>
      <c r="F201" s="94"/>
      <c r="G201" s="55">
        <v>0</v>
      </c>
      <c r="H201" s="389"/>
      <c r="I201" s="597"/>
    </row>
    <row r="202" spans="1:9" ht="27" customHeight="1">
      <c r="A202" s="88"/>
      <c r="B202" s="89"/>
      <c r="C202" s="9">
        <v>4700</v>
      </c>
      <c r="D202" s="272" t="s">
        <v>374</v>
      </c>
      <c r="E202" s="55">
        <v>21480</v>
      </c>
      <c r="F202" s="94"/>
      <c r="G202" s="55">
        <v>27620</v>
      </c>
      <c r="H202" s="389"/>
      <c r="I202" s="597"/>
    </row>
    <row r="203" spans="1:9" ht="30" customHeight="1">
      <c r="A203" s="88"/>
      <c r="B203" s="89"/>
      <c r="C203" s="3">
        <v>6050</v>
      </c>
      <c r="D203" s="272" t="s">
        <v>420</v>
      </c>
      <c r="E203" s="55">
        <v>1037648</v>
      </c>
      <c r="F203" s="94"/>
      <c r="G203" s="55">
        <f>600000+40000+59000</f>
        <v>699000</v>
      </c>
      <c r="H203" s="389"/>
      <c r="I203" s="597"/>
    </row>
    <row r="204" spans="1:9" ht="24" customHeight="1">
      <c r="A204" s="88"/>
      <c r="B204" s="89"/>
      <c r="C204" s="3">
        <v>6060</v>
      </c>
      <c r="D204" s="272" t="s">
        <v>516</v>
      </c>
      <c r="E204" s="55">
        <v>56000</v>
      </c>
      <c r="F204" s="94"/>
      <c r="G204" s="55">
        <v>21000</v>
      </c>
      <c r="H204" s="389"/>
      <c r="I204" s="597"/>
    </row>
    <row r="205" spans="1:25" s="56" customFormat="1" ht="30.75" customHeight="1">
      <c r="A205" s="118"/>
      <c r="B205" s="49">
        <v>80103</v>
      </c>
      <c r="C205" s="39"/>
      <c r="D205" s="277" t="s">
        <v>117</v>
      </c>
      <c r="E205" s="104">
        <f>SUM(E206:E218)</f>
        <v>1055526</v>
      </c>
      <c r="F205" s="112"/>
      <c r="G205" s="104">
        <f>SUM(G206:G218)</f>
        <v>1076317</v>
      </c>
      <c r="H205" s="1069"/>
      <c r="I205" s="330">
        <f>G205/E205*100</f>
        <v>101.96972883661795</v>
      </c>
      <c r="J205" s="230"/>
      <c r="K205" s="230"/>
      <c r="L205" s="248"/>
      <c r="M205" s="230"/>
      <c r="N205" s="230"/>
      <c r="O205" s="230"/>
      <c r="P205" s="230"/>
      <c r="Q205" s="230"/>
      <c r="R205" s="230"/>
      <c r="S205" s="230"/>
      <c r="T205" s="238"/>
      <c r="U205" s="238"/>
      <c r="V205" s="238"/>
      <c r="W205" s="238"/>
      <c r="X205" s="238"/>
      <c r="Y205" s="238"/>
    </row>
    <row r="206" spans="1:25" s="56" customFormat="1" ht="27" customHeight="1">
      <c r="A206" s="118"/>
      <c r="B206" s="116"/>
      <c r="C206" s="9">
        <v>3020</v>
      </c>
      <c r="D206" s="272" t="s">
        <v>712</v>
      </c>
      <c r="E206" s="100">
        <v>2110</v>
      </c>
      <c r="F206" s="112"/>
      <c r="G206" s="100">
        <v>3100</v>
      </c>
      <c r="H206" s="1069"/>
      <c r="I206" s="597"/>
      <c r="J206" s="230"/>
      <c r="K206" s="230"/>
      <c r="L206" s="248"/>
      <c r="M206" s="230"/>
      <c r="N206" s="230"/>
      <c r="O206" s="230"/>
      <c r="P206" s="230"/>
      <c r="Q206" s="230"/>
      <c r="R206" s="230"/>
      <c r="S206" s="230"/>
      <c r="T206" s="238"/>
      <c r="U206" s="238"/>
      <c r="V206" s="238"/>
      <c r="W206" s="238"/>
      <c r="X206" s="238"/>
      <c r="Y206" s="238"/>
    </row>
    <row r="207" spans="1:9" ht="18.75" customHeight="1">
      <c r="A207" s="88"/>
      <c r="B207" s="89"/>
      <c r="C207" s="9">
        <v>4010</v>
      </c>
      <c r="D207" s="272" t="s">
        <v>451</v>
      </c>
      <c r="E207" s="55">
        <v>749959</v>
      </c>
      <c r="F207" s="94"/>
      <c r="G207" s="55">
        <v>757000</v>
      </c>
      <c r="H207" s="389"/>
      <c r="I207" s="597"/>
    </row>
    <row r="208" spans="1:9" ht="15" customHeight="1">
      <c r="A208" s="88"/>
      <c r="B208" s="89"/>
      <c r="C208" s="9">
        <v>4040</v>
      </c>
      <c r="D208" s="272" t="s">
        <v>452</v>
      </c>
      <c r="E208" s="55">
        <v>54072</v>
      </c>
      <c r="F208" s="94"/>
      <c r="G208" s="55">
        <v>59649</v>
      </c>
      <c r="H208" s="389"/>
      <c r="I208" s="597"/>
    </row>
    <row r="209" spans="1:9" ht="15" customHeight="1">
      <c r="A209" s="88"/>
      <c r="B209" s="89"/>
      <c r="C209" s="9">
        <v>4110</v>
      </c>
      <c r="D209" s="272" t="s">
        <v>496</v>
      </c>
      <c r="E209" s="55">
        <v>142115</v>
      </c>
      <c r="F209" s="94"/>
      <c r="G209" s="55">
        <v>129400</v>
      </c>
      <c r="H209" s="389"/>
      <c r="I209" s="597"/>
    </row>
    <row r="210" spans="1:9" ht="15" customHeight="1">
      <c r="A210" s="88"/>
      <c r="B210" s="89"/>
      <c r="C210" s="9">
        <v>4120</v>
      </c>
      <c r="D210" s="272" t="s">
        <v>497</v>
      </c>
      <c r="E210" s="55">
        <v>18868</v>
      </c>
      <c r="F210" s="94"/>
      <c r="G210" s="55">
        <v>19800</v>
      </c>
      <c r="H210" s="389"/>
      <c r="I210" s="597"/>
    </row>
    <row r="211" spans="1:9" ht="15" customHeight="1">
      <c r="A211" s="88"/>
      <c r="B211" s="89"/>
      <c r="C211" s="9">
        <v>4210</v>
      </c>
      <c r="D211" s="272" t="s">
        <v>411</v>
      </c>
      <c r="E211" s="55">
        <v>8200</v>
      </c>
      <c r="F211" s="94"/>
      <c r="G211" s="55">
        <v>15100</v>
      </c>
      <c r="H211" s="389"/>
      <c r="I211" s="597"/>
    </row>
    <row r="212" spans="1:9" ht="24" customHeight="1">
      <c r="A212" s="88"/>
      <c r="B212" s="89"/>
      <c r="C212" s="9">
        <v>4240</v>
      </c>
      <c r="D212" s="272" t="s">
        <v>97</v>
      </c>
      <c r="E212" s="55">
        <v>2510</v>
      </c>
      <c r="F212" s="94"/>
      <c r="G212" s="55">
        <v>5000</v>
      </c>
      <c r="H212" s="389"/>
      <c r="I212" s="597"/>
    </row>
    <row r="213" spans="1:9" ht="18" customHeight="1">
      <c r="A213" s="88"/>
      <c r="B213" s="89"/>
      <c r="C213" s="9">
        <v>4260</v>
      </c>
      <c r="D213" s="272" t="s">
        <v>511</v>
      </c>
      <c r="E213" s="55">
        <v>26700</v>
      </c>
      <c r="F213" s="94"/>
      <c r="G213" s="55">
        <v>27950</v>
      </c>
      <c r="H213" s="389"/>
      <c r="I213" s="597"/>
    </row>
    <row r="214" spans="1:9" ht="18" customHeight="1">
      <c r="A214" s="88"/>
      <c r="B214" s="89"/>
      <c r="C214" s="9">
        <v>4280</v>
      </c>
      <c r="D214" s="272" t="s">
        <v>714</v>
      </c>
      <c r="E214" s="55">
        <v>1420</v>
      </c>
      <c r="F214" s="94"/>
      <c r="G214" s="55">
        <v>1240</v>
      </c>
      <c r="H214" s="389"/>
      <c r="I214" s="597"/>
    </row>
    <row r="215" spans="1:9" ht="18" customHeight="1">
      <c r="A215" s="88"/>
      <c r="B215" s="89"/>
      <c r="C215" s="9">
        <v>4300</v>
      </c>
      <c r="D215" s="272" t="s">
        <v>408</v>
      </c>
      <c r="E215" s="55">
        <v>5575</v>
      </c>
      <c r="F215" s="94"/>
      <c r="G215" s="55">
        <v>6950</v>
      </c>
      <c r="H215" s="389"/>
      <c r="I215" s="597"/>
    </row>
    <row r="216" spans="1:9" ht="25.5" customHeight="1">
      <c r="A216" s="88"/>
      <c r="B216" s="89"/>
      <c r="C216" s="9">
        <v>4440</v>
      </c>
      <c r="D216" s="272" t="s">
        <v>498</v>
      </c>
      <c r="E216" s="55">
        <v>43297</v>
      </c>
      <c r="F216" s="94"/>
      <c r="G216" s="55">
        <v>50128</v>
      </c>
      <c r="H216" s="389"/>
      <c r="I216" s="597"/>
    </row>
    <row r="217" spans="1:9" ht="25.5" customHeight="1">
      <c r="A217" s="88"/>
      <c r="B217" s="89"/>
      <c r="C217" s="9">
        <v>4520</v>
      </c>
      <c r="D217" s="272" t="s">
        <v>373</v>
      </c>
      <c r="E217" s="79">
        <v>200</v>
      </c>
      <c r="F217" s="94"/>
      <c r="G217" s="79">
        <v>500</v>
      </c>
      <c r="H217" s="389"/>
      <c r="I217" s="597"/>
    </row>
    <row r="218" spans="1:9" ht="29.25" customHeight="1">
      <c r="A218" s="88"/>
      <c r="B218" s="89"/>
      <c r="C218" s="9">
        <v>4700</v>
      </c>
      <c r="D218" s="272" t="s">
        <v>374</v>
      </c>
      <c r="E218" s="79">
        <v>500</v>
      </c>
      <c r="F218" s="94"/>
      <c r="G218" s="79">
        <v>500</v>
      </c>
      <c r="H218" s="389"/>
      <c r="I218" s="597"/>
    </row>
    <row r="219" spans="1:9" ht="25.5" customHeight="1">
      <c r="A219" s="116"/>
      <c r="B219" s="49">
        <v>80104</v>
      </c>
      <c r="C219" s="38"/>
      <c r="D219" s="277" t="s">
        <v>715</v>
      </c>
      <c r="E219" s="104">
        <f>SUM(E220:E255)</f>
        <v>30912128.750000004</v>
      </c>
      <c r="F219" s="94"/>
      <c r="G219" s="104">
        <f>SUM(G220:G255)</f>
        <v>26572768</v>
      </c>
      <c r="H219" s="389"/>
      <c r="I219" s="330">
        <f>G219/E219*100</f>
        <v>85.96227136249877</v>
      </c>
    </row>
    <row r="220" spans="1:9" ht="32.25" customHeight="1">
      <c r="A220" s="89"/>
      <c r="B220" s="98"/>
      <c r="C220" s="14">
        <v>2540</v>
      </c>
      <c r="D220" s="272" t="s">
        <v>717</v>
      </c>
      <c r="E220" s="55">
        <v>1347600</v>
      </c>
      <c r="F220" s="94"/>
      <c r="G220" s="55">
        <v>1982426</v>
      </c>
      <c r="H220" s="389"/>
      <c r="I220" s="597"/>
    </row>
    <row r="221" spans="1:9" ht="23.25" customHeight="1">
      <c r="A221" s="89"/>
      <c r="B221" s="98"/>
      <c r="C221" s="14">
        <v>3020</v>
      </c>
      <c r="D221" s="272" t="s">
        <v>502</v>
      </c>
      <c r="E221" s="55">
        <v>81130</v>
      </c>
      <c r="F221" s="94"/>
      <c r="G221" s="55">
        <v>90331</v>
      </c>
      <c r="H221" s="389"/>
      <c r="I221" s="597"/>
    </row>
    <row r="222" spans="1:9" ht="20.25" customHeight="1">
      <c r="A222" s="89"/>
      <c r="B222" s="98"/>
      <c r="C222" s="3">
        <v>4010</v>
      </c>
      <c r="D222" s="272" t="s">
        <v>451</v>
      </c>
      <c r="E222" s="55">
        <v>17183979.96</v>
      </c>
      <c r="F222" s="94"/>
      <c r="G222" s="55">
        <v>13188651</v>
      </c>
      <c r="H222" s="389"/>
      <c r="I222" s="597"/>
    </row>
    <row r="223" spans="1:9" ht="18.75" customHeight="1">
      <c r="A223" s="89"/>
      <c r="B223" s="98"/>
      <c r="C223" s="3">
        <v>4040</v>
      </c>
      <c r="D223" s="272" t="s">
        <v>452</v>
      </c>
      <c r="E223" s="55">
        <v>1374032</v>
      </c>
      <c r="F223" s="94"/>
      <c r="G223" s="55">
        <v>1514721</v>
      </c>
      <c r="H223" s="389"/>
      <c r="I223" s="597"/>
    </row>
    <row r="224" spans="1:9" ht="18.75" customHeight="1">
      <c r="A224" s="89"/>
      <c r="B224" s="98"/>
      <c r="C224" s="3">
        <v>4110</v>
      </c>
      <c r="D224" s="272" t="s">
        <v>496</v>
      </c>
      <c r="E224" s="55">
        <v>3115299</v>
      </c>
      <c r="F224" s="94"/>
      <c r="G224" s="55">
        <v>3148628</v>
      </c>
      <c r="H224" s="389"/>
      <c r="I224" s="597"/>
    </row>
    <row r="225" spans="1:9" ht="18.75" customHeight="1">
      <c r="A225" s="89"/>
      <c r="B225" s="98"/>
      <c r="C225" s="3">
        <v>4111</v>
      </c>
      <c r="D225" s="272" t="s">
        <v>496</v>
      </c>
      <c r="E225" s="55">
        <v>420</v>
      </c>
      <c r="F225" s="94"/>
      <c r="G225" s="55">
        <v>240</v>
      </c>
      <c r="H225" s="389"/>
      <c r="I225" s="597"/>
    </row>
    <row r="226" spans="1:9" ht="18" customHeight="1">
      <c r="A226" s="89"/>
      <c r="B226" s="98"/>
      <c r="C226" s="3">
        <v>4120</v>
      </c>
      <c r="D226" s="272" t="s">
        <v>497</v>
      </c>
      <c r="E226" s="55">
        <v>436442</v>
      </c>
      <c r="F226" s="94"/>
      <c r="G226" s="55">
        <v>454417</v>
      </c>
      <c r="H226" s="389"/>
      <c r="I226" s="597"/>
    </row>
    <row r="227" spans="1:9" ht="18" customHeight="1">
      <c r="A227" s="89"/>
      <c r="B227" s="98"/>
      <c r="C227" s="3">
        <v>4121</v>
      </c>
      <c r="D227" s="272" t="s">
        <v>497</v>
      </c>
      <c r="E227" s="55">
        <v>60</v>
      </c>
      <c r="F227" s="94"/>
      <c r="G227" s="55">
        <v>35</v>
      </c>
      <c r="H227" s="389"/>
      <c r="I227" s="597"/>
    </row>
    <row r="228" spans="1:9" ht="27.75" customHeight="1">
      <c r="A228" s="89"/>
      <c r="B228" s="98"/>
      <c r="C228" s="14">
        <v>4140</v>
      </c>
      <c r="D228" s="272" t="s">
        <v>96</v>
      </c>
      <c r="E228" s="55">
        <v>5500</v>
      </c>
      <c r="F228" s="94"/>
      <c r="G228" s="55">
        <v>11500</v>
      </c>
      <c r="H228" s="389"/>
      <c r="I228" s="597"/>
    </row>
    <row r="229" spans="1:9" ht="15.75" customHeight="1">
      <c r="A229" s="89"/>
      <c r="B229" s="98"/>
      <c r="C229" s="3">
        <v>4170</v>
      </c>
      <c r="D229" s="272" t="s">
        <v>503</v>
      </c>
      <c r="E229" s="55">
        <v>30300</v>
      </c>
      <c r="F229" s="94"/>
      <c r="G229" s="55">
        <v>16900</v>
      </c>
      <c r="H229" s="389"/>
      <c r="I229" s="597"/>
    </row>
    <row r="230" spans="1:9" ht="15.75" customHeight="1">
      <c r="A230" s="89"/>
      <c r="B230" s="98"/>
      <c r="C230" s="3">
        <v>4171</v>
      </c>
      <c r="D230" s="272" t="s">
        <v>503</v>
      </c>
      <c r="E230" s="55">
        <v>2400</v>
      </c>
      <c r="F230" s="94"/>
      <c r="G230" s="55">
        <v>1400</v>
      </c>
      <c r="H230" s="389"/>
      <c r="I230" s="597"/>
    </row>
    <row r="231" spans="1:9" ht="15" customHeight="1">
      <c r="A231" s="89"/>
      <c r="B231" s="98"/>
      <c r="C231" s="3">
        <v>4210</v>
      </c>
      <c r="D231" s="272" t="s">
        <v>504</v>
      </c>
      <c r="E231" s="55">
        <v>569476</v>
      </c>
      <c r="F231" s="94"/>
      <c r="G231" s="55">
        <v>545161</v>
      </c>
      <c r="H231" s="389"/>
      <c r="I231" s="597"/>
    </row>
    <row r="232" spans="1:9" ht="15" customHeight="1">
      <c r="A232" s="89"/>
      <c r="B232" s="98"/>
      <c r="C232" s="3">
        <v>4211</v>
      </c>
      <c r="D232" s="272" t="s">
        <v>504</v>
      </c>
      <c r="E232" s="55">
        <v>4500</v>
      </c>
      <c r="F232" s="94"/>
      <c r="G232" s="55">
        <v>1000</v>
      </c>
      <c r="H232" s="389"/>
      <c r="I232" s="597"/>
    </row>
    <row r="233" spans="1:9" ht="16.5" customHeight="1">
      <c r="A233" s="89"/>
      <c r="B233" s="98"/>
      <c r="C233" s="3">
        <v>4220</v>
      </c>
      <c r="D233" s="272" t="s">
        <v>111</v>
      </c>
      <c r="E233" s="55">
        <v>2254838</v>
      </c>
      <c r="F233" s="94"/>
      <c r="G233" s="55">
        <v>2229679</v>
      </c>
      <c r="H233" s="389"/>
      <c r="I233" s="597"/>
    </row>
    <row r="234" spans="1:9" ht="24.75" customHeight="1">
      <c r="A234" s="89"/>
      <c r="B234" s="98"/>
      <c r="C234" s="3">
        <v>4240</v>
      </c>
      <c r="D234" s="272" t="s">
        <v>97</v>
      </c>
      <c r="E234" s="55">
        <v>22218</v>
      </c>
      <c r="F234" s="94"/>
      <c r="G234" s="55">
        <v>30168</v>
      </c>
      <c r="H234" s="389"/>
      <c r="I234" s="597"/>
    </row>
    <row r="235" spans="1:9" ht="24.75" customHeight="1">
      <c r="A235" s="89"/>
      <c r="B235" s="98"/>
      <c r="C235" s="3">
        <v>4241</v>
      </c>
      <c r="D235" s="272" t="s">
        <v>97</v>
      </c>
      <c r="E235" s="55">
        <v>200</v>
      </c>
      <c r="F235" s="94"/>
      <c r="G235" s="55">
        <v>500</v>
      </c>
      <c r="H235" s="389"/>
      <c r="I235" s="597"/>
    </row>
    <row r="236" spans="1:9" ht="16.5" customHeight="1">
      <c r="A236" s="89"/>
      <c r="B236" s="98"/>
      <c r="C236" s="3">
        <v>4260</v>
      </c>
      <c r="D236" s="272" t="s">
        <v>511</v>
      </c>
      <c r="E236" s="55">
        <v>1190277</v>
      </c>
      <c r="F236" s="94"/>
      <c r="G236" s="55">
        <v>1167296</v>
      </c>
      <c r="H236" s="389"/>
      <c r="I236" s="597"/>
    </row>
    <row r="237" spans="1:9" ht="18" customHeight="1">
      <c r="A237" s="89"/>
      <c r="B237" s="98"/>
      <c r="C237" s="3">
        <v>4270</v>
      </c>
      <c r="D237" s="272" t="s">
        <v>412</v>
      </c>
      <c r="E237" s="55">
        <v>294886</v>
      </c>
      <c r="F237" s="94"/>
      <c r="G237" s="55">
        <v>146182</v>
      </c>
      <c r="H237" s="389"/>
      <c r="I237" s="597"/>
    </row>
    <row r="238" spans="1:9" ht="18" customHeight="1">
      <c r="A238" s="89"/>
      <c r="B238" s="98"/>
      <c r="C238" s="3">
        <v>4280</v>
      </c>
      <c r="D238" s="324" t="s">
        <v>714</v>
      </c>
      <c r="E238" s="55">
        <v>20150</v>
      </c>
      <c r="F238" s="94"/>
      <c r="G238" s="55">
        <v>22850</v>
      </c>
      <c r="H238" s="389"/>
      <c r="I238" s="597"/>
    </row>
    <row r="239" spans="1:9" ht="17.25" customHeight="1">
      <c r="A239" s="89"/>
      <c r="B239" s="98"/>
      <c r="C239" s="3">
        <v>4300</v>
      </c>
      <c r="D239" s="272" t="s">
        <v>448</v>
      </c>
      <c r="E239" s="55">
        <v>613721</v>
      </c>
      <c r="F239" s="94"/>
      <c r="G239" s="55">
        <v>621565</v>
      </c>
      <c r="H239" s="389"/>
      <c r="I239" s="597"/>
    </row>
    <row r="240" spans="1:9" ht="17.25" customHeight="1">
      <c r="A240" s="89"/>
      <c r="B240" s="98"/>
      <c r="C240" s="3">
        <v>4301</v>
      </c>
      <c r="D240" s="272" t="s">
        <v>448</v>
      </c>
      <c r="E240" s="55">
        <v>2500</v>
      </c>
      <c r="F240" s="94"/>
      <c r="G240" s="55">
        <v>500</v>
      </c>
      <c r="H240" s="389"/>
      <c r="I240" s="597"/>
    </row>
    <row r="241" spans="1:9" ht="18" customHeight="1">
      <c r="A241" s="89"/>
      <c r="B241" s="98"/>
      <c r="C241" s="3">
        <v>4350</v>
      </c>
      <c r="D241" s="272" t="s">
        <v>506</v>
      </c>
      <c r="E241" s="55">
        <v>20004.28</v>
      </c>
      <c r="F241" s="94"/>
      <c r="G241" s="55">
        <v>21180</v>
      </c>
      <c r="H241" s="389"/>
      <c r="I241" s="597"/>
    </row>
    <row r="242" spans="1:9" ht="43.5" customHeight="1">
      <c r="A242" s="89"/>
      <c r="B242" s="98"/>
      <c r="C242" s="3">
        <v>4360</v>
      </c>
      <c r="D242" s="272" t="s">
        <v>4</v>
      </c>
      <c r="E242" s="55">
        <v>1680</v>
      </c>
      <c r="F242" s="94"/>
      <c r="G242" s="55">
        <v>2040</v>
      </c>
      <c r="H242" s="389"/>
      <c r="I242" s="597"/>
    </row>
    <row r="243" spans="1:9" ht="41.25" customHeight="1">
      <c r="A243" s="89"/>
      <c r="B243" s="98"/>
      <c r="C243" s="3">
        <v>4370</v>
      </c>
      <c r="D243" s="272" t="s">
        <v>3</v>
      </c>
      <c r="E243" s="55">
        <v>54602</v>
      </c>
      <c r="F243" s="94"/>
      <c r="G243" s="55">
        <v>59050</v>
      </c>
      <c r="H243" s="389"/>
      <c r="I243" s="597"/>
    </row>
    <row r="244" spans="1:9" ht="31.5" customHeight="1">
      <c r="A244" s="89"/>
      <c r="B244" s="98"/>
      <c r="C244" s="3">
        <v>4390</v>
      </c>
      <c r="D244" s="272" t="s">
        <v>154</v>
      </c>
      <c r="E244" s="55">
        <v>307.5</v>
      </c>
      <c r="F244" s="94"/>
      <c r="G244" s="55">
        <v>350</v>
      </c>
      <c r="H244" s="389"/>
      <c r="I244" s="597"/>
    </row>
    <row r="245" spans="1:9" ht="31.5" customHeight="1">
      <c r="A245" s="89"/>
      <c r="B245" s="98"/>
      <c r="C245" s="3">
        <v>4400</v>
      </c>
      <c r="D245" s="272" t="s">
        <v>720</v>
      </c>
      <c r="E245" s="55">
        <v>36000</v>
      </c>
      <c r="F245" s="94"/>
      <c r="G245" s="55">
        <v>42000</v>
      </c>
      <c r="H245" s="389"/>
      <c r="I245" s="597"/>
    </row>
    <row r="246" spans="1:9" ht="18" customHeight="1">
      <c r="A246" s="89"/>
      <c r="B246" s="98"/>
      <c r="C246" s="3">
        <v>4410</v>
      </c>
      <c r="D246" s="272" t="s">
        <v>500</v>
      </c>
      <c r="E246" s="55">
        <v>11001</v>
      </c>
      <c r="F246" s="94"/>
      <c r="G246" s="55">
        <v>12135</v>
      </c>
      <c r="H246" s="389"/>
      <c r="I246" s="597"/>
    </row>
    <row r="247" spans="1:9" ht="18" customHeight="1">
      <c r="A247" s="89"/>
      <c r="B247" s="98"/>
      <c r="C247" s="3">
        <v>4421</v>
      </c>
      <c r="D247" s="272" t="s">
        <v>508</v>
      </c>
      <c r="E247" s="55">
        <v>43067.01</v>
      </c>
      <c r="F247" s="94"/>
      <c r="G247" s="55">
        <v>3093</v>
      </c>
      <c r="H247" s="389"/>
      <c r="I247" s="597"/>
    </row>
    <row r="248" spans="1:9" ht="17.25" customHeight="1">
      <c r="A248" s="89"/>
      <c r="B248" s="98"/>
      <c r="C248" s="3">
        <v>4430</v>
      </c>
      <c r="D248" s="272" t="s">
        <v>387</v>
      </c>
      <c r="E248" s="55">
        <v>21961</v>
      </c>
      <c r="F248" s="94"/>
      <c r="G248" s="55">
        <v>25050</v>
      </c>
      <c r="H248" s="389"/>
      <c r="I248" s="597"/>
    </row>
    <row r="249" spans="1:9" ht="28.5" customHeight="1">
      <c r="A249" s="89"/>
      <c r="B249" s="98"/>
      <c r="C249" s="3">
        <v>4440</v>
      </c>
      <c r="D249" s="272" t="s">
        <v>498</v>
      </c>
      <c r="E249" s="55">
        <v>1024352</v>
      </c>
      <c r="F249" s="94"/>
      <c r="G249" s="55">
        <v>1102226</v>
      </c>
      <c r="H249" s="389"/>
      <c r="I249" s="597"/>
    </row>
    <row r="250" spans="1:9" ht="18.75" customHeight="1">
      <c r="A250" s="89"/>
      <c r="B250" s="98"/>
      <c r="C250" s="3">
        <v>4480</v>
      </c>
      <c r="D250" s="272" t="s">
        <v>351</v>
      </c>
      <c r="E250" s="55">
        <v>5664</v>
      </c>
      <c r="F250" s="94"/>
      <c r="G250" s="55">
        <v>5864</v>
      </c>
      <c r="H250" s="389"/>
      <c r="I250" s="597"/>
    </row>
    <row r="251" spans="1:9" ht="18" customHeight="1">
      <c r="A251" s="89"/>
      <c r="B251" s="98"/>
      <c r="C251" s="3">
        <v>4510</v>
      </c>
      <c r="D251" s="272" t="s">
        <v>114</v>
      </c>
      <c r="E251" s="55">
        <v>1100</v>
      </c>
      <c r="F251" s="94"/>
      <c r="G251" s="55">
        <v>1650</v>
      </c>
      <c r="H251" s="389"/>
      <c r="I251" s="597"/>
    </row>
    <row r="252" spans="1:9" ht="23.25" customHeight="1">
      <c r="A252" s="89"/>
      <c r="B252" s="98"/>
      <c r="C252" s="3">
        <v>4520</v>
      </c>
      <c r="D252" s="272" t="s">
        <v>373</v>
      </c>
      <c r="E252" s="55">
        <v>18293</v>
      </c>
      <c r="F252" s="94"/>
      <c r="G252" s="55">
        <v>48280</v>
      </c>
      <c r="H252" s="389"/>
      <c r="I252" s="597"/>
    </row>
    <row r="253" spans="1:9" ht="24" customHeight="1">
      <c r="A253" s="89"/>
      <c r="B253" s="98"/>
      <c r="C253" s="3">
        <v>4700</v>
      </c>
      <c r="D253" s="272" t="s">
        <v>374</v>
      </c>
      <c r="E253" s="55">
        <v>26500</v>
      </c>
      <c r="F253" s="94"/>
      <c r="G253" s="55">
        <v>23700</v>
      </c>
      <c r="H253" s="389"/>
      <c r="I253" s="597"/>
    </row>
    <row r="254" spans="1:9" ht="24.75" customHeight="1">
      <c r="A254" s="89"/>
      <c r="B254" s="98"/>
      <c r="C254" s="3">
        <v>6050</v>
      </c>
      <c r="D254" s="272" t="s">
        <v>420</v>
      </c>
      <c r="E254" s="79">
        <v>1066600</v>
      </c>
      <c r="F254" s="94"/>
      <c r="G254" s="79">
        <v>26000</v>
      </c>
      <c r="H254" s="389"/>
      <c r="I254" s="597"/>
    </row>
    <row r="255" spans="1:9" ht="29.25" customHeight="1">
      <c r="A255" s="89"/>
      <c r="B255" s="98"/>
      <c r="C255" s="3">
        <v>6060</v>
      </c>
      <c r="D255" s="272" t="s">
        <v>516</v>
      </c>
      <c r="E255" s="79">
        <v>31068</v>
      </c>
      <c r="F255" s="94"/>
      <c r="G255" s="79">
        <v>26000</v>
      </c>
      <c r="H255" s="389"/>
      <c r="I255" s="597"/>
    </row>
    <row r="256" spans="1:9" ht="23.25" customHeight="1">
      <c r="A256" s="116"/>
      <c r="B256" s="49">
        <v>80110</v>
      </c>
      <c r="C256" s="25"/>
      <c r="D256" s="277" t="s">
        <v>150</v>
      </c>
      <c r="E256" s="41">
        <f>SUM(E257:E283)</f>
        <v>22633163</v>
      </c>
      <c r="F256" s="94"/>
      <c r="G256" s="41">
        <f>SUM(G257:G283)</f>
        <v>21551883</v>
      </c>
      <c r="H256" s="389"/>
      <c r="I256" s="330">
        <f>G256/E256*100</f>
        <v>95.2225855484715</v>
      </c>
    </row>
    <row r="257" spans="1:9" ht="32.25" customHeight="1">
      <c r="A257" s="89"/>
      <c r="B257" s="98"/>
      <c r="C257" s="3">
        <v>2540</v>
      </c>
      <c r="D257" s="272" t="s">
        <v>717</v>
      </c>
      <c r="E257" s="100">
        <v>882134</v>
      </c>
      <c r="F257" s="94"/>
      <c r="G257" s="100">
        <v>817800</v>
      </c>
      <c r="H257" s="389"/>
      <c r="I257" s="597"/>
    </row>
    <row r="258" spans="1:9" ht="28.5" customHeight="1">
      <c r="A258" s="89"/>
      <c r="B258" s="10"/>
      <c r="C258" s="3">
        <v>3020</v>
      </c>
      <c r="D258" s="272" t="s">
        <v>712</v>
      </c>
      <c r="E258" s="55">
        <v>75304</v>
      </c>
      <c r="F258" s="94"/>
      <c r="G258" s="55">
        <v>100258</v>
      </c>
      <c r="H258" s="389"/>
      <c r="I258" s="597"/>
    </row>
    <row r="259" spans="1:9" ht="16.5" customHeight="1">
      <c r="A259" s="89"/>
      <c r="B259" s="10"/>
      <c r="C259" s="3">
        <v>4010</v>
      </c>
      <c r="D259" s="272" t="s">
        <v>451</v>
      </c>
      <c r="E259" s="55">
        <v>14768786</v>
      </c>
      <c r="F259" s="94"/>
      <c r="G259" s="55">
        <v>13984000</v>
      </c>
      <c r="H259" s="389"/>
      <c r="I259" s="597"/>
    </row>
    <row r="260" spans="1:9" ht="15" customHeight="1">
      <c r="A260" s="89"/>
      <c r="B260" s="10"/>
      <c r="C260" s="3">
        <v>4040</v>
      </c>
      <c r="D260" s="272" t="s">
        <v>452</v>
      </c>
      <c r="E260" s="55">
        <v>1219384</v>
      </c>
      <c r="F260" s="94"/>
      <c r="G260" s="55">
        <v>1274856</v>
      </c>
      <c r="H260" s="389"/>
      <c r="I260" s="597"/>
    </row>
    <row r="261" spans="1:9" ht="15" customHeight="1">
      <c r="A261" s="89"/>
      <c r="B261" s="10"/>
      <c r="C261" s="3">
        <v>4110</v>
      </c>
      <c r="D261" s="272" t="s">
        <v>496</v>
      </c>
      <c r="E261" s="55">
        <v>2571578</v>
      </c>
      <c r="F261" s="94"/>
      <c r="G261" s="55">
        <v>2407000</v>
      </c>
      <c r="H261" s="389"/>
      <c r="I261" s="597"/>
    </row>
    <row r="262" spans="1:9" ht="18.75" customHeight="1">
      <c r="A262" s="89"/>
      <c r="B262" s="10"/>
      <c r="C262" s="3">
        <v>4120</v>
      </c>
      <c r="D262" s="272" t="s">
        <v>497</v>
      </c>
      <c r="E262" s="55">
        <v>378104</v>
      </c>
      <c r="F262" s="94"/>
      <c r="G262" s="55">
        <v>362300</v>
      </c>
      <c r="H262" s="389"/>
      <c r="I262" s="597"/>
    </row>
    <row r="263" spans="1:9" ht="27" customHeight="1">
      <c r="A263" s="89"/>
      <c r="B263" s="10"/>
      <c r="C263" s="3">
        <v>4140</v>
      </c>
      <c r="D263" s="272" t="s">
        <v>96</v>
      </c>
      <c r="E263" s="55">
        <v>9727</v>
      </c>
      <c r="F263" s="94"/>
      <c r="G263" s="55">
        <v>12000</v>
      </c>
      <c r="H263" s="389"/>
      <c r="I263" s="597"/>
    </row>
    <row r="264" spans="1:9" ht="18.75" customHeight="1">
      <c r="A264" s="89"/>
      <c r="B264" s="10"/>
      <c r="C264" s="3">
        <v>4170</v>
      </c>
      <c r="D264" s="272" t="s">
        <v>503</v>
      </c>
      <c r="E264" s="55">
        <v>41510</v>
      </c>
      <c r="F264" s="94"/>
      <c r="G264" s="55">
        <v>40350</v>
      </c>
      <c r="H264" s="389"/>
      <c r="I264" s="597"/>
    </row>
    <row r="265" spans="1:9" ht="18" customHeight="1">
      <c r="A265" s="89"/>
      <c r="B265" s="10"/>
      <c r="C265" s="3">
        <v>4210</v>
      </c>
      <c r="D265" s="272" t="s">
        <v>411</v>
      </c>
      <c r="E265" s="55">
        <v>213832</v>
      </c>
      <c r="F265" s="94"/>
      <c r="G265" s="55">
        <v>193100</v>
      </c>
      <c r="H265" s="389"/>
      <c r="I265" s="597"/>
    </row>
    <row r="266" spans="1:9" ht="18" customHeight="1">
      <c r="A266" s="89"/>
      <c r="B266" s="10"/>
      <c r="C266" s="3">
        <v>4220</v>
      </c>
      <c r="D266" s="272" t="s">
        <v>111</v>
      </c>
      <c r="E266" s="55">
        <v>1200</v>
      </c>
      <c r="F266" s="94"/>
      <c r="G266" s="55">
        <v>1200</v>
      </c>
      <c r="H266" s="389"/>
      <c r="I266" s="597"/>
    </row>
    <row r="267" spans="1:9" ht="23.25" customHeight="1">
      <c r="A267" s="89"/>
      <c r="B267" s="10"/>
      <c r="C267" s="3">
        <v>4240</v>
      </c>
      <c r="D267" s="272" t="s">
        <v>97</v>
      </c>
      <c r="E267" s="55">
        <v>76438</v>
      </c>
      <c r="F267" s="94"/>
      <c r="G267" s="55">
        <v>79000</v>
      </c>
      <c r="H267" s="389"/>
      <c r="I267" s="597"/>
    </row>
    <row r="268" spans="1:9" ht="15" customHeight="1">
      <c r="A268" s="89"/>
      <c r="B268" s="10"/>
      <c r="C268" s="3">
        <v>4260</v>
      </c>
      <c r="D268" s="272" t="s">
        <v>511</v>
      </c>
      <c r="E268" s="55">
        <v>703438</v>
      </c>
      <c r="F268" s="94"/>
      <c r="G268" s="55">
        <v>739850</v>
      </c>
      <c r="H268" s="389"/>
      <c r="I268" s="597"/>
    </row>
    <row r="269" spans="1:9" ht="15" customHeight="1">
      <c r="A269" s="89"/>
      <c r="B269" s="10"/>
      <c r="C269" s="3">
        <v>4270</v>
      </c>
      <c r="D269" s="272" t="s">
        <v>412</v>
      </c>
      <c r="E269" s="55">
        <v>319230</v>
      </c>
      <c r="F269" s="94"/>
      <c r="G269" s="55">
        <v>112500</v>
      </c>
      <c r="H269" s="389"/>
      <c r="I269" s="597"/>
    </row>
    <row r="270" spans="1:9" ht="15" customHeight="1">
      <c r="A270" s="89"/>
      <c r="B270" s="10"/>
      <c r="C270" s="3">
        <v>4280</v>
      </c>
      <c r="D270" s="272" t="s">
        <v>714</v>
      </c>
      <c r="E270" s="55">
        <v>14448</v>
      </c>
      <c r="F270" s="94"/>
      <c r="G270" s="55">
        <v>17720</v>
      </c>
      <c r="H270" s="389"/>
      <c r="I270" s="597"/>
    </row>
    <row r="271" spans="1:9" ht="15" customHeight="1">
      <c r="A271" s="89"/>
      <c r="B271" s="10"/>
      <c r="C271" s="3">
        <v>4300</v>
      </c>
      <c r="D271" s="272" t="s">
        <v>408</v>
      </c>
      <c r="E271" s="55">
        <v>253346</v>
      </c>
      <c r="F271" s="94"/>
      <c r="G271" s="55">
        <v>286590</v>
      </c>
      <c r="H271" s="389"/>
      <c r="I271" s="597"/>
    </row>
    <row r="272" spans="1:9" ht="15" customHeight="1">
      <c r="A272" s="89"/>
      <c r="B272" s="10"/>
      <c r="C272" s="3">
        <v>4350</v>
      </c>
      <c r="D272" s="272" t="s">
        <v>506</v>
      </c>
      <c r="E272" s="55">
        <v>7851</v>
      </c>
      <c r="F272" s="94"/>
      <c r="G272" s="55">
        <v>7851</v>
      </c>
      <c r="H272" s="389"/>
      <c r="I272" s="597"/>
    </row>
    <row r="273" spans="1:9" ht="42.75" customHeight="1">
      <c r="A273" s="89"/>
      <c r="B273" s="10"/>
      <c r="C273" s="3">
        <v>4360</v>
      </c>
      <c r="D273" s="272" t="s">
        <v>4</v>
      </c>
      <c r="E273" s="55">
        <v>3400</v>
      </c>
      <c r="F273" s="94"/>
      <c r="G273" s="55">
        <v>3850</v>
      </c>
      <c r="H273" s="389"/>
      <c r="I273" s="597"/>
    </row>
    <row r="274" spans="1:9" ht="35.25" customHeight="1">
      <c r="A274" s="89"/>
      <c r="B274" s="10"/>
      <c r="C274" s="3">
        <v>4370</v>
      </c>
      <c r="D274" s="272" t="s">
        <v>3</v>
      </c>
      <c r="E274" s="55">
        <v>23000</v>
      </c>
      <c r="F274" s="94"/>
      <c r="G274" s="55">
        <v>24300</v>
      </c>
      <c r="H274" s="389"/>
      <c r="I274" s="597"/>
    </row>
    <row r="275" spans="1:9" ht="27.75" customHeight="1">
      <c r="A275" s="89"/>
      <c r="B275" s="10"/>
      <c r="C275" s="3">
        <v>4390</v>
      </c>
      <c r="D275" s="272" t="s">
        <v>154</v>
      </c>
      <c r="E275" s="55">
        <v>1400</v>
      </c>
      <c r="F275" s="94"/>
      <c r="G275" s="55">
        <v>1400</v>
      </c>
      <c r="H275" s="389"/>
      <c r="I275" s="597"/>
    </row>
    <row r="276" spans="1:9" ht="19.5" customHeight="1">
      <c r="A276" s="89"/>
      <c r="B276" s="10"/>
      <c r="C276" s="3">
        <v>4410</v>
      </c>
      <c r="D276" s="272" t="s">
        <v>500</v>
      </c>
      <c r="E276" s="55">
        <v>11600</v>
      </c>
      <c r="F276" s="94"/>
      <c r="G276" s="55">
        <v>15600</v>
      </c>
      <c r="H276" s="389"/>
      <c r="I276" s="597"/>
    </row>
    <row r="277" spans="1:9" ht="18.75" customHeight="1">
      <c r="A277" s="89"/>
      <c r="B277" s="10"/>
      <c r="C277" s="3">
        <v>4430</v>
      </c>
      <c r="D277" s="272" t="s">
        <v>387</v>
      </c>
      <c r="E277" s="55">
        <v>28320</v>
      </c>
      <c r="F277" s="94"/>
      <c r="G277" s="55">
        <v>29580</v>
      </c>
      <c r="H277" s="389"/>
      <c r="I277" s="597"/>
    </row>
    <row r="278" spans="1:9" ht="25.5" customHeight="1">
      <c r="A278" s="89"/>
      <c r="B278" s="10"/>
      <c r="C278" s="3">
        <v>4440</v>
      </c>
      <c r="D278" s="272" t="s">
        <v>498</v>
      </c>
      <c r="E278" s="55">
        <v>946357</v>
      </c>
      <c r="F278" s="94"/>
      <c r="G278" s="55">
        <v>927212</v>
      </c>
      <c r="H278" s="389"/>
      <c r="I278" s="597"/>
    </row>
    <row r="279" spans="1:9" ht="20.25" customHeight="1">
      <c r="A279" s="89"/>
      <c r="B279" s="10"/>
      <c r="C279" s="3">
        <v>4480</v>
      </c>
      <c r="D279" s="272" t="s">
        <v>351</v>
      </c>
      <c r="E279" s="55">
        <v>2852</v>
      </c>
      <c r="F279" s="94"/>
      <c r="G279" s="55">
        <v>3148</v>
      </c>
      <c r="H279" s="389"/>
      <c r="I279" s="597"/>
    </row>
    <row r="280" spans="1:9" ht="26.25" customHeight="1">
      <c r="A280" s="89"/>
      <c r="B280" s="10"/>
      <c r="C280" s="3">
        <v>4520</v>
      </c>
      <c r="D280" s="272" t="s">
        <v>373</v>
      </c>
      <c r="E280" s="55">
        <v>8924</v>
      </c>
      <c r="F280" s="94"/>
      <c r="G280" s="55">
        <v>29818</v>
      </c>
      <c r="H280" s="389"/>
      <c r="I280" s="597"/>
    </row>
    <row r="281" spans="1:9" ht="24" customHeight="1">
      <c r="A281" s="89"/>
      <c r="B281" s="10"/>
      <c r="C281" s="3">
        <v>4700</v>
      </c>
      <c r="D281" s="272" t="s">
        <v>374</v>
      </c>
      <c r="E281" s="55">
        <v>10000</v>
      </c>
      <c r="F281" s="94"/>
      <c r="G281" s="55">
        <v>20600</v>
      </c>
      <c r="H281" s="389"/>
      <c r="I281" s="597"/>
    </row>
    <row r="282" spans="1:9" ht="24" customHeight="1">
      <c r="A282" s="89"/>
      <c r="B282" s="10"/>
      <c r="C282" s="3">
        <v>6050</v>
      </c>
      <c r="D282" s="272" t="s">
        <v>420</v>
      </c>
      <c r="E282" s="55">
        <v>55000</v>
      </c>
      <c r="F282" s="94"/>
      <c r="G282" s="55">
        <f>30000+30000</f>
        <v>60000</v>
      </c>
      <c r="H282" s="389"/>
      <c r="I282" s="597"/>
    </row>
    <row r="283" spans="1:9" ht="29.25" customHeight="1">
      <c r="A283" s="89"/>
      <c r="B283" s="10"/>
      <c r="C283" s="3">
        <v>6060</v>
      </c>
      <c r="D283" s="272" t="s">
        <v>516</v>
      </c>
      <c r="E283" s="55">
        <v>6000</v>
      </c>
      <c r="F283" s="94"/>
      <c r="G283" s="55">
        <v>0</v>
      </c>
      <c r="H283" s="389"/>
      <c r="I283" s="597"/>
    </row>
    <row r="284" spans="1:9" ht="24" customHeight="1">
      <c r="A284" s="89"/>
      <c r="B284" s="24">
        <v>80113</v>
      </c>
      <c r="C284" s="25"/>
      <c r="D284" s="277" t="s">
        <v>112</v>
      </c>
      <c r="E284" s="104">
        <f>SUM(E285:E285)</f>
        <v>116568</v>
      </c>
      <c r="F284" s="94"/>
      <c r="G284" s="104">
        <f>SUM(G285:G285)</f>
        <v>136357</v>
      </c>
      <c r="H284" s="389"/>
      <c r="I284" s="330">
        <f>G284/E284*100</f>
        <v>116.97635714775924</v>
      </c>
    </row>
    <row r="285" spans="1:9" ht="19.5" customHeight="1">
      <c r="A285" s="89"/>
      <c r="B285" s="10"/>
      <c r="C285" s="3">
        <v>4300</v>
      </c>
      <c r="D285" s="272" t="s">
        <v>408</v>
      </c>
      <c r="E285" s="55">
        <v>116568</v>
      </c>
      <c r="F285" s="94"/>
      <c r="G285" s="55">
        <v>136357</v>
      </c>
      <c r="H285" s="389"/>
      <c r="I285" s="597"/>
    </row>
    <row r="286" spans="1:9" ht="26.25" customHeight="1">
      <c r="A286" s="89"/>
      <c r="B286" s="49">
        <v>80146</v>
      </c>
      <c r="C286" s="3"/>
      <c r="D286" s="277" t="s">
        <v>675</v>
      </c>
      <c r="E286" s="104">
        <f>SUM(E287:E297)</f>
        <v>444772</v>
      </c>
      <c r="F286" s="94"/>
      <c r="G286" s="104">
        <f>SUM(G287:G297)</f>
        <v>456242</v>
      </c>
      <c r="H286" s="389"/>
      <c r="I286" s="330">
        <f>G286/E286*100</f>
        <v>102.57884938800103</v>
      </c>
    </row>
    <row r="287" spans="1:9" ht="24.75" customHeight="1">
      <c r="A287" s="89"/>
      <c r="B287" s="86"/>
      <c r="C287" s="3">
        <v>3020</v>
      </c>
      <c r="D287" s="272" t="s">
        <v>712</v>
      </c>
      <c r="E287" s="100">
        <v>450</v>
      </c>
      <c r="F287" s="94"/>
      <c r="G287" s="100">
        <v>900</v>
      </c>
      <c r="H287" s="389"/>
      <c r="I287" s="597"/>
    </row>
    <row r="288" spans="1:9" ht="19.5" customHeight="1">
      <c r="A288" s="89"/>
      <c r="B288" s="86"/>
      <c r="C288" s="3">
        <v>4010</v>
      </c>
      <c r="D288" s="272" t="s">
        <v>451</v>
      </c>
      <c r="E288" s="55">
        <v>75576</v>
      </c>
      <c r="F288" s="94"/>
      <c r="G288" s="55">
        <v>75298</v>
      </c>
      <c r="H288" s="389"/>
      <c r="I288" s="597"/>
    </row>
    <row r="289" spans="1:9" ht="15" customHeight="1">
      <c r="A289" s="89"/>
      <c r="B289" s="86"/>
      <c r="C289" s="3">
        <v>4110</v>
      </c>
      <c r="D289" s="272" t="s">
        <v>496</v>
      </c>
      <c r="E289" s="55">
        <v>13274</v>
      </c>
      <c r="F289" s="94"/>
      <c r="G289" s="55">
        <v>15813</v>
      </c>
      <c r="H289" s="389"/>
      <c r="I289" s="597"/>
    </row>
    <row r="290" spans="1:9" ht="15" customHeight="1">
      <c r="A290" s="89"/>
      <c r="B290" s="86"/>
      <c r="C290" s="3">
        <v>4120</v>
      </c>
      <c r="D290" s="272" t="s">
        <v>497</v>
      </c>
      <c r="E290" s="55">
        <v>1850</v>
      </c>
      <c r="F290" s="94"/>
      <c r="G290" s="55">
        <v>1847</v>
      </c>
      <c r="H290" s="389"/>
      <c r="I290" s="597"/>
    </row>
    <row r="291" spans="1:9" ht="15" customHeight="1">
      <c r="A291" s="89"/>
      <c r="B291" s="86"/>
      <c r="C291" s="3">
        <v>4170</v>
      </c>
      <c r="D291" s="272" t="s">
        <v>503</v>
      </c>
      <c r="E291" s="55">
        <v>10000</v>
      </c>
      <c r="F291" s="94"/>
      <c r="G291" s="55">
        <v>7000</v>
      </c>
      <c r="H291" s="389"/>
      <c r="I291" s="597"/>
    </row>
    <row r="292" spans="1:9" ht="15" customHeight="1">
      <c r="A292" s="89"/>
      <c r="B292" s="86"/>
      <c r="C292" s="3">
        <v>4210</v>
      </c>
      <c r="D292" s="272" t="s">
        <v>411</v>
      </c>
      <c r="E292" s="55">
        <v>7243</v>
      </c>
      <c r="F292" s="94"/>
      <c r="G292" s="55">
        <v>10622</v>
      </c>
      <c r="H292" s="389"/>
      <c r="I292" s="597"/>
    </row>
    <row r="293" spans="1:9" ht="26.25" customHeight="1">
      <c r="A293" s="89"/>
      <c r="B293" s="86"/>
      <c r="C293" s="3">
        <v>4240</v>
      </c>
      <c r="D293" s="272" t="s">
        <v>97</v>
      </c>
      <c r="E293" s="55">
        <v>1070</v>
      </c>
      <c r="F293" s="94"/>
      <c r="G293" s="55">
        <v>886</v>
      </c>
      <c r="H293" s="389"/>
      <c r="I293" s="597"/>
    </row>
    <row r="294" spans="1:9" ht="15" customHeight="1">
      <c r="A294" s="89"/>
      <c r="B294" s="86"/>
      <c r="C294" s="3">
        <v>4300</v>
      </c>
      <c r="D294" s="272" t="s">
        <v>408</v>
      </c>
      <c r="E294" s="55">
        <v>68500</v>
      </c>
      <c r="F294" s="94"/>
      <c r="G294" s="55">
        <v>69397</v>
      </c>
      <c r="H294" s="389"/>
      <c r="I294" s="597"/>
    </row>
    <row r="295" spans="1:9" ht="15" customHeight="1">
      <c r="A295" s="89"/>
      <c r="B295" s="86"/>
      <c r="C295" s="3">
        <v>4410</v>
      </c>
      <c r="D295" s="272" t="s">
        <v>500</v>
      </c>
      <c r="E295" s="55">
        <v>23997</v>
      </c>
      <c r="F295" s="94"/>
      <c r="G295" s="55">
        <v>25625</v>
      </c>
      <c r="H295" s="389"/>
      <c r="I295" s="597"/>
    </row>
    <row r="296" spans="1:9" ht="15" customHeight="1">
      <c r="A296" s="89"/>
      <c r="B296" s="86"/>
      <c r="C296" s="3">
        <v>4420</v>
      </c>
      <c r="D296" s="272" t="s">
        <v>508</v>
      </c>
      <c r="E296" s="55">
        <v>0</v>
      </c>
      <c r="F296" s="94"/>
      <c r="G296" s="55">
        <v>7000</v>
      </c>
      <c r="H296" s="389"/>
      <c r="I296" s="597"/>
    </row>
    <row r="297" spans="1:9" ht="25.5" customHeight="1">
      <c r="A297" s="89"/>
      <c r="B297" s="86"/>
      <c r="C297" s="3">
        <v>4700</v>
      </c>
      <c r="D297" s="272" t="s">
        <v>374</v>
      </c>
      <c r="E297" s="55">
        <v>242812</v>
      </c>
      <c r="F297" s="94"/>
      <c r="G297" s="55">
        <v>241854</v>
      </c>
      <c r="H297" s="389"/>
      <c r="I297" s="597"/>
    </row>
    <row r="298" spans="1:9" ht="21.75" customHeight="1">
      <c r="A298" s="89"/>
      <c r="B298" s="25">
        <v>80148</v>
      </c>
      <c r="C298" s="25"/>
      <c r="D298" s="277" t="s">
        <v>18</v>
      </c>
      <c r="E298" s="104">
        <f>SUM(E299:E317)</f>
        <v>3895065</v>
      </c>
      <c r="F298" s="94"/>
      <c r="G298" s="104">
        <f>SUM(G299:G317)</f>
        <v>4108596</v>
      </c>
      <c r="H298" s="389"/>
      <c r="I298" s="330">
        <f>G298/E298*100</f>
        <v>105.4820907995117</v>
      </c>
    </row>
    <row r="299" spans="1:9" ht="25.5" customHeight="1">
      <c r="A299" s="89"/>
      <c r="B299" s="10"/>
      <c r="C299" s="3">
        <v>3020</v>
      </c>
      <c r="D299" s="272" t="s">
        <v>712</v>
      </c>
      <c r="E299" s="100">
        <v>20280</v>
      </c>
      <c r="F299" s="94"/>
      <c r="G299" s="100">
        <v>24080</v>
      </c>
      <c r="H299" s="389"/>
      <c r="I299" s="597"/>
    </row>
    <row r="300" spans="1:9" ht="19.5" customHeight="1">
      <c r="A300" s="89"/>
      <c r="B300" s="10"/>
      <c r="C300" s="3">
        <v>4010</v>
      </c>
      <c r="D300" s="272" t="s">
        <v>451</v>
      </c>
      <c r="E300" s="55">
        <v>1167646</v>
      </c>
      <c r="F300" s="94"/>
      <c r="G300" s="55">
        <v>1252924</v>
      </c>
      <c r="H300" s="389"/>
      <c r="I300" s="597"/>
    </row>
    <row r="301" spans="1:9" ht="15" customHeight="1">
      <c r="A301" s="89"/>
      <c r="B301" s="10"/>
      <c r="C301" s="3">
        <v>4040</v>
      </c>
      <c r="D301" s="272" t="s">
        <v>452</v>
      </c>
      <c r="E301" s="55">
        <v>92848</v>
      </c>
      <c r="F301" s="94"/>
      <c r="G301" s="55">
        <v>98581</v>
      </c>
      <c r="H301" s="389"/>
      <c r="I301" s="597"/>
    </row>
    <row r="302" spans="1:9" ht="15" customHeight="1">
      <c r="A302" s="89"/>
      <c r="B302" s="10"/>
      <c r="C302" s="3">
        <v>4110</v>
      </c>
      <c r="D302" s="272" t="s">
        <v>496</v>
      </c>
      <c r="E302" s="55">
        <v>213606</v>
      </c>
      <c r="F302" s="94"/>
      <c r="G302" s="55">
        <v>223556</v>
      </c>
      <c r="H302" s="389"/>
      <c r="I302" s="597"/>
    </row>
    <row r="303" spans="1:9" ht="15" customHeight="1">
      <c r="A303" s="89"/>
      <c r="B303" s="10"/>
      <c r="C303" s="3">
        <v>4120</v>
      </c>
      <c r="D303" s="272" t="s">
        <v>497</v>
      </c>
      <c r="E303" s="55">
        <v>28536</v>
      </c>
      <c r="F303" s="94"/>
      <c r="G303" s="55">
        <v>31214</v>
      </c>
      <c r="H303" s="389"/>
      <c r="I303" s="597"/>
    </row>
    <row r="304" spans="1:9" ht="15" customHeight="1">
      <c r="A304" s="89"/>
      <c r="B304" s="10"/>
      <c r="C304" s="3">
        <v>4170</v>
      </c>
      <c r="D304" s="272" t="s">
        <v>503</v>
      </c>
      <c r="E304" s="55">
        <v>2070</v>
      </c>
      <c r="F304" s="94"/>
      <c r="G304" s="55">
        <v>3300</v>
      </c>
      <c r="H304" s="389"/>
      <c r="I304" s="597"/>
    </row>
    <row r="305" spans="1:9" ht="15" customHeight="1">
      <c r="A305" s="89"/>
      <c r="B305" s="10"/>
      <c r="C305" s="3">
        <v>4210</v>
      </c>
      <c r="D305" s="272" t="s">
        <v>411</v>
      </c>
      <c r="E305" s="55">
        <v>67420</v>
      </c>
      <c r="F305" s="94"/>
      <c r="G305" s="55">
        <v>84330</v>
      </c>
      <c r="H305" s="389"/>
      <c r="I305" s="597"/>
    </row>
    <row r="306" spans="1:9" ht="15" customHeight="1">
      <c r="A306" s="89"/>
      <c r="B306" s="10"/>
      <c r="C306" s="3">
        <v>4220</v>
      </c>
      <c r="D306" s="272" t="s">
        <v>111</v>
      </c>
      <c r="E306" s="55">
        <v>1721922</v>
      </c>
      <c r="F306" s="94"/>
      <c r="G306" s="55">
        <v>1780396</v>
      </c>
      <c r="H306" s="389"/>
      <c r="I306" s="597"/>
    </row>
    <row r="307" spans="1:9" ht="15" customHeight="1">
      <c r="A307" s="89"/>
      <c r="B307" s="10"/>
      <c r="C307" s="3">
        <v>4260</v>
      </c>
      <c r="D307" s="272" t="s">
        <v>511</v>
      </c>
      <c r="E307" s="55">
        <v>305437</v>
      </c>
      <c r="F307" s="94"/>
      <c r="G307" s="55">
        <v>313720</v>
      </c>
      <c r="H307" s="389"/>
      <c r="I307" s="597"/>
    </row>
    <row r="308" spans="1:9" ht="15" customHeight="1">
      <c r="A308" s="89"/>
      <c r="B308" s="10"/>
      <c r="C308" s="3">
        <v>4270</v>
      </c>
      <c r="D308" s="272" t="s">
        <v>412</v>
      </c>
      <c r="E308" s="55">
        <v>89181</v>
      </c>
      <c r="F308" s="94"/>
      <c r="G308" s="55">
        <v>42540</v>
      </c>
      <c r="H308" s="389"/>
      <c r="I308" s="597"/>
    </row>
    <row r="309" spans="1:9" ht="15" customHeight="1">
      <c r="A309" s="89"/>
      <c r="B309" s="10"/>
      <c r="C309" s="3">
        <v>4280</v>
      </c>
      <c r="D309" s="272" t="s">
        <v>714</v>
      </c>
      <c r="E309" s="55">
        <v>3210</v>
      </c>
      <c r="F309" s="94"/>
      <c r="G309" s="55">
        <v>3360</v>
      </c>
      <c r="H309" s="389"/>
      <c r="I309" s="597"/>
    </row>
    <row r="310" spans="1:9" ht="15" customHeight="1">
      <c r="A310" s="89"/>
      <c r="B310" s="10"/>
      <c r="C310" s="3">
        <v>4300</v>
      </c>
      <c r="D310" s="272" t="s">
        <v>408</v>
      </c>
      <c r="E310" s="55">
        <v>111985</v>
      </c>
      <c r="F310" s="94"/>
      <c r="G310" s="55">
        <v>125790</v>
      </c>
      <c r="H310" s="389"/>
      <c r="I310" s="597"/>
    </row>
    <row r="311" spans="1:9" ht="27" customHeight="1">
      <c r="A311" s="89"/>
      <c r="B311" s="10"/>
      <c r="C311" s="3">
        <v>4390</v>
      </c>
      <c r="D311" s="272" t="s">
        <v>154</v>
      </c>
      <c r="E311" s="55">
        <v>600</v>
      </c>
      <c r="F311" s="94"/>
      <c r="G311" s="55">
        <v>500</v>
      </c>
      <c r="H311" s="389"/>
      <c r="I311" s="597"/>
    </row>
    <row r="312" spans="1:9" ht="15.75" customHeight="1">
      <c r="A312" s="89"/>
      <c r="B312" s="10"/>
      <c r="C312" s="3">
        <v>4410</v>
      </c>
      <c r="D312" s="272" t="s">
        <v>500</v>
      </c>
      <c r="E312" s="55">
        <v>100</v>
      </c>
      <c r="F312" s="94"/>
      <c r="G312" s="55">
        <v>300</v>
      </c>
      <c r="H312" s="389"/>
      <c r="I312" s="597"/>
    </row>
    <row r="313" spans="1:9" ht="15.75" customHeight="1">
      <c r="A313" s="89"/>
      <c r="B313" s="10"/>
      <c r="C313" s="3">
        <v>4430</v>
      </c>
      <c r="D313" s="272" t="s">
        <v>387</v>
      </c>
      <c r="E313" s="55">
        <v>520</v>
      </c>
      <c r="F313" s="94"/>
      <c r="G313" s="55">
        <v>600</v>
      </c>
      <c r="H313" s="389"/>
      <c r="I313" s="597"/>
    </row>
    <row r="314" spans="1:9" ht="26.25" customHeight="1">
      <c r="A314" s="89"/>
      <c r="B314" s="10"/>
      <c r="C314" s="3">
        <v>4440</v>
      </c>
      <c r="D314" s="272" t="s">
        <v>498</v>
      </c>
      <c r="E314" s="55">
        <v>54126</v>
      </c>
      <c r="F314" s="94"/>
      <c r="G314" s="55">
        <v>54210</v>
      </c>
      <c r="H314" s="389"/>
      <c r="I314" s="597"/>
    </row>
    <row r="315" spans="1:9" ht="26.25" customHeight="1">
      <c r="A315" s="89"/>
      <c r="B315" s="10"/>
      <c r="C315" s="3">
        <v>4520</v>
      </c>
      <c r="D315" s="272" t="s">
        <v>373</v>
      </c>
      <c r="E315" s="79">
        <v>778</v>
      </c>
      <c r="F315" s="94"/>
      <c r="G315" s="79">
        <v>6395</v>
      </c>
      <c r="H315" s="389"/>
      <c r="I315" s="597"/>
    </row>
    <row r="316" spans="1:9" ht="30" customHeight="1">
      <c r="A316" s="89"/>
      <c r="B316" s="10"/>
      <c r="C316" s="3">
        <v>4700</v>
      </c>
      <c r="D316" s="272" t="s">
        <v>374</v>
      </c>
      <c r="E316" s="79">
        <v>2650</v>
      </c>
      <c r="F316" s="94"/>
      <c r="G316" s="79">
        <v>3600</v>
      </c>
      <c r="H316" s="389"/>
      <c r="I316" s="597"/>
    </row>
    <row r="317" spans="1:9" ht="30" customHeight="1">
      <c r="A317" s="89"/>
      <c r="B317" s="10"/>
      <c r="C317" s="3">
        <v>6060</v>
      </c>
      <c r="D317" s="272" t="s">
        <v>516</v>
      </c>
      <c r="E317" s="281">
        <v>12150</v>
      </c>
      <c r="F317" s="94"/>
      <c r="G317" s="281">
        <v>59200</v>
      </c>
      <c r="H317" s="389"/>
      <c r="I317" s="330">
        <f>G317/E317*100</f>
        <v>487.24279835390945</v>
      </c>
    </row>
    <row r="318" spans="1:9" ht="22.5" customHeight="1">
      <c r="A318" s="116"/>
      <c r="B318" s="108">
        <v>80195</v>
      </c>
      <c r="C318" s="25"/>
      <c r="D318" s="277" t="s">
        <v>143</v>
      </c>
      <c r="E318" s="167">
        <f>SUM(E319:E325)</f>
        <v>7449545</v>
      </c>
      <c r="F318" s="94"/>
      <c r="G318" s="167">
        <f>SUM(G319:G325)</f>
        <v>917762.4</v>
      </c>
      <c r="H318" s="389"/>
      <c r="I318" s="597"/>
    </row>
    <row r="319" spans="1:9" ht="22.5" customHeight="1">
      <c r="A319" s="118"/>
      <c r="B319" s="107"/>
      <c r="C319" s="3">
        <v>4170</v>
      </c>
      <c r="D319" s="272" t="s">
        <v>503</v>
      </c>
      <c r="E319" s="414">
        <v>2300</v>
      </c>
      <c r="F319" s="94"/>
      <c r="G319" s="414">
        <v>420</v>
      </c>
      <c r="H319" s="389"/>
      <c r="I319" s="597"/>
    </row>
    <row r="320" spans="1:9" ht="22.5" customHeight="1">
      <c r="A320" s="118"/>
      <c r="B320" s="107"/>
      <c r="C320" s="3">
        <v>4211</v>
      </c>
      <c r="D320" s="272" t="s">
        <v>411</v>
      </c>
      <c r="E320" s="414">
        <v>5000</v>
      </c>
      <c r="F320" s="94"/>
      <c r="G320" s="414">
        <v>22000</v>
      </c>
      <c r="H320" s="389"/>
      <c r="I320" s="597"/>
    </row>
    <row r="321" spans="1:9" ht="22.5" customHeight="1">
      <c r="A321" s="118"/>
      <c r="B321" s="107"/>
      <c r="C321" s="3">
        <v>4300</v>
      </c>
      <c r="D321" s="272" t="s">
        <v>408</v>
      </c>
      <c r="E321" s="157">
        <v>86900</v>
      </c>
      <c r="F321" s="94"/>
      <c r="G321" s="157">
        <v>24600</v>
      </c>
      <c r="H321" s="389"/>
      <c r="I321" s="597"/>
    </row>
    <row r="322" spans="1:9" ht="22.5" customHeight="1">
      <c r="A322" s="118"/>
      <c r="B322" s="107"/>
      <c r="C322" s="9">
        <v>4301</v>
      </c>
      <c r="D322" s="272" t="s">
        <v>408</v>
      </c>
      <c r="E322" s="157">
        <v>5000</v>
      </c>
      <c r="F322" s="94"/>
      <c r="G322" s="157">
        <v>1000</v>
      </c>
      <c r="H322" s="389"/>
      <c r="I322" s="597"/>
    </row>
    <row r="323" spans="1:9" ht="22.5" customHeight="1">
      <c r="A323" s="118"/>
      <c r="B323" s="107"/>
      <c r="C323" s="9">
        <v>4421</v>
      </c>
      <c r="D323" s="272" t="s">
        <v>508</v>
      </c>
      <c r="E323" s="157">
        <v>15000</v>
      </c>
      <c r="F323" s="94"/>
      <c r="G323" s="157">
        <v>19742.4</v>
      </c>
      <c r="H323" s="389"/>
      <c r="I323" s="597"/>
    </row>
    <row r="324" spans="1:9" ht="25.5" customHeight="1">
      <c r="A324" s="118"/>
      <c r="B324" s="107"/>
      <c r="C324" s="9">
        <v>4440</v>
      </c>
      <c r="D324" s="272" t="s">
        <v>498</v>
      </c>
      <c r="E324" s="157">
        <v>801429</v>
      </c>
      <c r="F324" s="94"/>
      <c r="G324" s="157">
        <v>850000</v>
      </c>
      <c r="H324" s="389"/>
      <c r="I324" s="597"/>
    </row>
    <row r="325" spans="1:25" s="93" customFormat="1" ht="26.25" customHeight="1">
      <c r="A325" s="17"/>
      <c r="B325" s="2"/>
      <c r="C325" s="3">
        <v>6050</v>
      </c>
      <c r="D325" s="272" t="s">
        <v>420</v>
      </c>
      <c r="E325" s="55">
        <v>6533916</v>
      </c>
      <c r="F325" s="96"/>
      <c r="G325" s="55">
        <v>0</v>
      </c>
      <c r="H325" s="393"/>
      <c r="I325" s="597"/>
      <c r="J325" s="59"/>
      <c r="K325" s="59"/>
      <c r="L325" s="250"/>
      <c r="M325" s="59"/>
      <c r="N325" s="59"/>
      <c r="O325" s="59"/>
      <c r="P325" s="59"/>
      <c r="Q325" s="59"/>
      <c r="R325" s="59"/>
      <c r="S325" s="59"/>
      <c r="T325" s="239"/>
      <c r="U325" s="239"/>
      <c r="V325" s="239"/>
      <c r="W325" s="239"/>
      <c r="X325" s="239"/>
      <c r="Y325" s="239"/>
    </row>
    <row r="326" spans="1:9" ht="21" customHeight="1">
      <c r="A326" s="64">
        <v>851</v>
      </c>
      <c r="B326" s="74"/>
      <c r="C326" s="12"/>
      <c r="D326" s="276" t="s">
        <v>20</v>
      </c>
      <c r="E326" s="36">
        <f>E327+E329+E333+E355+E377</f>
        <v>3001850</v>
      </c>
      <c r="F326" s="114"/>
      <c r="G326" s="36">
        <f>G327+G329+G333+G355+G377</f>
        <v>2969000</v>
      </c>
      <c r="H326" s="144"/>
      <c r="I326" s="330">
        <f>G326/E326*100</f>
        <v>98.90567483385246</v>
      </c>
    </row>
    <row r="327" spans="1:25" s="56" customFormat="1" ht="21" customHeight="1">
      <c r="A327" s="331"/>
      <c r="B327" s="108">
        <v>85111</v>
      </c>
      <c r="C327" s="24"/>
      <c r="D327" s="277" t="s">
        <v>441</v>
      </c>
      <c r="E327" s="104">
        <f>E328</f>
        <v>100000</v>
      </c>
      <c r="F327" s="112"/>
      <c r="G327" s="104">
        <f>G328</f>
        <v>0</v>
      </c>
      <c r="H327" s="1069"/>
      <c r="I327" s="597"/>
      <c r="J327" s="230"/>
      <c r="K327" s="230"/>
      <c r="L327" s="248"/>
      <c r="M327" s="230"/>
      <c r="N327" s="230"/>
      <c r="O327" s="230"/>
      <c r="P327" s="230"/>
      <c r="Q327" s="230"/>
      <c r="R327" s="230"/>
      <c r="S327" s="230"/>
      <c r="T327" s="238"/>
      <c r="U327" s="238"/>
      <c r="V327" s="238"/>
      <c r="W327" s="238"/>
      <c r="X327" s="238"/>
      <c r="Y327" s="238"/>
    </row>
    <row r="328" spans="1:9" ht="63.75" customHeight="1">
      <c r="A328" s="76"/>
      <c r="B328" s="62"/>
      <c r="C328" s="3">
        <v>6220</v>
      </c>
      <c r="D328" s="31" t="s">
        <v>388</v>
      </c>
      <c r="E328" s="55">
        <v>100000</v>
      </c>
      <c r="F328" s="94"/>
      <c r="G328" s="55">
        <v>0</v>
      </c>
      <c r="H328" s="389"/>
      <c r="I328" s="597"/>
    </row>
    <row r="329" spans="1:9" ht="21.75" customHeight="1">
      <c r="A329" s="107"/>
      <c r="B329" s="122">
        <v>85153</v>
      </c>
      <c r="C329" s="25"/>
      <c r="D329" s="277" t="s">
        <v>416</v>
      </c>
      <c r="E329" s="104">
        <f>SUM(E330:E332)</f>
        <v>101000</v>
      </c>
      <c r="F329" s="94"/>
      <c r="G329" s="104">
        <f>SUM(G330:G332)</f>
        <v>103000</v>
      </c>
      <c r="H329" s="389"/>
      <c r="I329" s="1067">
        <f>G329/E329*100</f>
        <v>101.98019801980197</v>
      </c>
    </row>
    <row r="330" spans="1:9" ht="72.75" customHeight="1">
      <c r="A330" s="77"/>
      <c r="B330" s="67"/>
      <c r="C330" s="9">
        <v>2360</v>
      </c>
      <c r="D330" s="272" t="s">
        <v>632</v>
      </c>
      <c r="E330" s="100">
        <v>95000</v>
      </c>
      <c r="F330" s="94"/>
      <c r="G330" s="100">
        <v>95000</v>
      </c>
      <c r="H330" s="389"/>
      <c r="I330" s="1067"/>
    </row>
    <row r="331" spans="1:9" ht="15" customHeight="1">
      <c r="A331" s="77"/>
      <c r="B331" s="66"/>
      <c r="C331" s="9">
        <v>4210</v>
      </c>
      <c r="D331" s="272" t="s">
        <v>411</v>
      </c>
      <c r="E331" s="55">
        <v>3000</v>
      </c>
      <c r="F331" s="94"/>
      <c r="G331" s="55">
        <v>4000</v>
      </c>
      <c r="H331" s="389"/>
      <c r="I331" s="597"/>
    </row>
    <row r="332" spans="1:9" ht="20.25" customHeight="1">
      <c r="A332" s="77"/>
      <c r="B332" s="75"/>
      <c r="C332" s="9">
        <v>4300</v>
      </c>
      <c r="D332" s="272" t="s">
        <v>408</v>
      </c>
      <c r="E332" s="79">
        <v>3000</v>
      </c>
      <c r="F332" s="94"/>
      <c r="G332" s="79">
        <v>4000</v>
      </c>
      <c r="H332" s="389"/>
      <c r="I332" s="598"/>
    </row>
    <row r="333" spans="1:9" ht="21.75" customHeight="1">
      <c r="A333" s="66"/>
      <c r="B333" s="108">
        <v>85154</v>
      </c>
      <c r="C333" s="25"/>
      <c r="D333" s="277" t="s">
        <v>459</v>
      </c>
      <c r="E333" s="41">
        <f>SUM(E334:E354)</f>
        <v>1520600</v>
      </c>
      <c r="F333" s="94"/>
      <c r="G333" s="41">
        <f>SUM(G334:G354)</f>
        <v>1597000</v>
      </c>
      <c r="H333" s="389"/>
      <c r="I333" s="330">
        <f>G333/E333*100</f>
        <v>105.02433250032881</v>
      </c>
    </row>
    <row r="334" spans="1:9" ht="72" customHeight="1">
      <c r="A334" s="89"/>
      <c r="B334" s="89"/>
      <c r="C334" s="9">
        <v>2360</v>
      </c>
      <c r="D334" s="272" t="s">
        <v>632</v>
      </c>
      <c r="E334" s="100">
        <v>875100</v>
      </c>
      <c r="F334" s="94"/>
      <c r="G334" s="100">
        <v>951500</v>
      </c>
      <c r="H334" s="389"/>
      <c r="I334" s="597"/>
    </row>
    <row r="335" spans="1:9" ht="28.5" customHeight="1">
      <c r="A335" s="89"/>
      <c r="B335" s="89"/>
      <c r="C335" s="3">
        <v>3020</v>
      </c>
      <c r="D335" s="272" t="s">
        <v>113</v>
      </c>
      <c r="E335" s="55">
        <v>4000</v>
      </c>
      <c r="F335" s="94"/>
      <c r="G335" s="55">
        <v>4000</v>
      </c>
      <c r="H335" s="389"/>
      <c r="I335" s="597"/>
    </row>
    <row r="336" spans="1:9" ht="16.5" customHeight="1">
      <c r="A336" s="89"/>
      <c r="B336" s="89"/>
      <c r="C336" s="9">
        <v>4010</v>
      </c>
      <c r="D336" s="272" t="s">
        <v>451</v>
      </c>
      <c r="E336" s="55">
        <v>275000</v>
      </c>
      <c r="F336" s="94"/>
      <c r="G336" s="55">
        <f>247000+27500</f>
        <v>274500</v>
      </c>
      <c r="H336" s="389"/>
      <c r="I336" s="597"/>
    </row>
    <row r="337" spans="1:9" ht="15" customHeight="1">
      <c r="A337" s="89"/>
      <c r="B337" s="89"/>
      <c r="C337" s="3">
        <v>4040</v>
      </c>
      <c r="D337" s="272" t="s">
        <v>452</v>
      </c>
      <c r="E337" s="55">
        <v>26000</v>
      </c>
      <c r="F337" s="94"/>
      <c r="G337" s="55">
        <v>26000</v>
      </c>
      <c r="H337" s="389"/>
      <c r="I337" s="597"/>
    </row>
    <row r="338" spans="1:9" ht="15" customHeight="1">
      <c r="A338" s="89"/>
      <c r="B338" s="89"/>
      <c r="C338" s="9">
        <v>4110</v>
      </c>
      <c r="D338" s="272" t="s">
        <v>496</v>
      </c>
      <c r="E338" s="55">
        <v>46500</v>
      </c>
      <c r="F338" s="94"/>
      <c r="G338" s="55">
        <f>42700+4700</f>
        <v>47400</v>
      </c>
      <c r="H338" s="389"/>
      <c r="I338" s="597"/>
    </row>
    <row r="339" spans="1:9" ht="15" customHeight="1">
      <c r="A339" s="89"/>
      <c r="B339" s="89"/>
      <c r="C339" s="9">
        <v>4120</v>
      </c>
      <c r="D339" s="272" t="s">
        <v>497</v>
      </c>
      <c r="E339" s="55">
        <v>7800</v>
      </c>
      <c r="F339" s="94"/>
      <c r="G339" s="55">
        <v>7500</v>
      </c>
      <c r="H339" s="389"/>
      <c r="I339" s="597"/>
    </row>
    <row r="340" spans="1:9" ht="15" customHeight="1">
      <c r="A340" s="89"/>
      <c r="B340" s="89"/>
      <c r="C340" s="3">
        <v>4170</v>
      </c>
      <c r="D340" s="272" t="s">
        <v>503</v>
      </c>
      <c r="E340" s="55">
        <v>70700</v>
      </c>
      <c r="F340" s="94"/>
      <c r="G340" s="55">
        <f>350+31000+40000</f>
        <v>71350</v>
      </c>
      <c r="H340" s="389"/>
      <c r="I340" s="597"/>
    </row>
    <row r="341" spans="1:10" ht="15" customHeight="1">
      <c r="A341" s="89"/>
      <c r="B341" s="89"/>
      <c r="C341" s="9">
        <v>4210</v>
      </c>
      <c r="D341" s="272" t="s">
        <v>411</v>
      </c>
      <c r="E341" s="55">
        <v>18800</v>
      </c>
      <c r="F341" s="94"/>
      <c r="G341" s="55">
        <f>11750+2000+5000</f>
        <v>18750</v>
      </c>
      <c r="H341" s="389"/>
      <c r="I341" s="597"/>
      <c r="J341" s="240"/>
    </row>
    <row r="342" spans="1:9" ht="15" customHeight="1">
      <c r="A342" s="89"/>
      <c r="B342" s="89"/>
      <c r="C342" s="9">
        <v>4260</v>
      </c>
      <c r="D342" s="272" t="s">
        <v>511</v>
      </c>
      <c r="E342" s="55">
        <v>26000</v>
      </c>
      <c r="F342" s="94"/>
      <c r="G342" s="55">
        <v>26000</v>
      </c>
      <c r="H342" s="389"/>
      <c r="I342" s="597"/>
    </row>
    <row r="343" spans="1:9" ht="15" customHeight="1">
      <c r="A343" s="89"/>
      <c r="B343" s="89"/>
      <c r="C343" s="9">
        <v>4270</v>
      </c>
      <c r="D343" s="272" t="s">
        <v>412</v>
      </c>
      <c r="E343" s="55">
        <v>900</v>
      </c>
      <c r="F343" s="94"/>
      <c r="G343" s="55">
        <v>500</v>
      </c>
      <c r="H343" s="389"/>
      <c r="I343" s="597"/>
    </row>
    <row r="344" spans="1:10" ht="15" customHeight="1">
      <c r="A344" s="89"/>
      <c r="B344" s="89"/>
      <c r="C344" s="9">
        <v>4300</v>
      </c>
      <c r="D344" s="272" t="s">
        <v>408</v>
      </c>
      <c r="E344" s="55">
        <v>139360</v>
      </c>
      <c r="F344" s="94"/>
      <c r="G344" s="55">
        <f>76800+41000+12500</f>
        <v>130300</v>
      </c>
      <c r="H344" s="389"/>
      <c r="I344" s="597"/>
      <c r="J344" s="240"/>
    </row>
    <row r="345" spans="1:9" ht="15" customHeight="1">
      <c r="A345" s="89"/>
      <c r="B345" s="89"/>
      <c r="C345" s="9">
        <v>4350</v>
      </c>
      <c r="D345" s="272" t="s">
        <v>506</v>
      </c>
      <c r="E345" s="55">
        <v>1200</v>
      </c>
      <c r="F345" s="94"/>
      <c r="G345" s="55">
        <v>1200</v>
      </c>
      <c r="H345" s="389"/>
      <c r="I345" s="597"/>
    </row>
    <row r="346" spans="1:9" ht="39" customHeight="1">
      <c r="A346" s="89"/>
      <c r="B346" s="89"/>
      <c r="C346" s="3">
        <v>4360</v>
      </c>
      <c r="D346" s="272" t="s">
        <v>4</v>
      </c>
      <c r="E346" s="55">
        <v>1700</v>
      </c>
      <c r="F346" s="94"/>
      <c r="G346" s="55">
        <v>1700</v>
      </c>
      <c r="H346" s="389"/>
      <c r="I346" s="597"/>
    </row>
    <row r="347" spans="1:9" ht="35.25" customHeight="1">
      <c r="A347" s="89"/>
      <c r="B347" s="89"/>
      <c r="C347" s="3">
        <v>4370</v>
      </c>
      <c r="D347" s="272" t="s">
        <v>3</v>
      </c>
      <c r="E347" s="55">
        <v>5500</v>
      </c>
      <c r="F347" s="94"/>
      <c r="G347" s="55">
        <v>5500</v>
      </c>
      <c r="H347" s="389"/>
      <c r="I347" s="597"/>
    </row>
    <row r="348" spans="1:9" ht="15" customHeight="1">
      <c r="A348" s="89"/>
      <c r="B348" s="89"/>
      <c r="C348" s="9">
        <v>4410</v>
      </c>
      <c r="D348" s="272" t="s">
        <v>500</v>
      </c>
      <c r="E348" s="55">
        <v>4900</v>
      </c>
      <c r="F348" s="94"/>
      <c r="G348" s="55">
        <v>4900</v>
      </c>
      <c r="H348" s="389"/>
      <c r="I348" s="597"/>
    </row>
    <row r="349" spans="1:9" ht="15" customHeight="1">
      <c r="A349" s="89"/>
      <c r="B349" s="89"/>
      <c r="C349" s="3">
        <v>4430</v>
      </c>
      <c r="D349" s="272" t="s">
        <v>387</v>
      </c>
      <c r="E349" s="55">
        <v>200</v>
      </c>
      <c r="F349" s="94"/>
      <c r="G349" s="55">
        <v>200</v>
      </c>
      <c r="H349" s="389"/>
      <c r="I349" s="597"/>
    </row>
    <row r="350" spans="1:9" ht="24.75" customHeight="1">
      <c r="A350" s="89"/>
      <c r="B350" s="89"/>
      <c r="C350" s="3">
        <v>4440</v>
      </c>
      <c r="D350" s="272" t="s">
        <v>498</v>
      </c>
      <c r="E350" s="55">
        <v>12900</v>
      </c>
      <c r="F350" s="94"/>
      <c r="G350" s="55">
        <v>12900</v>
      </c>
      <c r="H350" s="389"/>
      <c r="I350" s="597"/>
    </row>
    <row r="351" spans="1:9" ht="18" customHeight="1">
      <c r="A351" s="89"/>
      <c r="B351" s="89"/>
      <c r="C351" s="3">
        <v>4480</v>
      </c>
      <c r="D351" s="272" t="s">
        <v>351</v>
      </c>
      <c r="E351" s="55">
        <v>1900</v>
      </c>
      <c r="F351" s="94"/>
      <c r="G351" s="55">
        <v>2000</v>
      </c>
      <c r="H351" s="389"/>
      <c r="I351" s="597"/>
    </row>
    <row r="352" spans="1:9" ht="28.5" customHeight="1">
      <c r="A352" s="89"/>
      <c r="B352" s="89"/>
      <c r="C352" s="9">
        <v>4520</v>
      </c>
      <c r="D352" s="272" t="s">
        <v>373</v>
      </c>
      <c r="E352" s="55">
        <v>1140</v>
      </c>
      <c r="F352" s="94"/>
      <c r="G352" s="55">
        <v>2300</v>
      </c>
      <c r="H352" s="389"/>
      <c r="I352" s="597"/>
    </row>
    <row r="353" spans="1:9" ht="27" customHeight="1">
      <c r="A353" s="89"/>
      <c r="B353" s="89"/>
      <c r="C353" s="3">
        <v>4610</v>
      </c>
      <c r="D353" s="272" t="s">
        <v>482</v>
      </c>
      <c r="E353" s="55">
        <v>1000</v>
      </c>
      <c r="F353" s="94"/>
      <c r="G353" s="55">
        <v>1000</v>
      </c>
      <c r="H353" s="389"/>
      <c r="I353" s="597"/>
    </row>
    <row r="354" spans="1:9" ht="52.5" customHeight="1">
      <c r="A354" s="89"/>
      <c r="B354" s="89"/>
      <c r="C354" s="3">
        <v>6220</v>
      </c>
      <c r="D354" s="274" t="s">
        <v>388</v>
      </c>
      <c r="E354" s="27">
        <v>0</v>
      </c>
      <c r="F354" s="94"/>
      <c r="G354" s="27">
        <v>7500</v>
      </c>
      <c r="H354" s="389"/>
      <c r="I354" s="597"/>
    </row>
    <row r="355" spans="1:9" ht="26.25" customHeight="1">
      <c r="A355" s="89"/>
      <c r="B355" s="25">
        <v>85158</v>
      </c>
      <c r="C355" s="25"/>
      <c r="D355" s="277" t="s">
        <v>350</v>
      </c>
      <c r="E355" s="29">
        <f>SUM(E356:E376)</f>
        <v>1208250</v>
      </c>
      <c r="F355" s="94"/>
      <c r="G355" s="29">
        <f>SUM(G356:G376)</f>
        <v>1208000</v>
      </c>
      <c r="H355" s="389"/>
      <c r="I355" s="330">
        <f>G355/E355*100</f>
        <v>99.9793089178564</v>
      </c>
    </row>
    <row r="356" spans="1:9" ht="25.5" customHeight="1">
      <c r="A356" s="89"/>
      <c r="B356" s="16"/>
      <c r="C356" s="9">
        <v>3020</v>
      </c>
      <c r="D356" s="272" t="s">
        <v>113</v>
      </c>
      <c r="E356" s="100">
        <v>11800</v>
      </c>
      <c r="F356" s="94"/>
      <c r="G356" s="100">
        <v>2500</v>
      </c>
      <c r="H356" s="389"/>
      <c r="I356" s="597"/>
    </row>
    <row r="357" spans="1:9" ht="19.5" customHeight="1">
      <c r="A357" s="89"/>
      <c r="B357" s="18"/>
      <c r="C357" s="9">
        <v>4010</v>
      </c>
      <c r="D357" s="272" t="s">
        <v>451</v>
      </c>
      <c r="E357" s="55">
        <v>686200</v>
      </c>
      <c r="F357" s="94"/>
      <c r="G357" s="55">
        <v>690000</v>
      </c>
      <c r="H357" s="389"/>
      <c r="I357" s="597"/>
    </row>
    <row r="358" spans="1:9" ht="15" customHeight="1">
      <c r="A358" s="89"/>
      <c r="B358" s="18"/>
      <c r="C358" s="9">
        <v>4040</v>
      </c>
      <c r="D358" s="272" t="s">
        <v>452</v>
      </c>
      <c r="E358" s="55">
        <v>53314</v>
      </c>
      <c r="F358" s="94"/>
      <c r="G358" s="55">
        <v>60000</v>
      </c>
      <c r="H358" s="389"/>
      <c r="I358" s="597"/>
    </row>
    <row r="359" spans="1:9" ht="15" customHeight="1">
      <c r="A359" s="89"/>
      <c r="B359" s="18"/>
      <c r="C359" s="9">
        <v>4110</v>
      </c>
      <c r="D359" s="272" t="s">
        <v>496</v>
      </c>
      <c r="E359" s="55">
        <v>119000</v>
      </c>
      <c r="F359" s="94"/>
      <c r="G359" s="55">
        <v>119000</v>
      </c>
      <c r="H359" s="389"/>
      <c r="I359" s="597"/>
    </row>
    <row r="360" spans="1:9" ht="15" customHeight="1">
      <c r="A360" s="89"/>
      <c r="B360" s="18"/>
      <c r="C360" s="9">
        <v>4120</v>
      </c>
      <c r="D360" s="272" t="s">
        <v>497</v>
      </c>
      <c r="E360" s="55">
        <v>13500</v>
      </c>
      <c r="F360" s="94"/>
      <c r="G360" s="55">
        <v>12000</v>
      </c>
      <c r="H360" s="389"/>
      <c r="I360" s="597"/>
    </row>
    <row r="361" spans="1:9" ht="15" customHeight="1">
      <c r="A361" s="89"/>
      <c r="B361" s="18"/>
      <c r="C361" s="3">
        <v>4170</v>
      </c>
      <c r="D361" s="272" t="s">
        <v>503</v>
      </c>
      <c r="E361" s="55">
        <v>35600</v>
      </c>
      <c r="F361" s="94"/>
      <c r="G361" s="55">
        <v>38000</v>
      </c>
      <c r="H361" s="389"/>
      <c r="I361" s="597"/>
    </row>
    <row r="362" spans="1:9" ht="15" customHeight="1">
      <c r="A362" s="89"/>
      <c r="B362" s="18"/>
      <c r="C362" s="9">
        <v>4210</v>
      </c>
      <c r="D362" s="272" t="s">
        <v>411</v>
      </c>
      <c r="E362" s="55">
        <v>56338</v>
      </c>
      <c r="F362" s="94"/>
      <c r="G362" s="55">
        <v>40000</v>
      </c>
      <c r="H362" s="389"/>
      <c r="I362" s="597"/>
    </row>
    <row r="363" spans="1:9" ht="24.75" customHeight="1">
      <c r="A363" s="89"/>
      <c r="B363" s="18"/>
      <c r="C363" s="9">
        <v>4230</v>
      </c>
      <c r="D363" s="272" t="s">
        <v>718</v>
      </c>
      <c r="E363" s="55">
        <v>1300</v>
      </c>
      <c r="F363" s="94"/>
      <c r="G363" s="55">
        <v>1200</v>
      </c>
      <c r="H363" s="389"/>
      <c r="I363" s="597"/>
    </row>
    <row r="364" spans="1:9" ht="15" customHeight="1">
      <c r="A364" s="89"/>
      <c r="B364" s="18"/>
      <c r="C364" s="9">
        <v>4260</v>
      </c>
      <c r="D364" s="272" t="s">
        <v>511</v>
      </c>
      <c r="E364" s="55">
        <v>60500</v>
      </c>
      <c r="F364" s="94"/>
      <c r="G364" s="55">
        <v>60000</v>
      </c>
      <c r="H364" s="389"/>
      <c r="I364" s="597"/>
    </row>
    <row r="365" spans="1:9" ht="15" customHeight="1">
      <c r="A365" s="89"/>
      <c r="B365" s="18"/>
      <c r="C365" s="9">
        <v>4270</v>
      </c>
      <c r="D365" s="272" t="s">
        <v>412</v>
      </c>
      <c r="E365" s="55">
        <v>7511</v>
      </c>
      <c r="F365" s="94"/>
      <c r="G365" s="55">
        <v>6000</v>
      </c>
      <c r="H365" s="389"/>
      <c r="I365" s="597"/>
    </row>
    <row r="366" spans="1:9" ht="15" customHeight="1">
      <c r="A366" s="89"/>
      <c r="B366" s="18"/>
      <c r="C366" s="9">
        <v>4280</v>
      </c>
      <c r="D366" s="272" t="s">
        <v>714</v>
      </c>
      <c r="E366" s="55">
        <v>900</v>
      </c>
      <c r="F366" s="94"/>
      <c r="G366" s="55">
        <v>900</v>
      </c>
      <c r="H366" s="389"/>
      <c r="I366" s="597"/>
    </row>
    <row r="367" spans="1:9" ht="15" customHeight="1">
      <c r="A367" s="89"/>
      <c r="B367" s="18"/>
      <c r="C367" s="9">
        <v>4300</v>
      </c>
      <c r="D367" s="272" t="s">
        <v>408</v>
      </c>
      <c r="E367" s="55">
        <v>114622.6</v>
      </c>
      <c r="F367" s="94"/>
      <c r="G367" s="55">
        <v>130000</v>
      </c>
      <c r="H367" s="389"/>
      <c r="I367" s="597"/>
    </row>
    <row r="368" spans="1:9" ht="15" customHeight="1">
      <c r="A368" s="89"/>
      <c r="B368" s="18"/>
      <c r="C368" s="9">
        <v>4350</v>
      </c>
      <c r="D368" s="272" t="s">
        <v>506</v>
      </c>
      <c r="E368" s="55">
        <v>780</v>
      </c>
      <c r="F368" s="94"/>
      <c r="G368" s="55">
        <v>780</v>
      </c>
      <c r="H368" s="389"/>
      <c r="I368" s="597"/>
    </row>
    <row r="369" spans="1:9" ht="39.75" customHeight="1">
      <c r="A369" s="89"/>
      <c r="B369" s="18"/>
      <c r="C369" s="3">
        <v>4360</v>
      </c>
      <c r="D369" s="272" t="s">
        <v>4</v>
      </c>
      <c r="E369" s="55">
        <v>650</v>
      </c>
      <c r="F369" s="94"/>
      <c r="G369" s="55">
        <v>650</v>
      </c>
      <c r="H369" s="389"/>
      <c r="I369" s="597"/>
    </row>
    <row r="370" spans="1:9" ht="40.5" customHeight="1">
      <c r="A370" s="89"/>
      <c r="B370" s="18"/>
      <c r="C370" s="3">
        <v>4370</v>
      </c>
      <c r="D370" s="272" t="s">
        <v>3</v>
      </c>
      <c r="E370" s="55">
        <v>2800</v>
      </c>
      <c r="F370" s="94"/>
      <c r="G370" s="55">
        <v>2800</v>
      </c>
      <c r="H370" s="389"/>
      <c r="I370" s="597"/>
    </row>
    <row r="371" spans="1:9" ht="17.25" customHeight="1">
      <c r="A371" s="89"/>
      <c r="B371" s="18"/>
      <c r="C371" s="9">
        <v>4410</v>
      </c>
      <c r="D371" s="272" t="s">
        <v>500</v>
      </c>
      <c r="E371" s="55">
        <v>3870</v>
      </c>
      <c r="F371" s="94"/>
      <c r="G371" s="55">
        <v>3800</v>
      </c>
      <c r="H371" s="389"/>
      <c r="I371" s="597"/>
    </row>
    <row r="372" spans="1:9" ht="26.25" customHeight="1">
      <c r="A372" s="89"/>
      <c r="B372" s="18"/>
      <c r="C372" s="9">
        <v>4440</v>
      </c>
      <c r="D372" s="272" t="s">
        <v>498</v>
      </c>
      <c r="E372" s="55">
        <v>24249</v>
      </c>
      <c r="F372" s="94"/>
      <c r="G372" s="55">
        <v>24610</v>
      </c>
      <c r="H372" s="389"/>
      <c r="I372" s="597"/>
    </row>
    <row r="373" spans="1:9" ht="15" customHeight="1">
      <c r="A373" s="89"/>
      <c r="B373" s="18"/>
      <c r="C373" s="9">
        <v>4480</v>
      </c>
      <c r="D373" s="272" t="s">
        <v>351</v>
      </c>
      <c r="E373" s="55">
        <v>4239</v>
      </c>
      <c r="F373" s="94"/>
      <c r="G373" s="55">
        <v>10200</v>
      </c>
      <c r="H373" s="389"/>
      <c r="I373" s="597"/>
    </row>
    <row r="374" spans="1:9" ht="27" customHeight="1">
      <c r="A374" s="89"/>
      <c r="B374" s="18"/>
      <c r="C374" s="9">
        <v>4520</v>
      </c>
      <c r="D374" s="272" t="s">
        <v>373</v>
      </c>
      <c r="E374" s="55">
        <v>377.4</v>
      </c>
      <c r="F374" s="94"/>
      <c r="G374" s="55">
        <v>760</v>
      </c>
      <c r="H374" s="389"/>
      <c r="I374" s="597"/>
    </row>
    <row r="375" spans="1:9" ht="30.75" customHeight="1">
      <c r="A375" s="89"/>
      <c r="B375" s="18"/>
      <c r="C375" s="3">
        <v>4700</v>
      </c>
      <c r="D375" s="272" t="s">
        <v>374</v>
      </c>
      <c r="E375" s="55">
        <v>4600</v>
      </c>
      <c r="F375" s="94"/>
      <c r="G375" s="55">
        <v>4800</v>
      </c>
      <c r="H375" s="389"/>
      <c r="I375" s="597"/>
    </row>
    <row r="376" spans="1:9" ht="30.75" customHeight="1">
      <c r="A376" s="89"/>
      <c r="B376" s="18"/>
      <c r="C376" s="3">
        <v>6060</v>
      </c>
      <c r="D376" s="272" t="s">
        <v>516</v>
      </c>
      <c r="E376" s="55">
        <v>6099</v>
      </c>
      <c r="F376" s="94"/>
      <c r="G376" s="55">
        <v>0</v>
      </c>
      <c r="H376" s="389"/>
      <c r="I376" s="597"/>
    </row>
    <row r="377" spans="1:9" ht="21" customHeight="1">
      <c r="A377" s="116"/>
      <c r="B377" s="49">
        <v>85195</v>
      </c>
      <c r="C377" s="24"/>
      <c r="D377" s="277" t="s">
        <v>513</v>
      </c>
      <c r="E377" s="104">
        <f>SUM(E378:E379)</f>
        <v>72000</v>
      </c>
      <c r="F377" s="94"/>
      <c r="G377" s="104">
        <f>SUM(G378:G379)</f>
        <v>61000</v>
      </c>
      <c r="H377" s="389"/>
      <c r="I377" s="330">
        <f>G377/E377*100</f>
        <v>84.72222222222221</v>
      </c>
    </row>
    <row r="378" spans="1:9" ht="23.25" customHeight="1">
      <c r="A378" s="89"/>
      <c r="B378" s="81"/>
      <c r="C378" s="9">
        <v>4210</v>
      </c>
      <c r="D378" s="272" t="s">
        <v>407</v>
      </c>
      <c r="E378" s="100">
        <v>5000</v>
      </c>
      <c r="F378" s="94"/>
      <c r="G378" s="100">
        <v>1000</v>
      </c>
      <c r="H378" s="389"/>
      <c r="I378" s="597"/>
    </row>
    <row r="379" spans="1:9" ht="21.75" customHeight="1">
      <c r="A379" s="89"/>
      <c r="B379" s="81"/>
      <c r="C379" s="9">
        <v>4300</v>
      </c>
      <c r="D379" s="272" t="s">
        <v>408</v>
      </c>
      <c r="E379" s="100">
        <v>67000</v>
      </c>
      <c r="F379" s="94"/>
      <c r="G379" s="100">
        <v>60000</v>
      </c>
      <c r="H379" s="389"/>
      <c r="I379" s="597"/>
    </row>
    <row r="380" spans="1:9" ht="21.75" customHeight="1">
      <c r="A380" s="62">
        <v>852</v>
      </c>
      <c r="B380" s="103"/>
      <c r="C380" s="12"/>
      <c r="D380" s="276" t="s">
        <v>378</v>
      </c>
      <c r="E380" s="92">
        <f>E381+E396+E406+E413+E431+E433+E435+E438+E440+E466+E474+E477</f>
        <v>45891652.58</v>
      </c>
      <c r="F380" s="170">
        <f>F381+F396+F406+F413+F431+F433+F435+F438+F440+F466+F474+F477</f>
        <v>21514357</v>
      </c>
      <c r="G380" s="92">
        <f>G381+G396+G406+G413+G431+G433+G435+G438+G440+G466+G474+G477</f>
        <v>37622164</v>
      </c>
      <c r="H380" s="1074">
        <f>H381+H396+H406+H413+H431+H433+H435+H438+H440+H466+H474+H477</f>
        <v>19595795</v>
      </c>
      <c r="I380" s="330">
        <f>G380/E380*100</f>
        <v>81.98040794982415</v>
      </c>
    </row>
    <row r="381" spans="1:9" ht="24.75" customHeight="1">
      <c r="A381" s="73"/>
      <c r="B381" s="28">
        <v>85203</v>
      </c>
      <c r="C381" s="25"/>
      <c r="D381" s="277" t="s">
        <v>719</v>
      </c>
      <c r="E381" s="104">
        <f>SUM(E382:E395)</f>
        <v>302589.99999999994</v>
      </c>
      <c r="F381" s="104">
        <f>SUM(F382:F395)</f>
        <v>257590.00000000003</v>
      </c>
      <c r="G381" s="104">
        <f>SUM(G382:G395)</f>
        <v>276800</v>
      </c>
      <c r="H381" s="29">
        <f>SUM(H382:H395)</f>
        <v>229440</v>
      </c>
      <c r="I381" s="330">
        <f>G381/E381*100</f>
        <v>91.47691595888828</v>
      </c>
    </row>
    <row r="382" spans="1:9" ht="74.25" customHeight="1">
      <c r="A382" s="76"/>
      <c r="B382" s="34"/>
      <c r="C382" s="9">
        <v>2910</v>
      </c>
      <c r="D382" s="324" t="s">
        <v>442</v>
      </c>
      <c r="E382" s="55">
        <v>2928.17</v>
      </c>
      <c r="F382" s="114">
        <v>0</v>
      </c>
      <c r="G382" s="55">
        <v>0</v>
      </c>
      <c r="H382" s="144">
        <v>0</v>
      </c>
      <c r="I382" s="597"/>
    </row>
    <row r="383" spans="1:9" ht="18" customHeight="1">
      <c r="A383" s="76"/>
      <c r="B383" s="8"/>
      <c r="C383" s="9">
        <v>4010</v>
      </c>
      <c r="D383" s="272" t="s">
        <v>451</v>
      </c>
      <c r="E383" s="55">
        <v>187706.65</v>
      </c>
      <c r="F383" s="114">
        <v>169890</v>
      </c>
      <c r="G383" s="55">
        <v>177000</v>
      </c>
      <c r="H383" s="144">
        <v>129640</v>
      </c>
      <c r="I383" s="597"/>
    </row>
    <row r="384" spans="1:9" ht="15" customHeight="1">
      <c r="A384" s="76"/>
      <c r="B384" s="8"/>
      <c r="C384" s="9">
        <v>4040</v>
      </c>
      <c r="D384" s="272" t="s">
        <v>452</v>
      </c>
      <c r="E384" s="55">
        <v>14764.6</v>
      </c>
      <c r="F384" s="114">
        <v>11900</v>
      </c>
      <c r="G384" s="55">
        <v>15000</v>
      </c>
      <c r="H384" s="144">
        <v>15000</v>
      </c>
      <c r="I384" s="597"/>
    </row>
    <row r="385" spans="1:9" ht="15" customHeight="1">
      <c r="A385" s="76"/>
      <c r="B385" s="8"/>
      <c r="C385" s="9">
        <v>4110</v>
      </c>
      <c r="D385" s="272" t="s">
        <v>496</v>
      </c>
      <c r="E385" s="55">
        <v>37247.59</v>
      </c>
      <c r="F385" s="114">
        <v>31496</v>
      </c>
      <c r="G385" s="55">
        <v>35900</v>
      </c>
      <c r="H385" s="144">
        <v>35900</v>
      </c>
      <c r="I385" s="597"/>
    </row>
    <row r="386" spans="1:9" ht="15" customHeight="1">
      <c r="A386" s="76"/>
      <c r="B386" s="8"/>
      <c r="C386" s="9">
        <v>4120</v>
      </c>
      <c r="D386" s="272" t="s">
        <v>497</v>
      </c>
      <c r="E386" s="55">
        <v>3900</v>
      </c>
      <c r="F386" s="114">
        <v>3900</v>
      </c>
      <c r="G386" s="55">
        <v>4000</v>
      </c>
      <c r="H386" s="144">
        <v>4000</v>
      </c>
      <c r="I386" s="597"/>
    </row>
    <row r="387" spans="1:11" ht="15" customHeight="1">
      <c r="A387" s="76"/>
      <c r="B387" s="8"/>
      <c r="C387" s="9">
        <v>4210</v>
      </c>
      <c r="D387" s="272" t="s">
        <v>411</v>
      </c>
      <c r="E387" s="55">
        <v>15726.72</v>
      </c>
      <c r="F387" s="114">
        <v>12390</v>
      </c>
      <c r="G387" s="55">
        <v>12000</v>
      </c>
      <c r="H387" s="144">
        <v>12000</v>
      </c>
      <c r="I387" s="597"/>
      <c r="J387" s="243"/>
      <c r="K387" s="243"/>
    </row>
    <row r="388" spans="1:9" ht="15" customHeight="1">
      <c r="A388" s="76"/>
      <c r="B388" s="8"/>
      <c r="C388" s="9">
        <v>4260</v>
      </c>
      <c r="D388" s="272" t="s">
        <v>511</v>
      </c>
      <c r="E388" s="55">
        <v>12325.48</v>
      </c>
      <c r="F388" s="114">
        <v>8500</v>
      </c>
      <c r="G388" s="55">
        <v>9000</v>
      </c>
      <c r="H388" s="144">
        <v>9000</v>
      </c>
      <c r="I388" s="597"/>
    </row>
    <row r="389" spans="1:9" ht="15" customHeight="1">
      <c r="A389" s="76"/>
      <c r="B389" s="8"/>
      <c r="C389" s="9">
        <v>4300</v>
      </c>
      <c r="D389" s="272" t="s">
        <v>408</v>
      </c>
      <c r="E389" s="55">
        <v>5165.88</v>
      </c>
      <c r="F389" s="114">
        <v>3165.88</v>
      </c>
      <c r="G389" s="55">
        <v>2000</v>
      </c>
      <c r="H389" s="144">
        <v>2000</v>
      </c>
      <c r="I389" s="597"/>
    </row>
    <row r="390" spans="1:9" ht="15" customHeight="1">
      <c r="A390" s="76"/>
      <c r="B390" s="8"/>
      <c r="C390" s="9">
        <v>4350</v>
      </c>
      <c r="D390" s="272" t="s">
        <v>506</v>
      </c>
      <c r="E390" s="55">
        <v>1432.18</v>
      </c>
      <c r="F390" s="114">
        <v>1140.67</v>
      </c>
      <c r="G390" s="55">
        <v>1200</v>
      </c>
      <c r="H390" s="144">
        <v>1200</v>
      </c>
      <c r="I390" s="597"/>
    </row>
    <row r="391" spans="1:9" ht="38.25" customHeight="1">
      <c r="A391" s="76"/>
      <c r="B391" s="8"/>
      <c r="C391" s="9">
        <v>4370</v>
      </c>
      <c r="D391" s="272" t="s">
        <v>3</v>
      </c>
      <c r="E391" s="55">
        <v>1000</v>
      </c>
      <c r="F391" s="114">
        <v>1000</v>
      </c>
      <c r="G391" s="55">
        <v>1200</v>
      </c>
      <c r="H391" s="144">
        <v>1200</v>
      </c>
      <c r="I391" s="597"/>
    </row>
    <row r="392" spans="1:9" ht="23.25" customHeight="1">
      <c r="A392" s="76"/>
      <c r="B392" s="8"/>
      <c r="C392" s="9">
        <v>4400</v>
      </c>
      <c r="D392" s="272" t="s">
        <v>720</v>
      </c>
      <c r="E392" s="55">
        <v>14196.12</v>
      </c>
      <c r="F392" s="114">
        <v>8281.07</v>
      </c>
      <c r="G392" s="55">
        <v>15000</v>
      </c>
      <c r="H392" s="144">
        <v>15000</v>
      </c>
      <c r="I392" s="597"/>
    </row>
    <row r="393" spans="1:9" ht="15" customHeight="1">
      <c r="A393" s="76"/>
      <c r="B393" s="8"/>
      <c r="C393" s="9">
        <v>4430</v>
      </c>
      <c r="D393" s="272" t="s">
        <v>387</v>
      </c>
      <c r="E393" s="55">
        <v>432</v>
      </c>
      <c r="F393" s="114">
        <v>432</v>
      </c>
      <c r="G393" s="55">
        <v>500</v>
      </c>
      <c r="H393" s="144">
        <v>500</v>
      </c>
      <c r="I393" s="597"/>
    </row>
    <row r="394" spans="1:9" ht="25.5" customHeight="1">
      <c r="A394" s="76"/>
      <c r="B394" s="8"/>
      <c r="C394" s="9">
        <v>4440</v>
      </c>
      <c r="D394" s="272" t="s">
        <v>498</v>
      </c>
      <c r="E394" s="55">
        <v>5494.38</v>
      </c>
      <c r="F394" s="114">
        <v>5494.38</v>
      </c>
      <c r="G394" s="55">
        <v>4000</v>
      </c>
      <c r="H394" s="144">
        <v>4000</v>
      </c>
      <c r="I394" s="597"/>
    </row>
    <row r="395" spans="1:9" ht="74.25" customHeight="1">
      <c r="A395" s="76"/>
      <c r="B395" s="2"/>
      <c r="C395" s="3">
        <v>4560</v>
      </c>
      <c r="D395" s="272" t="s">
        <v>443</v>
      </c>
      <c r="E395" s="55">
        <v>270.23</v>
      </c>
      <c r="F395" s="114">
        <v>0</v>
      </c>
      <c r="G395" s="55">
        <v>0</v>
      </c>
      <c r="H395" s="144">
        <v>0</v>
      </c>
      <c r="I395" s="597"/>
    </row>
    <row r="396" spans="1:25" s="56" customFormat="1" ht="28.5" customHeight="1">
      <c r="A396" s="91"/>
      <c r="B396" s="38">
        <v>85205</v>
      </c>
      <c r="C396" s="25"/>
      <c r="D396" s="277" t="s">
        <v>9</v>
      </c>
      <c r="E396" s="104">
        <f>SUM(E397:E405)</f>
        <v>63300</v>
      </c>
      <c r="F396" s="113"/>
      <c r="G396" s="104">
        <f>SUM(G397:G405)</f>
        <v>63300</v>
      </c>
      <c r="H396" s="148"/>
      <c r="I396" s="330">
        <f>G396/E396*100</f>
        <v>100</v>
      </c>
      <c r="J396" s="230"/>
      <c r="K396" s="230"/>
      <c r="L396" s="248"/>
      <c r="M396" s="230"/>
      <c r="N396" s="230"/>
      <c r="O396" s="230"/>
      <c r="P396" s="230"/>
      <c r="Q396" s="230"/>
      <c r="R396" s="230"/>
      <c r="S396" s="230"/>
      <c r="T396" s="238"/>
      <c r="U396" s="238"/>
      <c r="V396" s="238"/>
      <c r="W396" s="238"/>
      <c r="X396" s="238"/>
      <c r="Y396" s="238"/>
    </row>
    <row r="397" spans="1:9" ht="20.25" customHeight="1">
      <c r="A397" s="73"/>
      <c r="B397" s="10"/>
      <c r="C397" s="3">
        <v>4010</v>
      </c>
      <c r="D397" s="272" t="s">
        <v>451</v>
      </c>
      <c r="E397" s="55">
        <v>29760</v>
      </c>
      <c r="F397" s="114"/>
      <c r="G397" s="55">
        <v>29760</v>
      </c>
      <c r="H397" s="144"/>
      <c r="I397" s="597"/>
    </row>
    <row r="398" spans="1:9" ht="20.25" customHeight="1">
      <c r="A398" s="73"/>
      <c r="B398" s="10"/>
      <c r="C398" s="3">
        <v>4040</v>
      </c>
      <c r="D398" s="272" t="s">
        <v>452</v>
      </c>
      <c r="E398" s="55">
        <v>2400</v>
      </c>
      <c r="F398" s="114"/>
      <c r="G398" s="55">
        <v>2400</v>
      </c>
      <c r="H398" s="144"/>
      <c r="I398" s="597"/>
    </row>
    <row r="399" spans="1:9" ht="20.25" customHeight="1">
      <c r="A399" s="73"/>
      <c r="B399" s="10"/>
      <c r="C399" s="3">
        <v>4110</v>
      </c>
      <c r="D399" s="272" t="s">
        <v>496</v>
      </c>
      <c r="E399" s="55">
        <v>4850</v>
      </c>
      <c r="F399" s="114"/>
      <c r="G399" s="55">
        <v>4850</v>
      </c>
      <c r="H399" s="144"/>
      <c r="I399" s="597"/>
    </row>
    <row r="400" spans="1:9" ht="20.25" customHeight="1">
      <c r="A400" s="73"/>
      <c r="B400" s="10"/>
      <c r="C400" s="3">
        <v>4120</v>
      </c>
      <c r="D400" s="272" t="s">
        <v>497</v>
      </c>
      <c r="E400" s="55">
        <v>700</v>
      </c>
      <c r="F400" s="114"/>
      <c r="G400" s="55">
        <v>700</v>
      </c>
      <c r="H400" s="144"/>
      <c r="I400" s="597"/>
    </row>
    <row r="401" spans="1:9" ht="20.25" customHeight="1">
      <c r="A401" s="73"/>
      <c r="B401" s="10"/>
      <c r="C401" s="3">
        <v>4210</v>
      </c>
      <c r="D401" s="272" t="s">
        <v>411</v>
      </c>
      <c r="E401" s="55">
        <v>4000</v>
      </c>
      <c r="F401" s="114"/>
      <c r="G401" s="55">
        <v>4000</v>
      </c>
      <c r="H401" s="144"/>
      <c r="I401" s="597"/>
    </row>
    <row r="402" spans="1:9" ht="20.25" customHeight="1">
      <c r="A402" s="73"/>
      <c r="B402" s="10"/>
      <c r="C402" s="3">
        <v>4260</v>
      </c>
      <c r="D402" s="272" t="s">
        <v>511</v>
      </c>
      <c r="E402" s="55">
        <v>5000</v>
      </c>
      <c r="F402" s="114"/>
      <c r="G402" s="55">
        <v>5000</v>
      </c>
      <c r="H402" s="144"/>
      <c r="I402" s="597"/>
    </row>
    <row r="403" spans="1:9" ht="20.25" customHeight="1">
      <c r="A403" s="73"/>
      <c r="B403" s="10"/>
      <c r="C403" s="3">
        <v>4300</v>
      </c>
      <c r="D403" s="272" t="s">
        <v>408</v>
      </c>
      <c r="E403" s="55">
        <v>14420</v>
      </c>
      <c r="F403" s="114"/>
      <c r="G403" s="55">
        <v>14420</v>
      </c>
      <c r="H403" s="144"/>
      <c r="I403" s="597"/>
    </row>
    <row r="404" spans="1:9" ht="30" customHeight="1">
      <c r="A404" s="73"/>
      <c r="B404" s="10"/>
      <c r="C404" s="3">
        <v>4440</v>
      </c>
      <c r="D404" s="272" t="s">
        <v>498</v>
      </c>
      <c r="E404" s="55">
        <v>1170</v>
      </c>
      <c r="F404" s="114"/>
      <c r="G404" s="55">
        <v>1170</v>
      </c>
      <c r="H404" s="144"/>
      <c r="I404" s="597"/>
    </row>
    <row r="405" spans="1:9" ht="29.25" customHeight="1">
      <c r="A405" s="73"/>
      <c r="B405" s="10"/>
      <c r="C405" s="3">
        <v>4700</v>
      </c>
      <c r="D405" s="272" t="s">
        <v>374</v>
      </c>
      <c r="E405" s="55">
        <v>1000</v>
      </c>
      <c r="F405" s="114"/>
      <c r="G405" s="55">
        <v>1000</v>
      </c>
      <c r="H405" s="144"/>
      <c r="I405" s="597"/>
    </row>
    <row r="406" spans="1:25" s="56" customFormat="1" ht="24" customHeight="1">
      <c r="A406" s="91"/>
      <c r="B406" s="25">
        <v>85206</v>
      </c>
      <c r="C406" s="25"/>
      <c r="D406" s="277" t="s">
        <v>514</v>
      </c>
      <c r="E406" s="104">
        <f>SUM(E407:E412)</f>
        <v>212746</v>
      </c>
      <c r="F406" s="113"/>
      <c r="G406" s="104">
        <f>SUM(G407:G412)</f>
        <v>169820</v>
      </c>
      <c r="H406" s="148"/>
      <c r="I406" s="330">
        <f>G406/E406*100</f>
        <v>79.82288738683688</v>
      </c>
      <c r="J406" s="230"/>
      <c r="K406" s="230"/>
      <c r="L406" s="248"/>
      <c r="M406" s="230"/>
      <c r="N406" s="230"/>
      <c r="O406" s="230"/>
      <c r="P406" s="230"/>
      <c r="Q406" s="230"/>
      <c r="R406" s="230"/>
      <c r="S406" s="230"/>
      <c r="T406" s="238"/>
      <c r="U406" s="238"/>
      <c r="V406" s="238"/>
      <c r="W406" s="238"/>
      <c r="X406" s="238"/>
      <c r="Y406" s="238"/>
    </row>
    <row r="407" spans="1:9" ht="18.75" customHeight="1">
      <c r="A407" s="73"/>
      <c r="B407" s="10"/>
      <c r="C407" s="3">
        <v>4010</v>
      </c>
      <c r="D407" s="272" t="s">
        <v>451</v>
      </c>
      <c r="E407" s="55">
        <v>127320</v>
      </c>
      <c r="F407" s="114"/>
      <c r="G407" s="55">
        <v>127320</v>
      </c>
      <c r="H407" s="144"/>
      <c r="I407" s="597"/>
    </row>
    <row r="408" spans="1:9" ht="24" customHeight="1">
      <c r="A408" s="73"/>
      <c r="B408" s="10"/>
      <c r="C408" s="3">
        <v>4040</v>
      </c>
      <c r="D408" s="272" t="s">
        <v>452</v>
      </c>
      <c r="E408" s="55">
        <v>11000</v>
      </c>
      <c r="F408" s="114"/>
      <c r="G408" s="55">
        <v>11000</v>
      </c>
      <c r="H408" s="144"/>
      <c r="I408" s="597"/>
    </row>
    <row r="409" spans="1:9" ht="22.5" customHeight="1">
      <c r="A409" s="73"/>
      <c r="B409" s="10"/>
      <c r="C409" s="3">
        <v>4110</v>
      </c>
      <c r="D409" s="272" t="s">
        <v>496</v>
      </c>
      <c r="E409" s="55">
        <v>30906</v>
      </c>
      <c r="F409" s="114"/>
      <c r="G409" s="55">
        <v>24600</v>
      </c>
      <c r="H409" s="144"/>
      <c r="I409" s="597"/>
    </row>
    <row r="410" spans="1:9" ht="21.75" customHeight="1">
      <c r="A410" s="73"/>
      <c r="B410" s="10"/>
      <c r="C410" s="3">
        <v>4120</v>
      </c>
      <c r="D410" s="272" t="s">
        <v>497</v>
      </c>
      <c r="E410" s="55">
        <v>4020</v>
      </c>
      <c r="F410" s="114"/>
      <c r="G410" s="55">
        <v>3400</v>
      </c>
      <c r="H410" s="144"/>
      <c r="I410" s="597"/>
    </row>
    <row r="411" spans="1:9" ht="21.75" customHeight="1">
      <c r="A411" s="73"/>
      <c r="B411" s="10"/>
      <c r="C411" s="3">
        <v>4170</v>
      </c>
      <c r="D411" s="272" t="s">
        <v>503</v>
      </c>
      <c r="E411" s="55">
        <v>36000</v>
      </c>
      <c r="F411" s="114"/>
      <c r="G411" s="55">
        <v>0</v>
      </c>
      <c r="H411" s="144"/>
      <c r="I411" s="597"/>
    </row>
    <row r="412" spans="1:9" ht="28.5" customHeight="1">
      <c r="A412" s="73"/>
      <c r="B412" s="10"/>
      <c r="C412" s="3">
        <v>4440</v>
      </c>
      <c r="D412" s="272" t="s">
        <v>498</v>
      </c>
      <c r="E412" s="55">
        <v>3500</v>
      </c>
      <c r="F412" s="114"/>
      <c r="G412" s="55">
        <v>3500</v>
      </c>
      <c r="H412" s="144"/>
      <c r="I412" s="597"/>
    </row>
    <row r="413" spans="1:9" ht="51.75" customHeight="1">
      <c r="A413" s="73"/>
      <c r="B413" s="25">
        <v>85212</v>
      </c>
      <c r="C413" s="25"/>
      <c r="D413" s="277" t="s">
        <v>542</v>
      </c>
      <c r="E413" s="104">
        <f>SUM(E414:E430)</f>
        <v>20990400</v>
      </c>
      <c r="F413" s="113">
        <f>SUM(F414:F430)</f>
        <v>20296000</v>
      </c>
      <c r="G413" s="104">
        <f>SUM(G414:G430)</f>
        <v>20151062</v>
      </c>
      <c r="H413" s="148">
        <f>SUM(H414:H430)</f>
        <v>18903662</v>
      </c>
      <c r="I413" s="330">
        <f>G413/E413*100</f>
        <v>96.00132441497065</v>
      </c>
    </row>
    <row r="414" spans="1:9" ht="30" customHeight="1">
      <c r="A414" s="73"/>
      <c r="B414" s="30"/>
      <c r="C414" s="3">
        <v>3020</v>
      </c>
      <c r="D414" s="272" t="s">
        <v>113</v>
      </c>
      <c r="E414" s="55">
        <v>7000</v>
      </c>
      <c r="F414" s="114"/>
      <c r="G414" s="55">
        <v>7000</v>
      </c>
      <c r="H414" s="144"/>
      <c r="I414" s="1067"/>
    </row>
    <row r="415" spans="1:9" ht="18" customHeight="1">
      <c r="A415" s="73"/>
      <c r="B415" s="30"/>
      <c r="C415" s="3">
        <v>3030</v>
      </c>
      <c r="D415" s="272" t="s">
        <v>520</v>
      </c>
      <c r="E415" s="55">
        <v>1000</v>
      </c>
      <c r="F415" s="114"/>
      <c r="G415" s="55">
        <v>1000</v>
      </c>
      <c r="H415" s="144"/>
      <c r="I415" s="597"/>
    </row>
    <row r="416" spans="1:9" ht="15.75" customHeight="1">
      <c r="A416" s="73"/>
      <c r="B416" s="10"/>
      <c r="C416" s="3">
        <v>3110</v>
      </c>
      <c r="D416" s="272" t="s">
        <v>460</v>
      </c>
      <c r="E416" s="114">
        <v>18957030</v>
      </c>
      <c r="F416" s="114">
        <v>18850030</v>
      </c>
      <c r="G416" s="114">
        <v>18473070</v>
      </c>
      <c r="H416" s="144">
        <v>17813070</v>
      </c>
      <c r="I416" s="597"/>
    </row>
    <row r="417" spans="1:9" ht="18.75" customHeight="1">
      <c r="A417" s="73"/>
      <c r="B417" s="10"/>
      <c r="C417" s="3">
        <v>4010</v>
      </c>
      <c r="D417" s="272" t="s">
        <v>451</v>
      </c>
      <c r="E417" s="55">
        <v>746720</v>
      </c>
      <c r="F417" s="114">
        <v>428000</v>
      </c>
      <c r="G417" s="55">
        <v>738720</v>
      </c>
      <c r="H417" s="144">
        <v>420000</v>
      </c>
      <c r="I417" s="597"/>
    </row>
    <row r="418" spans="1:9" ht="15" customHeight="1">
      <c r="A418" s="73"/>
      <c r="B418" s="10"/>
      <c r="C418" s="3">
        <v>4040</v>
      </c>
      <c r="D418" s="272" t="s">
        <v>452</v>
      </c>
      <c r="E418" s="55">
        <v>68000</v>
      </c>
      <c r="F418" s="114">
        <v>38000</v>
      </c>
      <c r="G418" s="55">
        <v>68000</v>
      </c>
      <c r="H418" s="144">
        <v>38000</v>
      </c>
      <c r="I418" s="597"/>
    </row>
    <row r="419" spans="1:9" ht="15" customHeight="1">
      <c r="A419" s="73"/>
      <c r="B419" s="10"/>
      <c r="C419" s="3">
        <v>4110</v>
      </c>
      <c r="D419" s="272" t="s">
        <v>496</v>
      </c>
      <c r="E419" s="55">
        <v>1008000</v>
      </c>
      <c r="F419" s="114">
        <v>938000</v>
      </c>
      <c r="G419" s="55">
        <v>678892</v>
      </c>
      <c r="H419" s="144">
        <v>608892</v>
      </c>
      <c r="I419" s="597"/>
    </row>
    <row r="420" spans="1:9" ht="15" customHeight="1">
      <c r="A420" s="73"/>
      <c r="B420" s="10"/>
      <c r="C420" s="3">
        <v>4120</v>
      </c>
      <c r="D420" s="272" t="s">
        <v>497</v>
      </c>
      <c r="E420" s="55">
        <v>15534</v>
      </c>
      <c r="F420" s="114">
        <v>8014</v>
      </c>
      <c r="G420" s="55">
        <v>17220</v>
      </c>
      <c r="H420" s="144">
        <v>9700</v>
      </c>
      <c r="I420" s="597"/>
    </row>
    <row r="421" spans="1:9" ht="15" customHeight="1">
      <c r="A421" s="73"/>
      <c r="B421" s="10"/>
      <c r="C421" s="3">
        <v>4170</v>
      </c>
      <c r="D421" s="272" t="s">
        <v>503</v>
      </c>
      <c r="E421" s="55">
        <v>1000</v>
      </c>
      <c r="F421" s="114"/>
      <c r="G421" s="55">
        <v>1000</v>
      </c>
      <c r="H421" s="144"/>
      <c r="I421" s="597"/>
    </row>
    <row r="422" spans="1:9" ht="15" customHeight="1">
      <c r="A422" s="73"/>
      <c r="B422" s="10"/>
      <c r="C422" s="3">
        <v>4210</v>
      </c>
      <c r="D422" s="272" t="s">
        <v>411</v>
      </c>
      <c r="E422" s="55">
        <v>44956</v>
      </c>
      <c r="F422" s="114">
        <v>12956</v>
      </c>
      <c r="G422" s="55">
        <v>32000</v>
      </c>
      <c r="H422" s="144"/>
      <c r="I422" s="597"/>
    </row>
    <row r="423" spans="1:9" ht="15" customHeight="1">
      <c r="A423" s="73"/>
      <c r="B423" s="10"/>
      <c r="C423" s="3">
        <v>4260</v>
      </c>
      <c r="D423" s="272" t="s">
        <v>511</v>
      </c>
      <c r="E423" s="55">
        <v>37000</v>
      </c>
      <c r="F423" s="114"/>
      <c r="G423" s="55">
        <v>37000</v>
      </c>
      <c r="H423" s="144"/>
      <c r="I423" s="597"/>
    </row>
    <row r="424" spans="1:9" ht="15" customHeight="1">
      <c r="A424" s="73"/>
      <c r="B424" s="10"/>
      <c r="C424" s="3">
        <v>4270</v>
      </c>
      <c r="D424" s="272" t="s">
        <v>412</v>
      </c>
      <c r="E424" s="55">
        <v>12000</v>
      </c>
      <c r="F424" s="114">
        <v>7000</v>
      </c>
      <c r="G424" s="55">
        <v>5000</v>
      </c>
      <c r="H424" s="144"/>
      <c r="I424" s="597"/>
    </row>
    <row r="425" spans="1:9" ht="15" customHeight="1">
      <c r="A425" s="73"/>
      <c r="B425" s="10"/>
      <c r="C425" s="3">
        <v>4300</v>
      </c>
      <c r="D425" s="272" t="s">
        <v>408</v>
      </c>
      <c r="E425" s="55">
        <v>58000</v>
      </c>
      <c r="F425" s="114"/>
      <c r="G425" s="55">
        <v>58000</v>
      </c>
      <c r="H425" s="144"/>
      <c r="I425" s="597"/>
    </row>
    <row r="426" spans="1:9" ht="15" customHeight="1">
      <c r="A426" s="73"/>
      <c r="B426" s="10"/>
      <c r="C426" s="3">
        <v>4380</v>
      </c>
      <c r="D426" s="272" t="s">
        <v>379</v>
      </c>
      <c r="E426" s="55">
        <v>500</v>
      </c>
      <c r="F426" s="114"/>
      <c r="G426" s="55">
        <v>500</v>
      </c>
      <c r="H426" s="144"/>
      <c r="I426" s="597"/>
    </row>
    <row r="427" spans="1:9" ht="15" customHeight="1">
      <c r="A427" s="73"/>
      <c r="B427" s="10"/>
      <c r="C427" s="3">
        <v>4410</v>
      </c>
      <c r="D427" s="272" t="s">
        <v>500</v>
      </c>
      <c r="E427" s="55">
        <v>400</v>
      </c>
      <c r="F427" s="114"/>
      <c r="G427" s="55">
        <v>400</v>
      </c>
      <c r="H427" s="144"/>
      <c r="I427" s="597"/>
    </row>
    <row r="428" spans="1:9" ht="24" customHeight="1">
      <c r="A428" s="73"/>
      <c r="B428" s="10"/>
      <c r="C428" s="3">
        <v>4440</v>
      </c>
      <c r="D428" s="272" t="s">
        <v>498</v>
      </c>
      <c r="E428" s="55">
        <v>25160</v>
      </c>
      <c r="F428" s="114">
        <v>14000</v>
      </c>
      <c r="G428" s="55">
        <v>25160</v>
      </c>
      <c r="H428" s="144">
        <v>14000</v>
      </c>
      <c r="I428" s="597"/>
    </row>
    <row r="429" spans="1:9" ht="26.25" customHeight="1">
      <c r="A429" s="73"/>
      <c r="B429" s="10"/>
      <c r="C429" s="3">
        <v>4610</v>
      </c>
      <c r="D429" s="272" t="s">
        <v>482</v>
      </c>
      <c r="E429" s="55">
        <v>6500</v>
      </c>
      <c r="F429" s="114"/>
      <c r="G429" s="55">
        <v>6500</v>
      </c>
      <c r="H429" s="144"/>
      <c r="I429" s="597"/>
    </row>
    <row r="430" spans="1:9" ht="28.5" customHeight="1">
      <c r="A430" s="73"/>
      <c r="B430" s="10"/>
      <c r="C430" s="3">
        <v>4700</v>
      </c>
      <c r="D430" s="272" t="s">
        <v>374</v>
      </c>
      <c r="E430" s="55">
        <v>1600</v>
      </c>
      <c r="F430" s="114"/>
      <c r="G430" s="55">
        <v>1600</v>
      </c>
      <c r="H430" s="144"/>
      <c r="I430" s="598"/>
    </row>
    <row r="431" spans="1:9" ht="61.5" customHeight="1">
      <c r="A431" s="73"/>
      <c r="B431" s="25">
        <v>85213</v>
      </c>
      <c r="C431" s="25"/>
      <c r="D431" s="314" t="s">
        <v>695</v>
      </c>
      <c r="E431" s="104">
        <f>E432</f>
        <v>294548</v>
      </c>
      <c r="F431" s="104">
        <f>F432</f>
        <v>115000</v>
      </c>
      <c r="G431" s="104">
        <f>G432</f>
        <v>248187</v>
      </c>
      <c r="H431" s="29">
        <f>H432</f>
        <v>112893</v>
      </c>
      <c r="I431" s="330">
        <f>G431/E431*100</f>
        <v>84.26029034316987</v>
      </c>
    </row>
    <row r="432" spans="1:9" ht="19.5" customHeight="1">
      <c r="A432" s="73"/>
      <c r="B432" s="10"/>
      <c r="C432" s="3">
        <v>4130</v>
      </c>
      <c r="D432" s="272" t="s">
        <v>453</v>
      </c>
      <c r="E432" s="79">
        <v>294548</v>
      </c>
      <c r="F432" s="94">
        <v>115000</v>
      </c>
      <c r="G432" s="79">
        <v>248187</v>
      </c>
      <c r="H432" s="389">
        <v>112893</v>
      </c>
      <c r="I432" s="597"/>
    </row>
    <row r="433" spans="1:9" ht="27" customHeight="1">
      <c r="A433" s="73"/>
      <c r="B433" s="24">
        <v>85214</v>
      </c>
      <c r="C433" s="25"/>
      <c r="D433" s="277" t="s">
        <v>352</v>
      </c>
      <c r="E433" s="104">
        <f>E434</f>
        <v>6684891</v>
      </c>
      <c r="F433" s="114"/>
      <c r="G433" s="104">
        <f>G434</f>
        <v>3626613</v>
      </c>
      <c r="H433" s="144"/>
      <c r="I433" s="330">
        <f>G433/E433*100</f>
        <v>54.250892048950384</v>
      </c>
    </row>
    <row r="434" spans="1:9" ht="20.25" customHeight="1">
      <c r="A434" s="73"/>
      <c r="B434" s="30"/>
      <c r="C434" s="3">
        <v>3110</v>
      </c>
      <c r="D434" s="272" t="s">
        <v>460</v>
      </c>
      <c r="E434" s="100">
        <v>6684891</v>
      </c>
      <c r="F434" s="94"/>
      <c r="G434" s="100">
        <v>3626613</v>
      </c>
      <c r="H434" s="389"/>
      <c r="I434" s="597"/>
    </row>
    <row r="435" spans="1:9" ht="21.75" customHeight="1">
      <c r="A435" s="116"/>
      <c r="B435" s="83">
        <v>85215</v>
      </c>
      <c r="C435" s="25"/>
      <c r="D435" s="277" t="s">
        <v>461</v>
      </c>
      <c r="E435" s="104">
        <f>E436+E437</f>
        <v>2992400</v>
      </c>
      <c r="F435" s="114"/>
      <c r="G435" s="104">
        <f>G436+G437</f>
        <v>3001000</v>
      </c>
      <c r="H435" s="144"/>
      <c r="I435" s="330">
        <f>G435/E435*100</f>
        <v>100.28739473332442</v>
      </c>
    </row>
    <row r="436" spans="1:9" ht="16.5" customHeight="1">
      <c r="A436" s="89"/>
      <c r="B436" s="98"/>
      <c r="C436" s="3">
        <v>3110</v>
      </c>
      <c r="D436" s="272" t="s">
        <v>460</v>
      </c>
      <c r="E436" s="100">
        <v>2991400</v>
      </c>
      <c r="F436" s="94"/>
      <c r="G436" s="100">
        <v>3000000</v>
      </c>
      <c r="H436" s="389"/>
      <c r="I436" s="597"/>
    </row>
    <row r="437" spans="1:9" ht="15" customHeight="1">
      <c r="A437" s="89"/>
      <c r="B437" s="98"/>
      <c r="C437" s="3">
        <v>4300</v>
      </c>
      <c r="D437" s="272" t="s">
        <v>408</v>
      </c>
      <c r="E437" s="55">
        <v>1000</v>
      </c>
      <c r="F437" s="94"/>
      <c r="G437" s="55">
        <v>1000</v>
      </c>
      <c r="H437" s="389"/>
      <c r="I437" s="597"/>
    </row>
    <row r="438" spans="1:25" s="56" customFormat="1" ht="18.75" customHeight="1">
      <c r="A438" s="116"/>
      <c r="B438" s="49">
        <v>85216</v>
      </c>
      <c r="C438" s="25"/>
      <c r="D438" s="277" t="s">
        <v>626</v>
      </c>
      <c r="E438" s="104">
        <f>E439</f>
        <v>2064416</v>
      </c>
      <c r="F438" s="112"/>
      <c r="G438" s="104">
        <f>G439</f>
        <v>1266764</v>
      </c>
      <c r="H438" s="1069"/>
      <c r="I438" s="330">
        <f>G438/E438*100</f>
        <v>61.36185730007906</v>
      </c>
      <c r="J438" s="230"/>
      <c r="K438" s="230"/>
      <c r="L438" s="248"/>
      <c r="M438" s="230"/>
      <c r="N438" s="230"/>
      <c r="O438" s="230"/>
      <c r="P438" s="230"/>
      <c r="Q438" s="230"/>
      <c r="R438" s="230"/>
      <c r="S438" s="230"/>
      <c r="T438" s="238"/>
      <c r="U438" s="238"/>
      <c r="V438" s="238"/>
      <c r="W438" s="238"/>
      <c r="X438" s="238"/>
      <c r="Y438" s="238"/>
    </row>
    <row r="439" spans="1:9" ht="17.25" customHeight="1">
      <c r="A439" s="89"/>
      <c r="B439" s="98"/>
      <c r="C439" s="3">
        <v>3110</v>
      </c>
      <c r="D439" s="272" t="s">
        <v>460</v>
      </c>
      <c r="E439" s="55">
        <v>2064416</v>
      </c>
      <c r="F439" s="94"/>
      <c r="G439" s="55">
        <v>1266764</v>
      </c>
      <c r="H439" s="389"/>
      <c r="I439" s="597"/>
    </row>
    <row r="440" spans="1:9" ht="22.5" customHeight="1">
      <c r="A440" s="89"/>
      <c r="B440" s="28">
        <v>85219</v>
      </c>
      <c r="C440" s="25"/>
      <c r="D440" s="277" t="s">
        <v>353</v>
      </c>
      <c r="E440" s="104">
        <f>SUM(E441:E465)</f>
        <v>6008258</v>
      </c>
      <c r="F440" s="583">
        <f>SUM(F441:F465)</f>
        <v>63285</v>
      </c>
      <c r="G440" s="104">
        <f>SUM(G441:G465)</f>
        <v>6011618</v>
      </c>
      <c r="H440" s="1075">
        <f>SUM(H441:H465)</f>
        <v>0</v>
      </c>
      <c r="I440" s="330">
        <f>G440/E440*100</f>
        <v>100.05592303126795</v>
      </c>
    </row>
    <row r="441" spans="1:9" ht="24.75" customHeight="1">
      <c r="A441" s="89"/>
      <c r="B441" s="14"/>
      <c r="C441" s="9">
        <v>3020</v>
      </c>
      <c r="D441" s="272" t="s">
        <v>113</v>
      </c>
      <c r="E441" s="55">
        <v>26250</v>
      </c>
      <c r="F441" s="94"/>
      <c r="G441" s="55">
        <v>26250</v>
      </c>
      <c r="H441" s="389"/>
      <c r="I441" s="597"/>
    </row>
    <row r="442" spans="1:9" ht="18.75" customHeight="1">
      <c r="A442" s="89"/>
      <c r="B442" s="8"/>
      <c r="C442" s="3">
        <v>3110</v>
      </c>
      <c r="D442" s="272" t="s">
        <v>460</v>
      </c>
      <c r="E442" s="100">
        <v>62350</v>
      </c>
      <c r="F442" s="114">
        <v>62350</v>
      </c>
      <c r="G442" s="100">
        <v>0</v>
      </c>
      <c r="H442" s="144"/>
      <c r="I442" s="597"/>
    </row>
    <row r="443" spans="1:9" ht="16.5" customHeight="1">
      <c r="A443" s="89"/>
      <c r="B443" s="8"/>
      <c r="C443" s="9">
        <v>4010</v>
      </c>
      <c r="D443" s="272" t="s">
        <v>451</v>
      </c>
      <c r="E443" s="100">
        <v>4314323</v>
      </c>
      <c r="F443" s="94"/>
      <c r="G443" s="100">
        <v>4300000</v>
      </c>
      <c r="H443" s="389"/>
      <c r="I443" s="597"/>
    </row>
    <row r="444" spans="1:9" ht="15" customHeight="1">
      <c r="A444" s="89"/>
      <c r="B444" s="8"/>
      <c r="C444" s="9">
        <v>4040</v>
      </c>
      <c r="D444" s="272" t="s">
        <v>452</v>
      </c>
      <c r="E444" s="55">
        <v>316000</v>
      </c>
      <c r="F444" s="94"/>
      <c r="G444" s="55">
        <v>330000</v>
      </c>
      <c r="H444" s="389"/>
      <c r="I444" s="597"/>
    </row>
    <row r="445" spans="1:9" ht="15" customHeight="1">
      <c r="A445" s="89"/>
      <c r="B445" s="8"/>
      <c r="C445" s="9">
        <v>4110</v>
      </c>
      <c r="D445" s="272" t="s">
        <v>496</v>
      </c>
      <c r="E445" s="55">
        <v>742500</v>
      </c>
      <c r="F445" s="94"/>
      <c r="G445" s="55">
        <v>789608</v>
      </c>
      <c r="H445" s="389"/>
      <c r="I445" s="597"/>
    </row>
    <row r="446" spans="1:9" ht="15" customHeight="1">
      <c r="A446" s="89"/>
      <c r="B446" s="8"/>
      <c r="C446" s="9">
        <v>4120</v>
      </c>
      <c r="D446" s="272" t="s">
        <v>497</v>
      </c>
      <c r="E446" s="55">
        <v>84500</v>
      </c>
      <c r="F446" s="94"/>
      <c r="G446" s="55">
        <v>85000</v>
      </c>
      <c r="H446" s="389"/>
      <c r="I446" s="597"/>
    </row>
    <row r="447" spans="1:9" ht="15" customHeight="1">
      <c r="A447" s="89"/>
      <c r="B447" s="8"/>
      <c r="C447" s="3">
        <v>4170</v>
      </c>
      <c r="D447" s="272" t="s">
        <v>503</v>
      </c>
      <c r="E447" s="55">
        <v>20000</v>
      </c>
      <c r="F447" s="94"/>
      <c r="G447" s="55">
        <v>20000</v>
      </c>
      <c r="H447" s="389"/>
      <c r="I447" s="597"/>
    </row>
    <row r="448" spans="1:9" ht="15" customHeight="1">
      <c r="A448" s="89"/>
      <c r="B448" s="8"/>
      <c r="C448" s="16">
        <v>4210</v>
      </c>
      <c r="D448" s="274" t="s">
        <v>411</v>
      </c>
      <c r="E448" s="55">
        <v>74350</v>
      </c>
      <c r="F448" s="94"/>
      <c r="G448" s="55">
        <v>74350</v>
      </c>
      <c r="H448" s="389"/>
      <c r="I448" s="597"/>
    </row>
    <row r="449" spans="1:9" ht="15" customHeight="1">
      <c r="A449" s="89"/>
      <c r="B449" s="8"/>
      <c r="C449" s="9">
        <v>4260</v>
      </c>
      <c r="D449" s="272" t="s">
        <v>511</v>
      </c>
      <c r="E449" s="55">
        <v>70600</v>
      </c>
      <c r="F449" s="94"/>
      <c r="G449" s="55">
        <v>70600</v>
      </c>
      <c r="H449" s="389"/>
      <c r="I449" s="597"/>
    </row>
    <row r="450" spans="1:9" ht="15" customHeight="1">
      <c r="A450" s="89"/>
      <c r="B450" s="8"/>
      <c r="C450" s="9">
        <v>4270</v>
      </c>
      <c r="D450" s="272" t="s">
        <v>412</v>
      </c>
      <c r="E450" s="55">
        <v>9000</v>
      </c>
      <c r="F450" s="94"/>
      <c r="G450" s="55">
        <v>9000</v>
      </c>
      <c r="H450" s="389"/>
      <c r="I450" s="597"/>
    </row>
    <row r="451" spans="1:9" ht="15" customHeight="1">
      <c r="A451" s="89"/>
      <c r="B451" s="8"/>
      <c r="C451" s="9">
        <v>4280</v>
      </c>
      <c r="D451" s="272" t="s">
        <v>714</v>
      </c>
      <c r="E451" s="55">
        <v>6100</v>
      </c>
      <c r="F451" s="94"/>
      <c r="G451" s="55">
        <v>6100</v>
      </c>
      <c r="H451" s="389"/>
      <c r="I451" s="597"/>
    </row>
    <row r="452" spans="1:9" ht="15" customHeight="1">
      <c r="A452" s="89"/>
      <c r="B452" s="8"/>
      <c r="C452" s="9">
        <v>4300</v>
      </c>
      <c r="D452" s="272" t="s">
        <v>408</v>
      </c>
      <c r="E452" s="55">
        <v>80935</v>
      </c>
      <c r="F452" s="114">
        <v>935</v>
      </c>
      <c r="G452" s="55">
        <v>80000</v>
      </c>
      <c r="H452" s="144"/>
      <c r="I452" s="597"/>
    </row>
    <row r="453" spans="1:9" ht="18.75" customHeight="1">
      <c r="A453" s="89"/>
      <c r="B453" s="8"/>
      <c r="C453" s="9">
        <v>4350</v>
      </c>
      <c r="D453" s="272" t="s">
        <v>506</v>
      </c>
      <c r="E453" s="55">
        <v>360</v>
      </c>
      <c r="F453" s="94"/>
      <c r="G453" s="55">
        <v>360</v>
      </c>
      <c r="H453" s="389"/>
      <c r="I453" s="597"/>
    </row>
    <row r="454" spans="1:9" ht="39.75" customHeight="1">
      <c r="A454" s="89"/>
      <c r="B454" s="8"/>
      <c r="C454" s="3">
        <v>4360</v>
      </c>
      <c r="D454" s="272" t="s">
        <v>4</v>
      </c>
      <c r="E454" s="55">
        <v>15500</v>
      </c>
      <c r="F454" s="94"/>
      <c r="G454" s="55">
        <v>15500</v>
      </c>
      <c r="H454" s="389"/>
      <c r="I454" s="597"/>
    </row>
    <row r="455" spans="1:9" ht="39" customHeight="1">
      <c r="A455" s="89"/>
      <c r="B455" s="8"/>
      <c r="C455" s="3">
        <v>4370</v>
      </c>
      <c r="D455" s="272" t="s">
        <v>3</v>
      </c>
      <c r="E455" s="55">
        <v>16000</v>
      </c>
      <c r="F455" s="94"/>
      <c r="G455" s="55">
        <v>16000</v>
      </c>
      <c r="H455" s="389"/>
      <c r="I455" s="597"/>
    </row>
    <row r="456" spans="1:9" ht="15" customHeight="1">
      <c r="A456" s="89"/>
      <c r="B456" s="8"/>
      <c r="C456" s="9">
        <v>4410</v>
      </c>
      <c r="D456" s="272" t="s">
        <v>500</v>
      </c>
      <c r="E456" s="55">
        <v>16950</v>
      </c>
      <c r="F456" s="94"/>
      <c r="G456" s="55">
        <v>16950</v>
      </c>
      <c r="H456" s="389"/>
      <c r="I456" s="597"/>
    </row>
    <row r="457" spans="1:9" ht="15" customHeight="1">
      <c r="A457" s="89"/>
      <c r="B457" s="8"/>
      <c r="C457" s="3">
        <v>4420</v>
      </c>
      <c r="D457" s="272" t="s">
        <v>508</v>
      </c>
      <c r="E457" s="55">
        <v>550</v>
      </c>
      <c r="F457" s="94"/>
      <c r="G457" s="55">
        <v>550</v>
      </c>
      <c r="H457" s="389"/>
      <c r="I457" s="597"/>
    </row>
    <row r="458" spans="1:9" ht="15" customHeight="1">
      <c r="A458" s="89"/>
      <c r="B458" s="8"/>
      <c r="C458" s="9">
        <v>4430</v>
      </c>
      <c r="D458" s="272" t="s">
        <v>387</v>
      </c>
      <c r="E458" s="55">
        <v>11000</v>
      </c>
      <c r="F458" s="94"/>
      <c r="G458" s="55">
        <v>11000</v>
      </c>
      <c r="H458" s="389"/>
      <c r="I458" s="597"/>
    </row>
    <row r="459" spans="1:9" ht="25.5" customHeight="1">
      <c r="A459" s="89"/>
      <c r="B459" s="8"/>
      <c r="C459" s="9">
        <v>4440</v>
      </c>
      <c r="D459" s="272" t="s">
        <v>498</v>
      </c>
      <c r="E459" s="55">
        <v>121890</v>
      </c>
      <c r="F459" s="94"/>
      <c r="G459" s="55">
        <v>123900</v>
      </c>
      <c r="H459" s="389"/>
      <c r="I459" s="597"/>
    </row>
    <row r="460" spans="1:9" ht="18" customHeight="1">
      <c r="A460" s="89"/>
      <c r="B460" s="8"/>
      <c r="C460" s="9">
        <v>4480</v>
      </c>
      <c r="D460" s="272" t="s">
        <v>351</v>
      </c>
      <c r="E460" s="55">
        <v>6750</v>
      </c>
      <c r="F460" s="94"/>
      <c r="G460" s="55">
        <v>7200</v>
      </c>
      <c r="H460" s="389"/>
      <c r="I460" s="597"/>
    </row>
    <row r="461" spans="1:9" ht="17.25" customHeight="1">
      <c r="A461" s="89"/>
      <c r="B461" s="8"/>
      <c r="C461" s="9">
        <v>4510</v>
      </c>
      <c r="D461" s="272" t="s">
        <v>114</v>
      </c>
      <c r="E461" s="55">
        <v>100</v>
      </c>
      <c r="F461" s="94"/>
      <c r="G461" s="55">
        <v>100</v>
      </c>
      <c r="H461" s="389"/>
      <c r="I461" s="597"/>
    </row>
    <row r="462" spans="1:9" ht="25.5" customHeight="1">
      <c r="A462" s="89"/>
      <c r="B462" s="8"/>
      <c r="C462" s="9">
        <v>4520</v>
      </c>
      <c r="D462" s="272" t="s">
        <v>373</v>
      </c>
      <c r="E462" s="55">
        <v>1100</v>
      </c>
      <c r="F462" s="94"/>
      <c r="G462" s="55">
        <v>3000</v>
      </c>
      <c r="H462" s="389"/>
      <c r="I462" s="597"/>
    </row>
    <row r="463" spans="1:9" ht="24.75" customHeight="1">
      <c r="A463" s="89"/>
      <c r="B463" s="8"/>
      <c r="C463" s="9">
        <v>4610</v>
      </c>
      <c r="D463" s="272" t="s">
        <v>482</v>
      </c>
      <c r="E463" s="55">
        <v>2350</v>
      </c>
      <c r="F463" s="94"/>
      <c r="G463" s="55">
        <v>2350</v>
      </c>
      <c r="H463" s="389"/>
      <c r="I463" s="597"/>
    </row>
    <row r="464" spans="1:9" ht="28.5" customHeight="1">
      <c r="A464" s="89"/>
      <c r="B464" s="8"/>
      <c r="C464" s="9">
        <v>4700</v>
      </c>
      <c r="D464" s="272" t="s">
        <v>374</v>
      </c>
      <c r="E464" s="55">
        <v>8800</v>
      </c>
      <c r="F464" s="94"/>
      <c r="G464" s="55">
        <v>8800</v>
      </c>
      <c r="H464" s="389"/>
      <c r="I464" s="597"/>
    </row>
    <row r="465" spans="1:9" ht="20.25" customHeight="1">
      <c r="A465" s="89"/>
      <c r="B465" s="8"/>
      <c r="C465" s="3">
        <v>6050</v>
      </c>
      <c r="D465" s="272" t="s">
        <v>420</v>
      </c>
      <c r="E465" s="55">
        <v>0</v>
      </c>
      <c r="F465" s="94"/>
      <c r="G465" s="55">
        <v>15000</v>
      </c>
      <c r="H465" s="389"/>
      <c r="I465" s="597"/>
    </row>
    <row r="466" spans="1:25" s="56" customFormat="1" ht="38.25" customHeight="1">
      <c r="A466" s="116"/>
      <c r="B466" s="25">
        <v>85220</v>
      </c>
      <c r="C466" s="25"/>
      <c r="D466" s="277" t="s">
        <v>684</v>
      </c>
      <c r="E466" s="104">
        <f>SUM(E467:E473)</f>
        <v>47200</v>
      </c>
      <c r="F466" s="112"/>
      <c r="G466" s="104">
        <f>SUM(G467:G473)</f>
        <v>47200</v>
      </c>
      <c r="H466" s="1069"/>
      <c r="I466" s="330">
        <f>G466/E466*100</f>
        <v>100</v>
      </c>
      <c r="J466" s="230"/>
      <c r="K466" s="230"/>
      <c r="L466" s="248"/>
      <c r="M466" s="230"/>
      <c r="N466" s="230"/>
      <c r="O466" s="230"/>
      <c r="P466" s="230"/>
      <c r="Q466" s="230"/>
      <c r="R466" s="230"/>
      <c r="S466" s="230"/>
      <c r="T466" s="238"/>
      <c r="U466" s="238"/>
      <c r="V466" s="238"/>
      <c r="W466" s="238"/>
      <c r="X466" s="238"/>
      <c r="Y466" s="238"/>
    </row>
    <row r="467" spans="1:9" ht="19.5" customHeight="1">
      <c r="A467" s="89"/>
      <c r="B467" s="8"/>
      <c r="C467" s="16">
        <v>4210</v>
      </c>
      <c r="D467" s="274" t="s">
        <v>411</v>
      </c>
      <c r="E467" s="55">
        <v>1000</v>
      </c>
      <c r="F467" s="94"/>
      <c r="G467" s="55">
        <v>750</v>
      </c>
      <c r="H467" s="389"/>
      <c r="I467" s="597"/>
    </row>
    <row r="468" spans="1:9" ht="19.5" customHeight="1">
      <c r="A468" s="89"/>
      <c r="B468" s="8"/>
      <c r="C468" s="9">
        <v>4260</v>
      </c>
      <c r="D468" s="272" t="s">
        <v>511</v>
      </c>
      <c r="E468" s="55">
        <v>20500</v>
      </c>
      <c r="F468" s="94"/>
      <c r="G468" s="55">
        <v>20000</v>
      </c>
      <c r="H468" s="389"/>
      <c r="I468" s="597"/>
    </row>
    <row r="469" spans="1:9" ht="19.5" customHeight="1">
      <c r="A469" s="89"/>
      <c r="B469" s="8"/>
      <c r="C469" s="9">
        <v>4270</v>
      </c>
      <c r="D469" s="272" t="s">
        <v>412</v>
      </c>
      <c r="E469" s="55">
        <v>1000</v>
      </c>
      <c r="F469" s="94"/>
      <c r="G469" s="55">
        <v>800</v>
      </c>
      <c r="H469" s="389"/>
      <c r="I469" s="597"/>
    </row>
    <row r="470" spans="1:9" ht="18.75" customHeight="1">
      <c r="A470" s="89"/>
      <c r="B470" s="8"/>
      <c r="C470" s="9">
        <v>4300</v>
      </c>
      <c r="D470" s="272" t="s">
        <v>408</v>
      </c>
      <c r="E470" s="55">
        <v>9500</v>
      </c>
      <c r="F470" s="94"/>
      <c r="G470" s="55">
        <v>9000</v>
      </c>
      <c r="H470" s="389"/>
      <c r="I470" s="597"/>
    </row>
    <row r="471" spans="1:9" ht="25.5" customHeight="1">
      <c r="A471" s="89"/>
      <c r="B471" s="8"/>
      <c r="C471" s="3">
        <v>4400</v>
      </c>
      <c r="D471" s="272" t="s">
        <v>720</v>
      </c>
      <c r="E471" s="55">
        <v>14200</v>
      </c>
      <c r="F471" s="94"/>
      <c r="G471" s="55">
        <v>14000</v>
      </c>
      <c r="H471" s="389"/>
      <c r="I471" s="597"/>
    </row>
    <row r="472" spans="1:9" ht="24" customHeight="1">
      <c r="A472" s="89"/>
      <c r="B472" s="8"/>
      <c r="C472" s="9">
        <v>4480</v>
      </c>
      <c r="D472" s="272" t="s">
        <v>351</v>
      </c>
      <c r="E472" s="55">
        <v>200</v>
      </c>
      <c r="F472" s="94"/>
      <c r="G472" s="55">
        <v>250</v>
      </c>
      <c r="H472" s="389"/>
      <c r="I472" s="597"/>
    </row>
    <row r="473" spans="1:9" ht="24" customHeight="1">
      <c r="A473" s="89"/>
      <c r="B473" s="8"/>
      <c r="C473" s="9">
        <v>4520</v>
      </c>
      <c r="D473" s="272" t="s">
        <v>373</v>
      </c>
      <c r="E473" s="55">
        <v>800</v>
      </c>
      <c r="F473" s="94"/>
      <c r="G473" s="55">
        <v>2400</v>
      </c>
      <c r="H473" s="389"/>
      <c r="I473" s="597"/>
    </row>
    <row r="474" spans="1:9" ht="28.5" customHeight="1">
      <c r="A474" s="116"/>
      <c r="B474" s="49">
        <v>85228</v>
      </c>
      <c r="C474" s="25" t="s">
        <v>21</v>
      </c>
      <c r="D474" s="277" t="s">
        <v>462</v>
      </c>
      <c r="E474" s="104">
        <f>SUM(E475:E476)</f>
        <v>1589800</v>
      </c>
      <c r="F474" s="113">
        <f>SUM(F475:F476)</f>
        <v>349800</v>
      </c>
      <c r="G474" s="104">
        <f>SUM(G475:G476)</f>
        <v>1339800</v>
      </c>
      <c r="H474" s="148">
        <f>SUM(H475:H476)</f>
        <v>349800</v>
      </c>
      <c r="I474" s="330">
        <f>G474/E474*100</f>
        <v>84.27475154107434</v>
      </c>
    </row>
    <row r="475" spans="1:9" ht="72" customHeight="1">
      <c r="A475" s="89"/>
      <c r="B475" s="98"/>
      <c r="C475" s="3">
        <v>2360</v>
      </c>
      <c r="D475" s="272" t="s">
        <v>633</v>
      </c>
      <c r="E475" s="55">
        <v>1200000</v>
      </c>
      <c r="F475" s="94"/>
      <c r="G475" s="55">
        <v>950000</v>
      </c>
      <c r="H475" s="389"/>
      <c r="I475" s="597"/>
    </row>
    <row r="476" spans="1:9" ht="19.5" customHeight="1">
      <c r="A476" s="89"/>
      <c r="B476" s="98"/>
      <c r="C476" s="3">
        <v>4300</v>
      </c>
      <c r="D476" s="272" t="s">
        <v>408</v>
      </c>
      <c r="E476" s="55">
        <v>389800</v>
      </c>
      <c r="F476" s="114">
        <v>349800</v>
      </c>
      <c r="G476" s="55">
        <v>389800</v>
      </c>
      <c r="H476" s="144">
        <v>349800</v>
      </c>
      <c r="I476" s="597"/>
    </row>
    <row r="477" spans="1:10" ht="24" customHeight="1">
      <c r="A477" s="116" t="s">
        <v>21</v>
      </c>
      <c r="B477" s="83">
        <v>85295</v>
      </c>
      <c r="C477" s="25"/>
      <c r="D477" s="277" t="s">
        <v>143</v>
      </c>
      <c r="E477" s="104">
        <f>SUM(E478:E482)</f>
        <v>4641103.58</v>
      </c>
      <c r="F477" s="104">
        <f>SUM(F478:F482)</f>
        <v>432682</v>
      </c>
      <c r="G477" s="104">
        <f>SUM(G478:G482)</f>
        <v>1420000</v>
      </c>
      <c r="H477" s="29">
        <f>SUM(H478:H482)</f>
        <v>0</v>
      </c>
      <c r="I477" s="330">
        <f>G477/E477*100</f>
        <v>30.5961712666624</v>
      </c>
      <c r="J477" s="230"/>
    </row>
    <row r="478" spans="1:9" ht="72.75" customHeight="1">
      <c r="A478" s="116"/>
      <c r="B478" s="86"/>
      <c r="C478" s="3">
        <v>2360</v>
      </c>
      <c r="D478" s="272" t="s">
        <v>633</v>
      </c>
      <c r="E478" s="55">
        <f>85000+200000</f>
        <v>285000</v>
      </c>
      <c r="F478" s="94"/>
      <c r="G478" s="55">
        <f>85000+200000</f>
        <v>285000</v>
      </c>
      <c r="H478" s="389"/>
      <c r="I478" s="597"/>
    </row>
    <row r="479" spans="1:9" ht="16.5" customHeight="1">
      <c r="A479" s="89"/>
      <c r="B479" s="98"/>
      <c r="C479" s="3">
        <v>3110</v>
      </c>
      <c r="D479" s="272" t="s">
        <v>460</v>
      </c>
      <c r="E479" s="55">
        <v>4158521.58</v>
      </c>
      <c r="F479" s="114">
        <v>420100</v>
      </c>
      <c r="G479" s="55">
        <v>950000</v>
      </c>
      <c r="H479" s="144"/>
      <c r="I479" s="597"/>
    </row>
    <row r="480" spans="1:9" ht="15" customHeight="1">
      <c r="A480" s="89"/>
      <c r="B480" s="98"/>
      <c r="C480" s="3">
        <v>4210</v>
      </c>
      <c r="D480" s="272" t="s">
        <v>407</v>
      </c>
      <c r="E480" s="55">
        <v>12000</v>
      </c>
      <c r="F480" s="114">
        <v>1000</v>
      </c>
      <c r="G480" s="55">
        <v>11000</v>
      </c>
      <c r="H480" s="144"/>
      <c r="I480" s="597"/>
    </row>
    <row r="481" spans="1:9" ht="15" customHeight="1">
      <c r="A481" s="89"/>
      <c r="B481" s="98"/>
      <c r="C481" s="3">
        <v>4220</v>
      </c>
      <c r="D481" s="272" t="s">
        <v>111</v>
      </c>
      <c r="E481" s="55">
        <v>140000</v>
      </c>
      <c r="F481" s="114"/>
      <c r="G481" s="55">
        <v>140000</v>
      </c>
      <c r="H481" s="389"/>
      <c r="I481" s="597"/>
    </row>
    <row r="482" spans="1:9" ht="15" customHeight="1">
      <c r="A482" s="89"/>
      <c r="B482" s="98"/>
      <c r="C482" s="3">
        <v>4300</v>
      </c>
      <c r="D482" s="272" t="s">
        <v>727</v>
      </c>
      <c r="E482" s="55">
        <v>45582</v>
      </c>
      <c r="F482" s="114">
        <v>11582</v>
      </c>
      <c r="G482" s="55">
        <v>34000</v>
      </c>
      <c r="H482" s="144"/>
      <c r="I482" s="597"/>
    </row>
    <row r="483" spans="1:9" ht="29.25" customHeight="1">
      <c r="A483" s="62">
        <v>853</v>
      </c>
      <c r="B483" s="62"/>
      <c r="C483" s="11"/>
      <c r="D483" s="276" t="s">
        <v>401</v>
      </c>
      <c r="E483" s="36">
        <f>E484+E508+E511</f>
        <v>10946091.35</v>
      </c>
      <c r="F483" s="110"/>
      <c r="G483" s="36">
        <f>G484+G508+G511</f>
        <v>5448443.71</v>
      </c>
      <c r="H483" s="1068"/>
      <c r="I483" s="330">
        <f>G483/E483*100</f>
        <v>49.77524429302338</v>
      </c>
    </row>
    <row r="484" spans="1:25" s="56" customFormat="1" ht="21.75" customHeight="1">
      <c r="A484" s="116"/>
      <c r="B484" s="83">
        <v>85305</v>
      </c>
      <c r="C484" s="25"/>
      <c r="D484" s="277" t="s">
        <v>469</v>
      </c>
      <c r="E484" s="41">
        <f>SUM(E485:E507)</f>
        <v>1975561</v>
      </c>
      <c r="F484" s="111"/>
      <c r="G484" s="41">
        <f>SUM(G485:G507)</f>
        <v>1877600</v>
      </c>
      <c r="H484" s="1076"/>
      <c r="I484" s="330">
        <f>G484/E484*100</f>
        <v>95.0413578725233</v>
      </c>
      <c r="J484" s="230"/>
      <c r="K484" s="230"/>
      <c r="L484" s="248"/>
      <c r="M484" s="230"/>
      <c r="N484" s="230"/>
      <c r="O484" s="230"/>
      <c r="P484" s="230"/>
      <c r="Q484" s="230"/>
      <c r="R484" s="230"/>
      <c r="S484" s="230"/>
      <c r="T484" s="238"/>
      <c r="U484" s="238"/>
      <c r="V484" s="238"/>
      <c r="W484" s="238"/>
      <c r="X484" s="238"/>
      <c r="Y484" s="238"/>
    </row>
    <row r="485" spans="1:25" s="56" customFormat="1" ht="64.5" customHeight="1">
      <c r="A485" s="116"/>
      <c r="B485" s="86"/>
      <c r="C485" s="3">
        <v>2830</v>
      </c>
      <c r="D485" s="272" t="s">
        <v>652</v>
      </c>
      <c r="E485" s="44">
        <v>142600</v>
      </c>
      <c r="F485" s="112"/>
      <c r="G485" s="44">
        <v>177600</v>
      </c>
      <c r="H485" s="1069"/>
      <c r="I485" s="597"/>
      <c r="J485" s="230"/>
      <c r="K485" s="230"/>
      <c r="L485" s="248"/>
      <c r="M485" s="230"/>
      <c r="N485" s="230"/>
      <c r="O485" s="230"/>
      <c r="P485" s="230"/>
      <c r="Q485" s="230"/>
      <c r="R485" s="230"/>
      <c r="S485" s="230"/>
      <c r="T485" s="238"/>
      <c r="U485" s="238"/>
      <c r="V485" s="238"/>
      <c r="W485" s="238"/>
      <c r="X485" s="238"/>
      <c r="Y485" s="238"/>
    </row>
    <row r="486" spans="1:9" ht="24.75" customHeight="1">
      <c r="A486" s="126"/>
      <c r="B486" s="98"/>
      <c r="C486" s="14">
        <v>3020</v>
      </c>
      <c r="D486" s="272" t="s">
        <v>502</v>
      </c>
      <c r="E486" s="55">
        <v>4129</v>
      </c>
      <c r="F486" s="94"/>
      <c r="G486" s="55">
        <v>6200</v>
      </c>
      <c r="H486" s="389"/>
      <c r="I486" s="597"/>
    </row>
    <row r="487" spans="1:9" ht="15.75" customHeight="1">
      <c r="A487" s="126"/>
      <c r="B487" s="98"/>
      <c r="C487" s="3">
        <v>4010</v>
      </c>
      <c r="D487" s="272" t="s">
        <v>451</v>
      </c>
      <c r="E487" s="55">
        <v>1051399</v>
      </c>
      <c r="F487" s="94"/>
      <c r="G487" s="55">
        <v>1087268</v>
      </c>
      <c r="H487" s="389"/>
      <c r="I487" s="597"/>
    </row>
    <row r="488" spans="1:9" ht="15" customHeight="1">
      <c r="A488" s="126"/>
      <c r="B488" s="98"/>
      <c r="C488" s="3">
        <v>4040</v>
      </c>
      <c r="D488" s="272" t="s">
        <v>452</v>
      </c>
      <c r="E488" s="55">
        <v>87490</v>
      </c>
      <c r="F488" s="94"/>
      <c r="G488" s="55">
        <v>88400</v>
      </c>
      <c r="H488" s="389"/>
      <c r="I488" s="597"/>
    </row>
    <row r="489" spans="1:9" ht="18.75" customHeight="1">
      <c r="A489" s="126"/>
      <c r="B489" s="98"/>
      <c r="C489" s="3">
        <v>4110</v>
      </c>
      <c r="D489" s="272" t="s">
        <v>496</v>
      </c>
      <c r="E489" s="55">
        <v>195000</v>
      </c>
      <c r="F489" s="94"/>
      <c r="G489" s="55">
        <v>189834</v>
      </c>
      <c r="H489" s="389"/>
      <c r="I489" s="597"/>
    </row>
    <row r="490" spans="1:9" ht="16.5" customHeight="1">
      <c r="A490" s="126"/>
      <c r="B490" s="98"/>
      <c r="C490" s="3">
        <v>4120</v>
      </c>
      <c r="D490" s="272" t="s">
        <v>497</v>
      </c>
      <c r="E490" s="55">
        <v>20650</v>
      </c>
      <c r="F490" s="94"/>
      <c r="G490" s="55">
        <v>18096</v>
      </c>
      <c r="H490" s="389"/>
      <c r="I490" s="597"/>
    </row>
    <row r="491" spans="1:9" ht="19.5" customHeight="1">
      <c r="A491" s="126"/>
      <c r="B491" s="98"/>
      <c r="C491" s="3">
        <v>4210</v>
      </c>
      <c r="D491" s="272" t="s">
        <v>504</v>
      </c>
      <c r="E491" s="55">
        <v>73861</v>
      </c>
      <c r="F491" s="94"/>
      <c r="G491" s="55">
        <v>22034</v>
      </c>
      <c r="H491" s="389"/>
      <c r="I491" s="597"/>
    </row>
    <row r="492" spans="1:9" ht="18.75" customHeight="1">
      <c r="A492" s="126"/>
      <c r="B492" s="98"/>
      <c r="C492" s="3">
        <v>4220</v>
      </c>
      <c r="D492" s="272" t="s">
        <v>111</v>
      </c>
      <c r="E492" s="55">
        <v>93492</v>
      </c>
      <c r="F492" s="94"/>
      <c r="G492" s="55">
        <v>92610</v>
      </c>
      <c r="H492" s="389"/>
      <c r="I492" s="597"/>
    </row>
    <row r="493" spans="1:9" ht="23.25" customHeight="1">
      <c r="A493" s="126"/>
      <c r="B493" s="98"/>
      <c r="C493" s="3">
        <v>4240</v>
      </c>
      <c r="D493" s="272" t="s">
        <v>97</v>
      </c>
      <c r="E493" s="55">
        <v>14900</v>
      </c>
      <c r="F493" s="94"/>
      <c r="G493" s="55">
        <v>2400</v>
      </c>
      <c r="H493" s="389"/>
      <c r="I493" s="597"/>
    </row>
    <row r="494" spans="1:9" ht="18.75" customHeight="1">
      <c r="A494" s="126"/>
      <c r="B494" s="98"/>
      <c r="C494" s="3">
        <v>4260</v>
      </c>
      <c r="D494" s="272" t="s">
        <v>511</v>
      </c>
      <c r="E494" s="55">
        <v>105000</v>
      </c>
      <c r="F494" s="94"/>
      <c r="G494" s="55">
        <v>95000</v>
      </c>
      <c r="H494" s="389"/>
      <c r="I494" s="597"/>
    </row>
    <row r="495" spans="1:9" ht="17.25" customHeight="1">
      <c r="A495" s="126"/>
      <c r="B495" s="98"/>
      <c r="C495" s="3">
        <v>4270</v>
      </c>
      <c r="D495" s="272" t="s">
        <v>412</v>
      </c>
      <c r="E495" s="55">
        <v>70300</v>
      </c>
      <c r="F495" s="94"/>
      <c r="G495" s="55">
        <v>14000</v>
      </c>
      <c r="H495" s="389"/>
      <c r="I495" s="597"/>
    </row>
    <row r="496" spans="1:9" ht="18.75" customHeight="1">
      <c r="A496" s="126"/>
      <c r="B496" s="98"/>
      <c r="C496" s="3">
        <v>4280</v>
      </c>
      <c r="D496" s="324" t="s">
        <v>714</v>
      </c>
      <c r="E496" s="55">
        <v>900</v>
      </c>
      <c r="F496" s="94"/>
      <c r="G496" s="55">
        <v>400</v>
      </c>
      <c r="H496" s="389"/>
      <c r="I496" s="597"/>
    </row>
    <row r="497" spans="1:9" ht="19.5" customHeight="1">
      <c r="A497" s="126"/>
      <c r="B497" s="98"/>
      <c r="C497" s="3">
        <v>4300</v>
      </c>
      <c r="D497" s="272" t="s">
        <v>448</v>
      </c>
      <c r="E497" s="55">
        <v>38100</v>
      </c>
      <c r="F497" s="94"/>
      <c r="G497" s="55">
        <v>28000</v>
      </c>
      <c r="H497" s="389"/>
      <c r="I497" s="597"/>
    </row>
    <row r="498" spans="1:9" ht="18.75" customHeight="1">
      <c r="A498" s="126"/>
      <c r="B498" s="98"/>
      <c r="C498" s="3">
        <v>4350</v>
      </c>
      <c r="D498" s="272" t="s">
        <v>506</v>
      </c>
      <c r="E498" s="55">
        <v>710</v>
      </c>
      <c r="F498" s="94"/>
      <c r="G498" s="55">
        <v>710</v>
      </c>
      <c r="H498" s="389"/>
      <c r="I498" s="597"/>
    </row>
    <row r="499" spans="1:9" ht="39.75" customHeight="1">
      <c r="A499" s="126"/>
      <c r="B499" s="98"/>
      <c r="C499" s="3">
        <v>4370</v>
      </c>
      <c r="D499" s="272" t="s">
        <v>3</v>
      </c>
      <c r="E499" s="55">
        <v>2500</v>
      </c>
      <c r="F499" s="94"/>
      <c r="G499" s="55">
        <v>2400</v>
      </c>
      <c r="H499" s="389"/>
      <c r="I499" s="597"/>
    </row>
    <row r="500" spans="1:9" ht="25.5" customHeight="1">
      <c r="A500" s="126"/>
      <c r="B500" s="98"/>
      <c r="C500" s="3">
        <v>4390</v>
      </c>
      <c r="D500" s="272" t="s">
        <v>154</v>
      </c>
      <c r="E500" s="55">
        <v>800</v>
      </c>
      <c r="F500" s="94"/>
      <c r="G500" s="55">
        <v>0</v>
      </c>
      <c r="H500" s="389"/>
      <c r="I500" s="597"/>
    </row>
    <row r="501" spans="1:9" ht="18.75" customHeight="1">
      <c r="A501" s="126"/>
      <c r="B501" s="98"/>
      <c r="C501" s="3">
        <v>4410</v>
      </c>
      <c r="D501" s="272" t="s">
        <v>500</v>
      </c>
      <c r="E501" s="55">
        <v>1750</v>
      </c>
      <c r="F501" s="94"/>
      <c r="G501" s="55">
        <v>1750</v>
      </c>
      <c r="H501" s="389"/>
      <c r="I501" s="597"/>
    </row>
    <row r="502" spans="1:9" ht="19.5" customHeight="1">
      <c r="A502" s="126"/>
      <c r="B502" s="98"/>
      <c r="C502" s="3">
        <v>4430</v>
      </c>
      <c r="D502" s="272" t="s">
        <v>387</v>
      </c>
      <c r="E502" s="55">
        <v>920</v>
      </c>
      <c r="F502" s="94"/>
      <c r="G502" s="55">
        <v>950</v>
      </c>
      <c r="H502" s="389"/>
      <c r="I502" s="597"/>
    </row>
    <row r="503" spans="1:9" ht="22.5" customHeight="1">
      <c r="A503" s="126"/>
      <c r="B503" s="98"/>
      <c r="C503" s="3">
        <v>4440</v>
      </c>
      <c r="D503" s="272" t="s">
        <v>498</v>
      </c>
      <c r="E503" s="55">
        <v>38000</v>
      </c>
      <c r="F503" s="94"/>
      <c r="G503" s="55">
        <v>38015</v>
      </c>
      <c r="H503" s="389"/>
      <c r="I503" s="597"/>
    </row>
    <row r="504" spans="1:9" ht="20.25" customHeight="1">
      <c r="A504" s="126"/>
      <c r="B504" s="98"/>
      <c r="C504" s="3">
        <v>4480</v>
      </c>
      <c r="D504" s="272" t="s">
        <v>351</v>
      </c>
      <c r="E504" s="55">
        <v>8745</v>
      </c>
      <c r="F504" s="94"/>
      <c r="G504" s="55">
        <v>8852</v>
      </c>
      <c r="H504" s="389"/>
      <c r="I504" s="597"/>
    </row>
    <row r="505" spans="1:9" ht="25.5" customHeight="1">
      <c r="A505" s="126"/>
      <c r="B505" s="98"/>
      <c r="C505" s="3">
        <v>4520</v>
      </c>
      <c r="D505" s="272" t="s">
        <v>373</v>
      </c>
      <c r="E505" s="55">
        <v>16</v>
      </c>
      <c r="F505" s="94"/>
      <c r="G505" s="55">
        <v>2281</v>
      </c>
      <c r="H505" s="389"/>
      <c r="I505" s="597"/>
    </row>
    <row r="506" spans="1:11" ht="27.75" customHeight="1">
      <c r="A506" s="126"/>
      <c r="B506" s="98"/>
      <c r="C506" s="3">
        <v>4700</v>
      </c>
      <c r="D506" s="272" t="s">
        <v>374</v>
      </c>
      <c r="E506" s="55">
        <v>4299</v>
      </c>
      <c r="F506" s="94"/>
      <c r="G506" s="55">
        <v>800</v>
      </c>
      <c r="H506" s="389"/>
      <c r="I506" s="597"/>
      <c r="K506" s="59"/>
    </row>
    <row r="507" spans="1:11" ht="27.75" customHeight="1">
      <c r="A507" s="126"/>
      <c r="B507" s="98"/>
      <c r="C507" s="3">
        <v>6050</v>
      </c>
      <c r="D507" s="272" t="s">
        <v>420</v>
      </c>
      <c r="E507" s="44">
        <v>20000</v>
      </c>
      <c r="F507" s="94"/>
      <c r="G507" s="44">
        <v>0</v>
      </c>
      <c r="H507" s="389"/>
      <c r="I507" s="597"/>
      <c r="K507" s="59"/>
    </row>
    <row r="508" spans="1:25" s="56" customFormat="1" ht="22.5" customHeight="1">
      <c r="A508" s="127"/>
      <c r="B508" s="49">
        <v>85306</v>
      </c>
      <c r="C508" s="25"/>
      <c r="D508" s="277" t="s">
        <v>341</v>
      </c>
      <c r="E508" s="41">
        <f>SUM(E509:E510)</f>
        <v>0</v>
      </c>
      <c r="F508" s="112"/>
      <c r="G508" s="41">
        <f>SUM(G509:G510)</f>
        <v>73800</v>
      </c>
      <c r="H508" s="1069"/>
      <c r="I508" s="599"/>
      <c r="J508" s="230"/>
      <c r="K508" s="242"/>
      <c r="L508" s="248"/>
      <c r="M508" s="230"/>
      <c r="N508" s="230"/>
      <c r="O508" s="230"/>
      <c r="P508" s="230"/>
      <c r="Q508" s="230"/>
      <c r="R508" s="230"/>
      <c r="S508" s="230"/>
      <c r="T508" s="238"/>
      <c r="U508" s="238"/>
      <c r="V508" s="238"/>
      <c r="W508" s="238"/>
      <c r="X508" s="238"/>
      <c r="Y508" s="238"/>
    </row>
    <row r="509" spans="1:11" ht="36.75" customHeight="1">
      <c r="A509" s="126"/>
      <c r="B509" s="98"/>
      <c r="C509" s="3">
        <v>2820</v>
      </c>
      <c r="D509" s="272" t="s">
        <v>458</v>
      </c>
      <c r="E509" s="44"/>
      <c r="F509" s="94"/>
      <c r="G509" s="44">
        <v>54000</v>
      </c>
      <c r="H509" s="389"/>
      <c r="I509" s="597"/>
      <c r="K509" s="59"/>
    </row>
    <row r="510" spans="1:11" ht="53.25" customHeight="1">
      <c r="A510" s="126"/>
      <c r="B510" s="98"/>
      <c r="C510" s="3">
        <v>2830</v>
      </c>
      <c r="D510" s="272" t="s">
        <v>683</v>
      </c>
      <c r="E510" s="44"/>
      <c r="F510" s="94"/>
      <c r="G510" s="44">
        <v>19800</v>
      </c>
      <c r="H510" s="389"/>
      <c r="I510" s="597"/>
      <c r="K510" s="59"/>
    </row>
    <row r="511" spans="1:25" s="56" customFormat="1" ht="24.75" customHeight="1">
      <c r="A511" s="127"/>
      <c r="B511" s="49">
        <v>85395</v>
      </c>
      <c r="C511" s="25"/>
      <c r="D511" s="277" t="s">
        <v>513</v>
      </c>
      <c r="E511" s="128">
        <f>SUM(E512:E559)</f>
        <v>8970530.35</v>
      </c>
      <c r="F511" s="112"/>
      <c r="G511" s="128">
        <f>SUM(G512:G559)</f>
        <v>3497043.71</v>
      </c>
      <c r="H511" s="1069"/>
      <c r="I511" s="330">
        <f>G511/E511*100</f>
        <v>38.98368963212972</v>
      </c>
      <c r="J511" s="257"/>
      <c r="K511" s="257"/>
      <c r="L511" s="258"/>
      <c r="M511" s="258"/>
      <c r="N511" s="230"/>
      <c r="O511" s="230"/>
      <c r="P511" s="230"/>
      <c r="Q511" s="230"/>
      <c r="R511" s="230"/>
      <c r="S511" s="230"/>
      <c r="T511" s="238"/>
      <c r="U511" s="238"/>
      <c r="V511" s="238"/>
      <c r="W511" s="238"/>
      <c r="X511" s="238"/>
      <c r="Y511" s="238"/>
    </row>
    <row r="512" spans="1:25" s="56" customFormat="1" ht="74.25" customHeight="1">
      <c r="A512" s="127"/>
      <c r="B512" s="86"/>
      <c r="C512" s="3">
        <v>2360</v>
      </c>
      <c r="D512" s="272" t="s">
        <v>633</v>
      </c>
      <c r="E512" s="188">
        <v>49000</v>
      </c>
      <c r="F512" s="94"/>
      <c r="G512" s="188">
        <v>9000</v>
      </c>
      <c r="H512" s="389"/>
      <c r="I512" s="597"/>
      <c r="J512" s="257"/>
      <c r="K512" s="257"/>
      <c r="L512" s="258"/>
      <c r="M512" s="258"/>
      <c r="N512" s="230"/>
      <c r="O512" s="230"/>
      <c r="P512" s="230"/>
      <c r="Q512" s="230"/>
      <c r="R512" s="230"/>
      <c r="S512" s="230"/>
      <c r="T512" s="238"/>
      <c r="U512" s="238"/>
      <c r="V512" s="238"/>
      <c r="W512" s="238"/>
      <c r="X512" s="238"/>
      <c r="Y512" s="238"/>
    </row>
    <row r="513" spans="1:9" ht="42.75" customHeight="1">
      <c r="A513" s="126"/>
      <c r="B513" s="98"/>
      <c r="C513" s="3">
        <v>2827</v>
      </c>
      <c r="D513" s="272" t="s">
        <v>458</v>
      </c>
      <c r="E513" s="69">
        <v>64008.46</v>
      </c>
      <c r="F513" s="94"/>
      <c r="G513" s="69">
        <v>78549.77</v>
      </c>
      <c r="H513" s="389"/>
      <c r="I513" s="597"/>
    </row>
    <row r="514" spans="1:9" ht="40.5" customHeight="1">
      <c r="A514" s="126"/>
      <c r="B514" s="98"/>
      <c r="C514" s="3">
        <v>2829</v>
      </c>
      <c r="D514" s="272" t="s">
        <v>458</v>
      </c>
      <c r="E514" s="69">
        <v>11295.61</v>
      </c>
      <c r="F514" s="94"/>
      <c r="G514" s="69">
        <v>13861.73</v>
      </c>
      <c r="H514" s="389"/>
      <c r="I514" s="597"/>
    </row>
    <row r="515" spans="1:9" ht="80.25" customHeight="1">
      <c r="A515" s="126"/>
      <c r="B515" s="98"/>
      <c r="C515" s="3">
        <v>2910</v>
      </c>
      <c r="D515" s="32" t="s">
        <v>442</v>
      </c>
      <c r="E515" s="69">
        <v>345.86</v>
      </c>
      <c r="F515" s="94"/>
      <c r="G515" s="69">
        <v>0</v>
      </c>
      <c r="H515" s="389"/>
      <c r="I515" s="597"/>
    </row>
    <row r="516" spans="1:9" ht="25.5" customHeight="1">
      <c r="A516" s="126"/>
      <c r="B516" s="98"/>
      <c r="C516" s="14">
        <v>3027</v>
      </c>
      <c r="D516" s="272" t="s">
        <v>502</v>
      </c>
      <c r="E516" s="69">
        <v>767.37</v>
      </c>
      <c r="F516" s="94"/>
      <c r="G516" s="69"/>
      <c r="H516" s="389"/>
      <c r="I516" s="597"/>
    </row>
    <row r="517" spans="1:9" ht="26.25" customHeight="1">
      <c r="A517" s="126"/>
      <c r="B517" s="98"/>
      <c r="C517" s="14">
        <v>3029</v>
      </c>
      <c r="D517" s="272" t="s">
        <v>502</v>
      </c>
      <c r="E517" s="69">
        <v>40.63</v>
      </c>
      <c r="F517" s="94"/>
      <c r="G517" s="69"/>
      <c r="H517" s="389"/>
      <c r="I517" s="597"/>
    </row>
    <row r="518" spans="1:9" ht="18.75" customHeight="1">
      <c r="A518" s="126"/>
      <c r="B518" s="98"/>
      <c r="C518" s="3">
        <v>3117</v>
      </c>
      <c r="D518" s="272" t="s">
        <v>460</v>
      </c>
      <c r="E518" s="55">
        <v>1129995.6</v>
      </c>
      <c r="F518" s="94"/>
      <c r="G518" s="55">
        <v>690356.4</v>
      </c>
      <c r="H518" s="389"/>
      <c r="I518" s="597"/>
    </row>
    <row r="519" spans="1:9" ht="21" customHeight="1">
      <c r="A519" s="126"/>
      <c r="B519" s="98"/>
      <c r="C519" s="3">
        <v>3119</v>
      </c>
      <c r="D519" s="272" t="s">
        <v>460</v>
      </c>
      <c r="E519" s="55">
        <v>339410.06</v>
      </c>
      <c r="F519" s="94"/>
      <c r="G519" s="55">
        <v>121827.6</v>
      </c>
      <c r="H519" s="389"/>
      <c r="I519" s="597"/>
    </row>
    <row r="520" spans="1:9" ht="19.5" customHeight="1">
      <c r="A520" s="126"/>
      <c r="B520" s="98"/>
      <c r="C520" s="3">
        <v>4017</v>
      </c>
      <c r="D520" s="272" t="s">
        <v>451</v>
      </c>
      <c r="E520" s="55">
        <v>1151818.74</v>
      </c>
      <c r="F520" s="94"/>
      <c r="G520" s="55">
        <v>444289.9</v>
      </c>
      <c r="H520" s="389"/>
      <c r="I520" s="597"/>
    </row>
    <row r="521" spans="1:9" ht="19.5" customHeight="1">
      <c r="A521" s="126"/>
      <c r="B521" s="98"/>
      <c r="C521" s="3">
        <v>4019</v>
      </c>
      <c r="D521" s="272" t="s">
        <v>451</v>
      </c>
      <c r="E521" s="55">
        <v>147996.64</v>
      </c>
      <c r="F521" s="94"/>
      <c r="G521" s="55">
        <v>76818.65</v>
      </c>
      <c r="H521" s="389"/>
      <c r="I521" s="597"/>
    </row>
    <row r="522" spans="1:9" ht="19.5" customHeight="1">
      <c r="A522" s="126"/>
      <c r="B522" s="98"/>
      <c r="C522" s="3">
        <v>4047</v>
      </c>
      <c r="D522" s="272" t="s">
        <v>452</v>
      </c>
      <c r="E522" s="55"/>
      <c r="F522" s="94"/>
      <c r="G522" s="55">
        <v>16184.98</v>
      </c>
      <c r="H522" s="389"/>
      <c r="I522" s="597"/>
    </row>
    <row r="523" spans="1:9" ht="19.5" customHeight="1">
      <c r="A523" s="126"/>
      <c r="B523" s="98"/>
      <c r="C523" s="3">
        <v>4049</v>
      </c>
      <c r="D523" s="272" t="s">
        <v>452</v>
      </c>
      <c r="E523" s="55"/>
      <c r="F523" s="94"/>
      <c r="G523" s="55">
        <v>2856.17</v>
      </c>
      <c r="H523" s="389"/>
      <c r="I523" s="597"/>
    </row>
    <row r="524" spans="1:9" ht="19.5" customHeight="1">
      <c r="A524" s="126"/>
      <c r="B524" s="98"/>
      <c r="C524" s="3">
        <v>4110</v>
      </c>
      <c r="D524" s="272" t="s">
        <v>496</v>
      </c>
      <c r="E524" s="55">
        <v>1173.6</v>
      </c>
      <c r="F524" s="94"/>
      <c r="G524" s="55"/>
      <c r="H524" s="389"/>
      <c r="I524" s="597"/>
    </row>
    <row r="525" spans="1:9" ht="16.5" customHeight="1">
      <c r="A525" s="126"/>
      <c r="B525" s="98"/>
      <c r="C525" s="3">
        <v>4117</v>
      </c>
      <c r="D525" s="272" t="s">
        <v>496</v>
      </c>
      <c r="E525" s="55">
        <v>417072.75</v>
      </c>
      <c r="F525" s="94"/>
      <c r="G525" s="55">
        <v>207473.62</v>
      </c>
      <c r="H525" s="389"/>
      <c r="I525" s="597"/>
    </row>
    <row r="526" spans="1:9" ht="16.5" customHeight="1">
      <c r="A526" s="126"/>
      <c r="B526" s="98"/>
      <c r="C526" s="3">
        <v>4119</v>
      </c>
      <c r="D526" s="272" t="s">
        <v>496</v>
      </c>
      <c r="E526" s="55">
        <v>55271.19</v>
      </c>
      <c r="F526" s="94"/>
      <c r="G526" s="55">
        <v>33317.3</v>
      </c>
      <c r="H526" s="389"/>
      <c r="I526" s="597"/>
    </row>
    <row r="527" spans="1:9" ht="15" customHeight="1">
      <c r="A527" s="126"/>
      <c r="B527" s="98"/>
      <c r="C527" s="3">
        <v>4127</v>
      </c>
      <c r="D527" s="272" t="s">
        <v>497</v>
      </c>
      <c r="E527" s="55">
        <v>34638.64</v>
      </c>
      <c r="F527" s="94"/>
      <c r="G527" s="55">
        <v>12760.62</v>
      </c>
      <c r="H527" s="389"/>
      <c r="I527" s="597"/>
    </row>
    <row r="528" spans="1:9" ht="15" customHeight="1">
      <c r="A528" s="126"/>
      <c r="B528" s="98"/>
      <c r="C528" s="3">
        <v>4129</v>
      </c>
      <c r="D528" s="272" t="s">
        <v>497</v>
      </c>
      <c r="E528" s="55">
        <v>3733.25</v>
      </c>
      <c r="F528" s="94"/>
      <c r="G528" s="55">
        <v>1959.21</v>
      </c>
      <c r="H528" s="389"/>
      <c r="I528" s="597"/>
    </row>
    <row r="529" spans="1:9" ht="14.25" customHeight="1">
      <c r="A529" s="126"/>
      <c r="B529" s="98"/>
      <c r="C529" s="3">
        <v>4177</v>
      </c>
      <c r="D529" s="272" t="s">
        <v>503</v>
      </c>
      <c r="E529" s="55">
        <v>677362.97</v>
      </c>
      <c r="F529" s="94"/>
      <c r="G529" s="55">
        <v>332108.88</v>
      </c>
      <c r="H529" s="389"/>
      <c r="I529" s="597"/>
    </row>
    <row r="530" spans="1:9" ht="17.25" customHeight="1">
      <c r="A530" s="126"/>
      <c r="B530" s="98"/>
      <c r="C530" s="3">
        <v>4179</v>
      </c>
      <c r="D530" s="272" t="s">
        <v>503</v>
      </c>
      <c r="E530" s="55">
        <v>18722.32</v>
      </c>
      <c r="F530" s="94"/>
      <c r="G530" s="55">
        <v>7275</v>
      </c>
      <c r="H530" s="389"/>
      <c r="I530" s="597"/>
    </row>
    <row r="531" spans="1:9" ht="16.5" customHeight="1">
      <c r="A531" s="126"/>
      <c r="B531" s="98"/>
      <c r="C531" s="3">
        <v>4210</v>
      </c>
      <c r="D531" s="272" t="s">
        <v>504</v>
      </c>
      <c r="E531" s="55">
        <v>10000</v>
      </c>
      <c r="F531" s="94"/>
      <c r="G531" s="55">
        <v>10000</v>
      </c>
      <c r="H531" s="389"/>
      <c r="I531" s="597"/>
    </row>
    <row r="532" spans="1:9" ht="15.75" customHeight="1">
      <c r="A532" s="126"/>
      <c r="B532" s="98"/>
      <c r="C532" s="3">
        <v>4217</v>
      </c>
      <c r="D532" s="272" t="s">
        <v>504</v>
      </c>
      <c r="E532" s="55">
        <v>143754.29</v>
      </c>
      <c r="F532" s="94"/>
      <c r="G532" s="55">
        <v>24145.72</v>
      </c>
      <c r="H532" s="389"/>
      <c r="I532" s="597"/>
    </row>
    <row r="533" spans="1:9" ht="14.25" customHeight="1">
      <c r="A533" s="126"/>
      <c r="B533" s="98"/>
      <c r="C533" s="3">
        <v>4219</v>
      </c>
      <c r="D533" s="272" t="s">
        <v>504</v>
      </c>
      <c r="E533" s="55">
        <v>7911.02</v>
      </c>
      <c r="F533" s="94"/>
      <c r="G533" s="55">
        <v>2434.72</v>
      </c>
      <c r="H533" s="389"/>
      <c r="I533" s="597"/>
    </row>
    <row r="534" spans="1:9" ht="25.5" customHeight="1">
      <c r="A534" s="126"/>
      <c r="B534" s="98"/>
      <c r="C534" s="3">
        <v>4247</v>
      </c>
      <c r="D534" s="272" t="s">
        <v>97</v>
      </c>
      <c r="E534" s="55">
        <v>121594.61</v>
      </c>
      <c r="F534" s="94"/>
      <c r="G534" s="55">
        <v>18630</v>
      </c>
      <c r="H534" s="389"/>
      <c r="I534" s="597"/>
    </row>
    <row r="535" spans="1:9" ht="18" customHeight="1">
      <c r="A535" s="126"/>
      <c r="B535" s="98"/>
      <c r="C535" s="3">
        <v>4267</v>
      </c>
      <c r="D535" s="272" t="s">
        <v>511</v>
      </c>
      <c r="E535" s="55">
        <v>11396.65</v>
      </c>
      <c r="F535" s="94"/>
      <c r="G535" s="55"/>
      <c r="H535" s="389"/>
      <c r="I535" s="597"/>
    </row>
    <row r="536" spans="1:9" ht="16.5" customHeight="1">
      <c r="A536" s="126"/>
      <c r="B536" s="98"/>
      <c r="C536" s="3">
        <v>4269</v>
      </c>
      <c r="D536" s="272" t="s">
        <v>511</v>
      </c>
      <c r="E536" s="55">
        <v>603.35</v>
      </c>
      <c r="F536" s="94"/>
      <c r="G536" s="55"/>
      <c r="H536" s="389"/>
      <c r="I536" s="597"/>
    </row>
    <row r="537" spans="1:9" ht="16.5" customHeight="1">
      <c r="A537" s="126"/>
      <c r="B537" s="98"/>
      <c r="C537" s="3">
        <v>4277</v>
      </c>
      <c r="D537" s="272" t="s">
        <v>412</v>
      </c>
      <c r="E537" s="55">
        <v>50000</v>
      </c>
      <c r="F537" s="94"/>
      <c r="G537" s="55"/>
      <c r="H537" s="389"/>
      <c r="I537" s="597"/>
    </row>
    <row r="538" spans="1:9" ht="14.25" customHeight="1">
      <c r="A538" s="126"/>
      <c r="B538" s="98"/>
      <c r="C538" s="3">
        <v>4287</v>
      </c>
      <c r="D538" s="272" t="s">
        <v>714</v>
      </c>
      <c r="E538" s="55">
        <v>27998.82</v>
      </c>
      <c r="F538" s="94"/>
      <c r="G538" s="55"/>
      <c r="H538" s="389"/>
      <c r="I538" s="597"/>
    </row>
    <row r="539" spans="1:9" ht="14.25" customHeight="1">
      <c r="A539" s="126"/>
      <c r="B539" s="98"/>
      <c r="C539" s="3">
        <v>4289</v>
      </c>
      <c r="D539" s="272" t="s">
        <v>714</v>
      </c>
      <c r="E539" s="55">
        <v>2513.38</v>
      </c>
      <c r="F539" s="94"/>
      <c r="G539" s="55"/>
      <c r="H539" s="389"/>
      <c r="I539" s="597"/>
    </row>
    <row r="540" spans="1:9" ht="15.75" customHeight="1">
      <c r="A540" s="126"/>
      <c r="B540" s="98"/>
      <c r="C540" s="3">
        <v>4300</v>
      </c>
      <c r="D540" s="272" t="s">
        <v>386</v>
      </c>
      <c r="E540" s="55">
        <v>37000</v>
      </c>
      <c r="F540" s="94"/>
      <c r="G540" s="55">
        <f>20000+22000</f>
        <v>42000</v>
      </c>
      <c r="H540" s="389"/>
      <c r="I540" s="597"/>
    </row>
    <row r="541" spans="1:9" ht="15.75" customHeight="1">
      <c r="A541" s="126"/>
      <c r="B541" s="98"/>
      <c r="C541" s="3">
        <v>4307</v>
      </c>
      <c r="D541" s="272" t="s">
        <v>727</v>
      </c>
      <c r="E541" s="55">
        <v>2113254.15</v>
      </c>
      <c r="F541" s="94"/>
      <c r="G541" s="55">
        <v>436394.2</v>
      </c>
      <c r="H541" s="389"/>
      <c r="I541" s="597"/>
    </row>
    <row r="542" spans="1:9" ht="15.75" customHeight="1">
      <c r="A542" s="126"/>
      <c r="B542" s="98"/>
      <c r="C542" s="3">
        <v>4309</v>
      </c>
      <c r="D542" s="272" t="s">
        <v>727</v>
      </c>
      <c r="E542" s="55">
        <v>269832.15</v>
      </c>
      <c r="F542" s="94"/>
      <c r="G542" s="55">
        <v>14202</v>
      </c>
      <c r="H542" s="389"/>
      <c r="I542" s="597"/>
    </row>
    <row r="543" spans="1:9" ht="41.25" customHeight="1">
      <c r="A543" s="126"/>
      <c r="B543" s="98"/>
      <c r="C543" s="3">
        <v>4367</v>
      </c>
      <c r="D543" s="272" t="s">
        <v>4</v>
      </c>
      <c r="E543" s="55">
        <v>4935.98</v>
      </c>
      <c r="F543" s="94"/>
      <c r="G543" s="55">
        <v>3560</v>
      </c>
      <c r="H543" s="389"/>
      <c r="I543" s="597"/>
    </row>
    <row r="544" spans="1:9" ht="41.25" customHeight="1">
      <c r="A544" s="126"/>
      <c r="B544" s="98"/>
      <c r="C544" s="3">
        <v>4369</v>
      </c>
      <c r="D544" s="272" t="s">
        <v>4</v>
      </c>
      <c r="E544" s="55">
        <v>76.02</v>
      </c>
      <c r="F544" s="94"/>
      <c r="G544" s="55"/>
      <c r="H544" s="389"/>
      <c r="I544" s="597"/>
    </row>
    <row r="545" spans="1:9" ht="41.25" customHeight="1">
      <c r="A545" s="126"/>
      <c r="B545" s="98"/>
      <c r="C545" s="3">
        <v>4377</v>
      </c>
      <c r="D545" s="272" t="s">
        <v>3</v>
      </c>
      <c r="E545" s="55">
        <v>1899.44</v>
      </c>
      <c r="F545" s="94"/>
      <c r="G545" s="55"/>
      <c r="H545" s="389"/>
      <c r="I545" s="597"/>
    </row>
    <row r="546" spans="1:9" ht="41.25" customHeight="1">
      <c r="A546" s="126"/>
      <c r="B546" s="98"/>
      <c r="C546" s="3">
        <v>4379</v>
      </c>
      <c r="D546" s="272" t="s">
        <v>3</v>
      </c>
      <c r="E546" s="55">
        <v>100.56</v>
      </c>
      <c r="F546" s="94"/>
      <c r="G546" s="55"/>
      <c r="H546" s="389"/>
      <c r="I546" s="597"/>
    </row>
    <row r="547" spans="1:9" ht="14.25" customHeight="1">
      <c r="A547" s="126"/>
      <c r="B547" s="98"/>
      <c r="C547" s="3">
        <v>4417</v>
      </c>
      <c r="D547" s="272" t="s">
        <v>500</v>
      </c>
      <c r="E547" s="55">
        <v>22961.38</v>
      </c>
      <c r="F547" s="94"/>
      <c r="G547" s="55">
        <v>17417.06</v>
      </c>
      <c r="H547" s="389"/>
      <c r="I547" s="597"/>
    </row>
    <row r="548" spans="1:9" ht="14.25" customHeight="1">
      <c r="A548" s="126"/>
      <c r="B548" s="98"/>
      <c r="C548" s="3">
        <v>4419</v>
      </c>
      <c r="D548" s="272" t="s">
        <v>500</v>
      </c>
      <c r="E548" s="55">
        <v>154.86</v>
      </c>
      <c r="F548" s="94"/>
      <c r="G548" s="55">
        <v>2717.84</v>
      </c>
      <c r="H548" s="389"/>
      <c r="I548" s="597"/>
    </row>
    <row r="549" spans="1:9" ht="14.25" customHeight="1">
      <c r="A549" s="126"/>
      <c r="B549" s="98"/>
      <c r="C549" s="3">
        <v>4427</v>
      </c>
      <c r="D549" s="272" t="s">
        <v>508</v>
      </c>
      <c r="E549" s="55">
        <v>0</v>
      </c>
      <c r="F549" s="94"/>
      <c r="G549" s="55">
        <v>61722.34</v>
      </c>
      <c r="H549" s="389"/>
      <c r="I549" s="597"/>
    </row>
    <row r="550" spans="1:9" ht="14.25" customHeight="1">
      <c r="A550" s="126"/>
      <c r="B550" s="98"/>
      <c r="C550" s="3">
        <v>4437</v>
      </c>
      <c r="D550" s="272" t="s">
        <v>387</v>
      </c>
      <c r="E550" s="55">
        <v>15601.3</v>
      </c>
      <c r="F550" s="94"/>
      <c r="G550" s="55"/>
      <c r="H550" s="389"/>
      <c r="I550" s="597"/>
    </row>
    <row r="551" spans="1:9" ht="14.25" customHeight="1">
      <c r="A551" s="126"/>
      <c r="B551" s="98"/>
      <c r="C551" s="3">
        <v>4439</v>
      </c>
      <c r="D551" s="272" t="s">
        <v>387</v>
      </c>
      <c r="E551" s="55">
        <v>1408.7</v>
      </c>
      <c r="F551" s="94"/>
      <c r="G551" s="55"/>
      <c r="H551" s="389"/>
      <c r="I551" s="597"/>
    </row>
    <row r="552" spans="1:9" ht="24.75" customHeight="1">
      <c r="A552" s="126"/>
      <c r="B552" s="98"/>
      <c r="C552" s="3">
        <v>4447</v>
      </c>
      <c r="D552" s="272" t="s">
        <v>498</v>
      </c>
      <c r="E552" s="55">
        <v>4060.06</v>
      </c>
      <c r="F552" s="94"/>
      <c r="G552" s="55"/>
      <c r="H552" s="389"/>
      <c r="I552" s="597"/>
    </row>
    <row r="553" spans="1:9" ht="25.5" customHeight="1">
      <c r="A553" s="126"/>
      <c r="B553" s="98"/>
      <c r="C553" s="3">
        <v>4449</v>
      </c>
      <c r="D553" s="272" t="s">
        <v>498</v>
      </c>
      <c r="E553" s="55">
        <v>214.94</v>
      </c>
      <c r="F553" s="94"/>
      <c r="G553" s="55"/>
      <c r="H553" s="389"/>
      <c r="I553" s="597"/>
    </row>
    <row r="554" spans="1:9" ht="19.5" customHeight="1">
      <c r="A554" s="126"/>
      <c r="B554" s="98"/>
      <c r="C554" s="3">
        <v>4580</v>
      </c>
      <c r="D554" s="272" t="s">
        <v>342</v>
      </c>
      <c r="E554" s="55">
        <v>1348</v>
      </c>
      <c r="F554" s="94"/>
      <c r="G554" s="55"/>
      <c r="H554" s="389"/>
      <c r="I554" s="597"/>
    </row>
    <row r="555" spans="1:9" ht="30" customHeight="1">
      <c r="A555" s="126"/>
      <c r="B555" s="98"/>
      <c r="C555" s="3">
        <v>4707</v>
      </c>
      <c r="D555" s="272" t="s">
        <v>374</v>
      </c>
      <c r="E555" s="55">
        <v>69957</v>
      </c>
      <c r="F555" s="94"/>
      <c r="G555" s="55">
        <v>15180</v>
      </c>
      <c r="H555" s="389"/>
      <c r="I555" s="597"/>
    </row>
    <row r="556" spans="1:9" ht="30" customHeight="1">
      <c r="A556" s="126"/>
      <c r="B556" s="98"/>
      <c r="C556" s="3">
        <v>6057</v>
      </c>
      <c r="D556" s="272" t="s">
        <v>420</v>
      </c>
      <c r="E556" s="55">
        <v>13000</v>
      </c>
      <c r="F556" s="94"/>
      <c r="G556" s="55"/>
      <c r="H556" s="389"/>
      <c r="I556" s="597"/>
    </row>
    <row r="557" spans="1:9" ht="30" customHeight="1">
      <c r="A557" s="126"/>
      <c r="B557" s="98"/>
      <c r="C557" s="3">
        <v>6067</v>
      </c>
      <c r="D557" s="272" t="s">
        <v>516</v>
      </c>
      <c r="E557" s="55">
        <v>75300</v>
      </c>
      <c r="F557" s="94"/>
      <c r="G557" s="55"/>
      <c r="H557" s="389"/>
      <c r="I557" s="597"/>
    </row>
    <row r="558" spans="1:9" ht="64.5" customHeight="1">
      <c r="A558" s="126"/>
      <c r="B558" s="98"/>
      <c r="C558" s="3">
        <v>6237</v>
      </c>
      <c r="D558" s="274" t="s">
        <v>660</v>
      </c>
      <c r="E558" s="55">
        <v>1581850</v>
      </c>
      <c r="F558" s="94"/>
      <c r="G558" s="55">
        <v>680000</v>
      </c>
      <c r="H558" s="389"/>
      <c r="I558" s="597"/>
    </row>
    <row r="559" spans="1:9" ht="63" customHeight="1">
      <c r="A559" s="126"/>
      <c r="B559" s="98"/>
      <c r="C559" s="3">
        <v>6239</v>
      </c>
      <c r="D559" s="274" t="s">
        <v>660</v>
      </c>
      <c r="E559" s="55">
        <v>279150</v>
      </c>
      <c r="F559" s="94"/>
      <c r="G559" s="55">
        <v>120000</v>
      </c>
      <c r="H559" s="389"/>
      <c r="I559" s="597"/>
    </row>
    <row r="560" spans="1:9" ht="24.75" customHeight="1">
      <c r="A560" s="45">
        <v>854</v>
      </c>
      <c r="B560" s="12"/>
      <c r="C560" s="11"/>
      <c r="D560" s="276" t="s">
        <v>354</v>
      </c>
      <c r="E560" s="36">
        <f>E561+E577+E582+E585</f>
        <v>2755315</v>
      </c>
      <c r="F560" s="114"/>
      <c r="G560" s="36">
        <f>G561+G577+G582+G585</f>
        <v>1755672</v>
      </c>
      <c r="H560" s="144"/>
      <c r="I560" s="330">
        <f>G560/E560*100</f>
        <v>63.71946583240029</v>
      </c>
    </row>
    <row r="561" spans="1:9" ht="21.75" customHeight="1">
      <c r="A561" s="46"/>
      <c r="B561" s="24">
        <v>85401</v>
      </c>
      <c r="C561" s="25"/>
      <c r="D561" s="277" t="s">
        <v>118</v>
      </c>
      <c r="E561" s="104">
        <f>SUM(E562:E576)</f>
        <v>1627831</v>
      </c>
      <c r="F561" s="110"/>
      <c r="G561" s="104">
        <f>SUM(G562:G576)</f>
        <v>1697122</v>
      </c>
      <c r="H561" s="1068"/>
      <c r="I561" s="330">
        <f>G561/E561*100</f>
        <v>104.25664580659786</v>
      </c>
    </row>
    <row r="562" spans="1:9" ht="27" customHeight="1">
      <c r="A562" s="47"/>
      <c r="B562" s="10"/>
      <c r="C562" s="3">
        <v>3020</v>
      </c>
      <c r="D562" s="272" t="s">
        <v>712</v>
      </c>
      <c r="E562" s="100">
        <v>3039</v>
      </c>
      <c r="F562" s="94"/>
      <c r="G562" s="100">
        <v>3492</v>
      </c>
      <c r="H562" s="389"/>
      <c r="I562" s="597"/>
    </row>
    <row r="563" spans="1:9" ht="18" customHeight="1">
      <c r="A563" s="47"/>
      <c r="B563" s="10"/>
      <c r="C563" s="3">
        <v>4010</v>
      </c>
      <c r="D563" s="272" t="s">
        <v>451</v>
      </c>
      <c r="E563" s="55">
        <v>1142903</v>
      </c>
      <c r="F563" s="94"/>
      <c r="G563" s="55">
        <v>1187613</v>
      </c>
      <c r="H563" s="389"/>
      <c r="I563" s="597"/>
    </row>
    <row r="564" spans="1:9" ht="15" customHeight="1">
      <c r="A564" s="47"/>
      <c r="B564" s="10"/>
      <c r="C564" s="3">
        <v>4040</v>
      </c>
      <c r="D564" s="272" t="s">
        <v>452</v>
      </c>
      <c r="E564" s="55">
        <v>93167</v>
      </c>
      <c r="F564" s="94"/>
      <c r="G564" s="55">
        <v>99787</v>
      </c>
      <c r="H564" s="389"/>
      <c r="I564" s="597"/>
    </row>
    <row r="565" spans="1:9" ht="15" customHeight="1">
      <c r="A565" s="47"/>
      <c r="B565" s="10"/>
      <c r="C565" s="3">
        <v>4110</v>
      </c>
      <c r="D565" s="272" t="s">
        <v>496</v>
      </c>
      <c r="E565" s="55">
        <v>208289</v>
      </c>
      <c r="F565" s="94"/>
      <c r="G565" s="55">
        <v>215858</v>
      </c>
      <c r="H565" s="389"/>
      <c r="I565" s="597"/>
    </row>
    <row r="566" spans="1:9" ht="15" customHeight="1">
      <c r="A566" s="47"/>
      <c r="B566" s="10"/>
      <c r="C566" s="3">
        <v>4120</v>
      </c>
      <c r="D566" s="272" t="s">
        <v>497</v>
      </c>
      <c r="E566" s="55">
        <v>29598</v>
      </c>
      <c r="F566" s="94"/>
      <c r="G566" s="55">
        <v>29963</v>
      </c>
      <c r="H566" s="389"/>
      <c r="I566" s="597"/>
    </row>
    <row r="567" spans="1:9" ht="15" customHeight="1">
      <c r="A567" s="47"/>
      <c r="B567" s="10"/>
      <c r="C567" s="14">
        <v>4210</v>
      </c>
      <c r="D567" s="272" t="s">
        <v>504</v>
      </c>
      <c r="E567" s="55">
        <v>13600</v>
      </c>
      <c r="F567" s="94"/>
      <c r="G567" s="55">
        <v>16950</v>
      </c>
      <c r="H567" s="389"/>
      <c r="I567" s="597"/>
    </row>
    <row r="568" spans="1:9" ht="26.25" customHeight="1">
      <c r="A568" s="47"/>
      <c r="B568" s="10"/>
      <c r="C568" s="3">
        <v>4240</v>
      </c>
      <c r="D568" s="272" t="s">
        <v>97</v>
      </c>
      <c r="E568" s="55">
        <v>3600</v>
      </c>
      <c r="F568" s="94"/>
      <c r="G568" s="55">
        <v>6700</v>
      </c>
      <c r="H568" s="389"/>
      <c r="I568" s="597"/>
    </row>
    <row r="569" spans="1:9" ht="15" customHeight="1">
      <c r="A569" s="47"/>
      <c r="B569" s="10"/>
      <c r="C569" s="3">
        <v>4260</v>
      </c>
      <c r="D569" s="272" t="s">
        <v>511</v>
      </c>
      <c r="E569" s="55">
        <v>44070</v>
      </c>
      <c r="F569" s="94"/>
      <c r="G569" s="55">
        <v>46310</v>
      </c>
      <c r="H569" s="389"/>
      <c r="I569" s="597"/>
    </row>
    <row r="570" spans="1:9" ht="15" customHeight="1">
      <c r="A570" s="47"/>
      <c r="B570" s="10"/>
      <c r="C570" s="3">
        <v>4270</v>
      </c>
      <c r="D570" s="272" t="s">
        <v>412</v>
      </c>
      <c r="E570" s="55">
        <v>150</v>
      </c>
      <c r="F570" s="94"/>
      <c r="G570" s="55">
        <v>0</v>
      </c>
      <c r="H570" s="389"/>
      <c r="I570" s="597"/>
    </row>
    <row r="571" spans="1:9" ht="15" customHeight="1">
      <c r="A571" s="47"/>
      <c r="B571" s="10"/>
      <c r="C571" s="3">
        <v>4280</v>
      </c>
      <c r="D571" s="272" t="s">
        <v>714</v>
      </c>
      <c r="E571" s="55">
        <v>2140</v>
      </c>
      <c r="F571" s="94"/>
      <c r="G571" s="55">
        <v>2270</v>
      </c>
      <c r="H571" s="389"/>
      <c r="I571" s="597"/>
    </row>
    <row r="572" spans="1:9" ht="15" customHeight="1">
      <c r="A572" s="47"/>
      <c r="B572" s="10"/>
      <c r="C572" s="3">
        <v>4300</v>
      </c>
      <c r="D572" s="272" t="s">
        <v>727</v>
      </c>
      <c r="E572" s="55">
        <v>2890</v>
      </c>
      <c r="F572" s="94"/>
      <c r="G572" s="55">
        <v>2870</v>
      </c>
      <c r="H572" s="389"/>
      <c r="I572" s="597"/>
    </row>
    <row r="573" spans="1:9" ht="15" customHeight="1">
      <c r="A573" s="47"/>
      <c r="B573" s="10"/>
      <c r="C573" s="3">
        <v>4410</v>
      </c>
      <c r="D573" s="272" t="s">
        <v>500</v>
      </c>
      <c r="E573" s="55">
        <v>100</v>
      </c>
      <c r="F573" s="94"/>
      <c r="G573" s="55">
        <v>100</v>
      </c>
      <c r="H573" s="389"/>
      <c r="I573" s="597"/>
    </row>
    <row r="574" spans="1:9" ht="15" customHeight="1">
      <c r="A574" s="47"/>
      <c r="B574" s="10"/>
      <c r="C574" s="3">
        <v>4430</v>
      </c>
      <c r="D574" s="272" t="s">
        <v>387</v>
      </c>
      <c r="E574" s="55">
        <v>162</v>
      </c>
      <c r="F574" s="94"/>
      <c r="G574" s="55">
        <v>160</v>
      </c>
      <c r="H574" s="389"/>
      <c r="I574" s="597"/>
    </row>
    <row r="575" spans="1:9" ht="24" customHeight="1">
      <c r="A575" s="47"/>
      <c r="B575" s="10"/>
      <c r="C575" s="3">
        <v>4440</v>
      </c>
      <c r="D575" s="272" t="s">
        <v>498</v>
      </c>
      <c r="E575" s="55">
        <v>83723</v>
      </c>
      <c r="F575" s="94"/>
      <c r="G575" s="55">
        <v>84649</v>
      </c>
      <c r="H575" s="389"/>
      <c r="I575" s="597"/>
    </row>
    <row r="576" spans="1:9" ht="26.25" customHeight="1">
      <c r="A576" s="47"/>
      <c r="B576" s="10"/>
      <c r="C576" s="14">
        <v>4700</v>
      </c>
      <c r="D576" s="272" t="s">
        <v>374</v>
      </c>
      <c r="E576" s="79">
        <v>400</v>
      </c>
      <c r="F576" s="94"/>
      <c r="G576" s="79">
        <v>400</v>
      </c>
      <c r="H576" s="389"/>
      <c r="I576" s="597"/>
    </row>
    <row r="577" spans="1:9" ht="39.75" customHeight="1">
      <c r="A577" s="47"/>
      <c r="B577" s="25">
        <v>85412</v>
      </c>
      <c r="C577" s="25"/>
      <c r="D577" s="26" t="s">
        <v>135</v>
      </c>
      <c r="E577" s="153">
        <f>SUM(E578:E581)</f>
        <v>9008</v>
      </c>
      <c r="F577" s="112"/>
      <c r="G577" s="153">
        <f>SUM(G578:G581)</f>
        <v>0</v>
      </c>
      <c r="H577" s="1069"/>
      <c r="I577" s="597"/>
    </row>
    <row r="578" spans="1:9" ht="20.25" customHeight="1">
      <c r="A578" s="47"/>
      <c r="B578" s="10"/>
      <c r="C578" s="3">
        <v>4010</v>
      </c>
      <c r="D578" s="272" t="s">
        <v>451</v>
      </c>
      <c r="E578" s="99">
        <v>3349</v>
      </c>
      <c r="F578" s="94"/>
      <c r="G578" s="99"/>
      <c r="H578" s="389"/>
      <c r="I578" s="597"/>
    </row>
    <row r="579" spans="1:9" ht="21" customHeight="1">
      <c r="A579" s="47"/>
      <c r="B579" s="10"/>
      <c r="C579" s="3">
        <v>4110</v>
      </c>
      <c r="D579" s="272" t="s">
        <v>496</v>
      </c>
      <c r="E579" s="99">
        <v>576</v>
      </c>
      <c r="F579" s="94"/>
      <c r="G579" s="99"/>
      <c r="H579" s="389"/>
      <c r="I579" s="597"/>
    </row>
    <row r="580" spans="1:9" ht="17.25" customHeight="1">
      <c r="A580" s="47"/>
      <c r="B580" s="10"/>
      <c r="C580" s="3">
        <v>4120</v>
      </c>
      <c r="D580" s="272" t="s">
        <v>497</v>
      </c>
      <c r="E580" s="99">
        <v>83</v>
      </c>
      <c r="F580" s="94"/>
      <c r="G580" s="99"/>
      <c r="H580" s="389"/>
      <c r="I580" s="597"/>
    </row>
    <row r="581" spans="1:9" ht="19.5" customHeight="1">
      <c r="A581" s="47"/>
      <c r="B581" s="10"/>
      <c r="C581" s="3">
        <v>4300</v>
      </c>
      <c r="D581" s="272" t="s">
        <v>727</v>
      </c>
      <c r="E581" s="99">
        <v>5000</v>
      </c>
      <c r="F581" s="94"/>
      <c r="G581" s="99"/>
      <c r="H581" s="389"/>
      <c r="I581" s="597"/>
    </row>
    <row r="582" spans="1:9" ht="25.5" customHeight="1">
      <c r="A582" s="47"/>
      <c r="B582" s="25">
        <v>85415</v>
      </c>
      <c r="C582" s="9"/>
      <c r="D582" s="277" t="s">
        <v>634</v>
      </c>
      <c r="E582" s="41">
        <f>SUM(E583:E584)</f>
        <v>1109748</v>
      </c>
      <c r="F582" s="94"/>
      <c r="G582" s="41">
        <f>SUM(G583:G584)</f>
        <v>50000</v>
      </c>
      <c r="H582" s="389"/>
      <c r="I582" s="330">
        <f>G582/E582*100</f>
        <v>4.505527380991</v>
      </c>
    </row>
    <row r="583" spans="1:9" ht="18.75" customHeight="1">
      <c r="A583" s="48"/>
      <c r="B583" s="35"/>
      <c r="C583" s="9">
        <v>3240</v>
      </c>
      <c r="D583" s="272" t="s">
        <v>119</v>
      </c>
      <c r="E583" s="100">
        <v>875464</v>
      </c>
      <c r="F583" s="94"/>
      <c r="G583" s="100">
        <v>50000</v>
      </c>
      <c r="H583" s="389"/>
      <c r="I583" s="597"/>
    </row>
    <row r="584" spans="1:9" ht="18.75" customHeight="1">
      <c r="A584" s="48"/>
      <c r="B584" s="35"/>
      <c r="C584" s="9">
        <v>3260</v>
      </c>
      <c r="D584" s="272" t="s">
        <v>677</v>
      </c>
      <c r="E584" s="101">
        <v>234284</v>
      </c>
      <c r="F584" s="94"/>
      <c r="G584" s="101"/>
      <c r="H584" s="389"/>
      <c r="I584" s="597"/>
    </row>
    <row r="585" spans="1:25" s="56" customFormat="1" ht="24.75" customHeight="1">
      <c r="A585" s="50"/>
      <c r="B585" s="25">
        <v>85446</v>
      </c>
      <c r="C585" s="24"/>
      <c r="D585" s="277" t="s">
        <v>675</v>
      </c>
      <c r="E585" s="41">
        <f>SUM(E586:E588)</f>
        <v>8728</v>
      </c>
      <c r="F585" s="112"/>
      <c r="G585" s="41">
        <f>SUM(G586:G588)</f>
        <v>8550</v>
      </c>
      <c r="H585" s="1069"/>
      <c r="I585" s="330">
        <f>G585/E585*100</f>
        <v>97.96058661778186</v>
      </c>
      <c r="J585" s="230"/>
      <c r="K585" s="230"/>
      <c r="L585" s="248"/>
      <c r="M585" s="230"/>
      <c r="N585" s="230"/>
      <c r="O585" s="230"/>
      <c r="P585" s="230"/>
      <c r="Q585" s="230"/>
      <c r="R585" s="230"/>
      <c r="S585" s="230"/>
      <c r="T585" s="238"/>
      <c r="U585" s="238"/>
      <c r="V585" s="238"/>
      <c r="W585" s="238"/>
      <c r="X585" s="238"/>
      <c r="Y585" s="238"/>
    </row>
    <row r="586" spans="1:25" s="56" customFormat="1" ht="21.75" customHeight="1">
      <c r="A586" s="268"/>
      <c r="B586" s="35"/>
      <c r="C586" s="3">
        <v>4300</v>
      </c>
      <c r="D586" s="272" t="s">
        <v>727</v>
      </c>
      <c r="E586" s="55">
        <v>655</v>
      </c>
      <c r="F586" s="94"/>
      <c r="G586" s="55">
        <v>600</v>
      </c>
      <c r="H586" s="1069"/>
      <c r="I586" s="1067"/>
      <c r="J586" s="230"/>
      <c r="K586" s="230"/>
      <c r="L586" s="248"/>
      <c r="M586" s="230"/>
      <c r="N586" s="230"/>
      <c r="O586" s="230"/>
      <c r="P586" s="230"/>
      <c r="Q586" s="230"/>
      <c r="R586" s="230"/>
      <c r="S586" s="230"/>
      <c r="T586" s="238"/>
      <c r="U586" s="238"/>
      <c r="V586" s="238"/>
      <c r="W586" s="238"/>
      <c r="X586" s="238"/>
      <c r="Y586" s="238"/>
    </row>
    <row r="587" spans="1:9" ht="18.75" customHeight="1">
      <c r="A587" s="48"/>
      <c r="B587" s="8"/>
      <c r="C587" s="9">
        <v>4410</v>
      </c>
      <c r="D587" s="272" t="s">
        <v>500</v>
      </c>
      <c r="E587" s="55">
        <v>437</v>
      </c>
      <c r="F587" s="94"/>
      <c r="G587" s="55">
        <v>619</v>
      </c>
      <c r="H587" s="389"/>
      <c r="I587" s="597"/>
    </row>
    <row r="588" spans="1:9" ht="27" customHeight="1">
      <c r="A588" s="48"/>
      <c r="B588" s="35"/>
      <c r="C588" s="9">
        <v>4700</v>
      </c>
      <c r="D588" s="272" t="s">
        <v>374</v>
      </c>
      <c r="E588" s="79">
        <v>7636</v>
      </c>
      <c r="F588" s="96"/>
      <c r="G588" s="79">
        <v>7331</v>
      </c>
      <c r="H588" s="393"/>
      <c r="I588" s="598"/>
    </row>
    <row r="589" spans="1:9" ht="31.5" customHeight="1">
      <c r="A589" s="65">
        <v>900</v>
      </c>
      <c r="B589" s="62"/>
      <c r="C589" s="11"/>
      <c r="D589" s="276" t="s">
        <v>151</v>
      </c>
      <c r="E589" s="36">
        <f>E590+E594+E597+E602+E605+E610</f>
        <v>22049666.74</v>
      </c>
      <c r="F589" s="114"/>
      <c r="G589" s="36">
        <f>G590+G594+G597+G602+G605+G610</f>
        <v>39386010.95</v>
      </c>
      <c r="H589" s="144"/>
      <c r="I589" s="330">
        <f>G589/E589*100</f>
        <v>178.6240645467461</v>
      </c>
    </row>
    <row r="590" spans="1:25" s="138" customFormat="1" ht="22.5" customHeight="1">
      <c r="A590" s="50"/>
      <c r="B590" s="35">
        <v>90002</v>
      </c>
      <c r="C590" s="25"/>
      <c r="D590" s="277" t="s">
        <v>599</v>
      </c>
      <c r="E590" s="148">
        <f>SUM(E591:E593)</f>
        <v>8042000</v>
      </c>
      <c r="F590" s="112"/>
      <c r="G590" s="148">
        <f>SUM(G591:G593)</f>
        <v>15492000</v>
      </c>
      <c r="H590" s="1069"/>
      <c r="I590" s="330">
        <f>G590/E590*100</f>
        <v>192.63864710271076</v>
      </c>
      <c r="J590" s="242"/>
      <c r="K590" s="242"/>
      <c r="L590" s="251"/>
      <c r="M590" s="242"/>
      <c r="N590" s="242"/>
      <c r="O590" s="242"/>
      <c r="P590" s="242"/>
      <c r="Q590" s="242"/>
      <c r="R590" s="242"/>
      <c r="S590" s="242"/>
      <c r="T590" s="241"/>
      <c r="U590" s="241"/>
      <c r="V590" s="241"/>
      <c r="W590" s="241"/>
      <c r="X590" s="241"/>
      <c r="Y590" s="241"/>
    </row>
    <row r="591" spans="1:9" ht="19.5" customHeight="1">
      <c r="A591" s="234"/>
      <c r="B591" s="67"/>
      <c r="C591" s="9">
        <v>4300</v>
      </c>
      <c r="D591" s="272" t="s">
        <v>408</v>
      </c>
      <c r="E591" s="55">
        <v>8000000</v>
      </c>
      <c r="F591" s="94"/>
      <c r="G591" s="55">
        <v>15450000</v>
      </c>
      <c r="H591" s="389"/>
      <c r="I591" s="597"/>
    </row>
    <row r="592" spans="1:9" ht="59.25" customHeight="1">
      <c r="A592" s="234"/>
      <c r="B592" s="66"/>
      <c r="C592" s="3">
        <v>6220</v>
      </c>
      <c r="D592" s="274" t="s">
        <v>388</v>
      </c>
      <c r="E592" s="55">
        <v>12000</v>
      </c>
      <c r="F592" s="94"/>
      <c r="G592" s="55">
        <v>12000</v>
      </c>
      <c r="H592" s="389"/>
      <c r="I592" s="597"/>
    </row>
    <row r="593" spans="1:9" ht="62.25" customHeight="1">
      <c r="A593" s="234"/>
      <c r="B593" s="75"/>
      <c r="C593" s="16">
        <v>6230</v>
      </c>
      <c r="D593" s="274" t="s">
        <v>660</v>
      </c>
      <c r="E593" s="55">
        <v>30000</v>
      </c>
      <c r="F593" s="94"/>
      <c r="G593" s="55">
        <v>30000</v>
      </c>
      <c r="H593" s="389"/>
      <c r="I593" s="597"/>
    </row>
    <row r="594" spans="1:9" ht="21.75" customHeight="1">
      <c r="A594" s="127"/>
      <c r="B594" s="85">
        <v>90003</v>
      </c>
      <c r="C594" s="25"/>
      <c r="D594" s="277" t="s">
        <v>417</v>
      </c>
      <c r="E594" s="104">
        <f>SUM(E595:E596)</f>
        <v>1230000</v>
      </c>
      <c r="F594" s="94"/>
      <c r="G594" s="104">
        <f>SUM(G595:G596)</f>
        <v>1235473</v>
      </c>
      <c r="H594" s="389"/>
      <c r="I594" s="330">
        <f>G594/E594*100</f>
        <v>100.4449593495935</v>
      </c>
    </row>
    <row r="595" spans="1:9" ht="21.75" customHeight="1">
      <c r="A595" s="127"/>
      <c r="B595" s="86"/>
      <c r="C595" s="14">
        <v>4210</v>
      </c>
      <c r="D595" s="274" t="s">
        <v>411</v>
      </c>
      <c r="E595" s="100">
        <v>30000</v>
      </c>
      <c r="F595" s="94"/>
      <c r="G595" s="100">
        <v>24862.92</v>
      </c>
      <c r="H595" s="389"/>
      <c r="I595" s="597"/>
    </row>
    <row r="596" spans="1:9" ht="20.25" customHeight="1">
      <c r="A596" s="126"/>
      <c r="B596" s="98"/>
      <c r="C596" s="3">
        <v>4300</v>
      </c>
      <c r="D596" s="272" t="s">
        <v>408</v>
      </c>
      <c r="E596" s="100">
        <v>1200000</v>
      </c>
      <c r="F596" s="94"/>
      <c r="G596" s="100">
        <v>1210610.08</v>
      </c>
      <c r="H596" s="389"/>
      <c r="I596" s="597"/>
    </row>
    <row r="597" spans="1:25" s="138" customFormat="1" ht="21.75" customHeight="1">
      <c r="A597" s="50"/>
      <c r="B597" s="25">
        <v>90004</v>
      </c>
      <c r="C597" s="25"/>
      <c r="D597" s="277" t="s">
        <v>600</v>
      </c>
      <c r="E597" s="189">
        <f>SUM(E598:E601)</f>
        <v>2531000</v>
      </c>
      <c r="F597" s="112"/>
      <c r="G597" s="189">
        <f>SUM(G598:G601)</f>
        <v>1522707</v>
      </c>
      <c r="H597" s="1069"/>
      <c r="I597" s="330">
        <f>G597/E597*100</f>
        <v>60.162267878308974</v>
      </c>
      <c r="J597" s="242"/>
      <c r="K597" s="242"/>
      <c r="L597" s="251"/>
      <c r="M597" s="242"/>
      <c r="N597" s="242"/>
      <c r="O597" s="242"/>
      <c r="P597" s="242"/>
      <c r="Q597" s="242"/>
      <c r="R597" s="242"/>
      <c r="S597" s="242"/>
      <c r="T597" s="241"/>
      <c r="U597" s="241"/>
      <c r="V597" s="241"/>
      <c r="W597" s="241"/>
      <c r="X597" s="241"/>
      <c r="Y597" s="241"/>
    </row>
    <row r="598" spans="1:9" ht="20.25" customHeight="1">
      <c r="A598" s="126"/>
      <c r="B598" s="98"/>
      <c r="C598" s="3">
        <v>3050</v>
      </c>
      <c r="D598" s="272" t="s">
        <v>713</v>
      </c>
      <c r="E598" s="100">
        <v>6000</v>
      </c>
      <c r="F598" s="94"/>
      <c r="G598" s="100">
        <v>6000</v>
      </c>
      <c r="H598" s="389"/>
      <c r="I598" s="597"/>
    </row>
    <row r="599" spans="1:9" ht="20.25" customHeight="1">
      <c r="A599" s="126"/>
      <c r="B599" s="98"/>
      <c r="C599" s="14">
        <v>4210</v>
      </c>
      <c r="D599" s="274" t="s">
        <v>411</v>
      </c>
      <c r="E599" s="100">
        <v>40000</v>
      </c>
      <c r="F599" s="94"/>
      <c r="G599" s="100"/>
      <c r="H599" s="389"/>
      <c r="I599" s="597"/>
    </row>
    <row r="600" spans="1:9" ht="20.25" customHeight="1">
      <c r="A600" s="126"/>
      <c r="B600" s="98"/>
      <c r="C600" s="3">
        <v>4300</v>
      </c>
      <c r="D600" s="272" t="s">
        <v>408</v>
      </c>
      <c r="E600" s="100">
        <v>2460000</v>
      </c>
      <c r="F600" s="94"/>
      <c r="G600" s="100">
        <v>1516707</v>
      </c>
      <c r="H600" s="389"/>
      <c r="I600" s="597"/>
    </row>
    <row r="601" spans="1:9" ht="20.25" customHeight="1">
      <c r="A601" s="126"/>
      <c r="B601" s="98"/>
      <c r="C601" s="3">
        <v>6050</v>
      </c>
      <c r="D601" s="272" t="s">
        <v>470</v>
      </c>
      <c r="E601" s="101">
        <v>25000</v>
      </c>
      <c r="F601" s="94"/>
      <c r="G601" s="101">
        <v>0</v>
      </c>
      <c r="H601" s="389"/>
      <c r="I601" s="597"/>
    </row>
    <row r="602" spans="1:9" ht="21.75" customHeight="1">
      <c r="A602" s="127"/>
      <c r="B602" s="83">
        <v>90013</v>
      </c>
      <c r="C602" s="25"/>
      <c r="D602" s="277" t="s">
        <v>418</v>
      </c>
      <c r="E602" s="41">
        <f>SUM(E603:E604)</f>
        <v>310000</v>
      </c>
      <c r="F602" s="94"/>
      <c r="G602" s="41">
        <f>SUM(G603:G604)</f>
        <v>278000</v>
      </c>
      <c r="H602" s="389"/>
      <c r="I602" s="330">
        <f>G602/E602*100</f>
        <v>89.6774193548387</v>
      </c>
    </row>
    <row r="603" spans="1:9" ht="74.25" customHeight="1">
      <c r="A603" s="126"/>
      <c r="B603" s="98"/>
      <c r="C603" s="3">
        <v>2360</v>
      </c>
      <c r="D603" s="272" t="s">
        <v>633</v>
      </c>
      <c r="E603" s="160">
        <v>270000</v>
      </c>
      <c r="F603" s="94"/>
      <c r="G603" s="160">
        <v>271000</v>
      </c>
      <c r="H603" s="389"/>
      <c r="I603" s="597"/>
    </row>
    <row r="604" spans="1:9" ht="21" customHeight="1">
      <c r="A604" s="126"/>
      <c r="B604" s="98"/>
      <c r="C604" s="3">
        <v>4300</v>
      </c>
      <c r="D604" s="272" t="s">
        <v>408</v>
      </c>
      <c r="E604" s="55">
        <v>40000</v>
      </c>
      <c r="F604" s="94"/>
      <c r="G604" s="55">
        <v>7000</v>
      </c>
      <c r="H604" s="389"/>
      <c r="I604" s="597"/>
    </row>
    <row r="605" spans="1:10" ht="24" customHeight="1">
      <c r="A605" s="127"/>
      <c r="B605" s="83">
        <v>90015</v>
      </c>
      <c r="C605" s="25"/>
      <c r="D605" s="277" t="s">
        <v>653</v>
      </c>
      <c r="E605" s="104">
        <f>SUM(E606:E609)</f>
        <v>6243446.79</v>
      </c>
      <c r="F605" s="94"/>
      <c r="G605" s="104">
        <f>SUM(G606:G609)</f>
        <v>8520918.78</v>
      </c>
      <c r="H605" s="389"/>
      <c r="I605" s="330">
        <f>G605/E605*100</f>
        <v>136.4777993086732</v>
      </c>
      <c r="J605" s="243"/>
    </row>
    <row r="606" spans="1:9" ht="18" customHeight="1">
      <c r="A606" s="127"/>
      <c r="B606" s="86"/>
      <c r="C606" s="3">
        <v>4210</v>
      </c>
      <c r="D606" s="272" t="s">
        <v>411</v>
      </c>
      <c r="E606" s="100">
        <v>3000</v>
      </c>
      <c r="F606" s="94"/>
      <c r="G606" s="100">
        <v>3000</v>
      </c>
      <c r="H606" s="389"/>
      <c r="I606" s="597"/>
    </row>
    <row r="607" spans="1:9" ht="17.25" customHeight="1">
      <c r="A607" s="126"/>
      <c r="B607" s="98"/>
      <c r="C607" s="3">
        <v>4260</v>
      </c>
      <c r="D607" s="272" t="s">
        <v>511</v>
      </c>
      <c r="E607" s="100">
        <v>3580719</v>
      </c>
      <c r="F607" s="94"/>
      <c r="G607" s="100">
        <v>3106000</v>
      </c>
      <c r="H607" s="389"/>
      <c r="I607" s="597"/>
    </row>
    <row r="608" spans="1:9" ht="17.25" customHeight="1">
      <c r="A608" s="126"/>
      <c r="B608" s="98"/>
      <c r="C608" s="3">
        <v>4300</v>
      </c>
      <c r="D608" s="272" t="s">
        <v>408</v>
      </c>
      <c r="E608" s="55">
        <v>1554509</v>
      </c>
      <c r="F608" s="94"/>
      <c r="G608" s="55">
        <v>1650000</v>
      </c>
      <c r="H608" s="389"/>
      <c r="I608" s="597"/>
    </row>
    <row r="609" spans="1:9" ht="27.75" customHeight="1">
      <c r="A609" s="126"/>
      <c r="B609" s="98"/>
      <c r="C609" s="3">
        <v>6050</v>
      </c>
      <c r="D609" s="272" t="s">
        <v>470</v>
      </c>
      <c r="E609" s="79">
        <v>1105218.79</v>
      </c>
      <c r="F609" s="94"/>
      <c r="G609" s="79">
        <f>3760327+1591.78</f>
        <v>3761918.78</v>
      </c>
      <c r="H609" s="389"/>
      <c r="I609" s="597"/>
    </row>
    <row r="610" spans="1:13" ht="24.75" customHeight="1">
      <c r="A610" s="127"/>
      <c r="B610" s="49">
        <v>90095</v>
      </c>
      <c r="C610" s="25"/>
      <c r="D610" s="277" t="s">
        <v>654</v>
      </c>
      <c r="E610" s="104">
        <f>SUM(E611:E625)</f>
        <v>3693219.95</v>
      </c>
      <c r="F610" s="94"/>
      <c r="G610" s="104">
        <f>SUM(G611:G625)</f>
        <v>12336912.17</v>
      </c>
      <c r="H610" s="389"/>
      <c r="I610" s="330">
        <f>G610/E610*100</f>
        <v>334.04217287410677</v>
      </c>
      <c r="J610" s="230"/>
      <c r="K610" s="230"/>
      <c r="L610" s="248"/>
      <c r="M610" s="230"/>
    </row>
    <row r="611" spans="1:9" ht="51" customHeight="1">
      <c r="A611" s="129"/>
      <c r="B611" s="84"/>
      <c r="C611" s="9">
        <v>2900</v>
      </c>
      <c r="D611" s="272" t="s">
        <v>655</v>
      </c>
      <c r="E611" s="100">
        <v>187000</v>
      </c>
      <c r="F611" s="94"/>
      <c r="G611" s="100">
        <v>187000</v>
      </c>
      <c r="H611" s="389"/>
      <c r="I611" s="597"/>
    </row>
    <row r="612" spans="1:9" ht="19.5" customHeight="1">
      <c r="A612" s="129"/>
      <c r="B612" s="89"/>
      <c r="C612" s="3">
        <v>4170</v>
      </c>
      <c r="D612" s="272" t="s">
        <v>503</v>
      </c>
      <c r="E612" s="100">
        <v>8950</v>
      </c>
      <c r="F612" s="94"/>
      <c r="G612" s="100">
        <v>4000</v>
      </c>
      <c r="H612" s="389"/>
      <c r="I612" s="597"/>
    </row>
    <row r="613" spans="1:9" ht="17.25" customHeight="1">
      <c r="A613" s="129"/>
      <c r="B613" s="89"/>
      <c r="C613" s="9">
        <v>4210</v>
      </c>
      <c r="D613" s="272" t="s">
        <v>411</v>
      </c>
      <c r="E613" s="55">
        <v>41500</v>
      </c>
      <c r="F613" s="94"/>
      <c r="G613" s="55">
        <f>25000+4000+14500</f>
        <v>43500</v>
      </c>
      <c r="H613" s="389"/>
      <c r="I613" s="597"/>
    </row>
    <row r="614" spans="1:9" ht="27" customHeight="1">
      <c r="A614" s="129"/>
      <c r="B614" s="89"/>
      <c r="C614" s="9">
        <v>4240</v>
      </c>
      <c r="D614" s="272" t="s">
        <v>97</v>
      </c>
      <c r="E614" s="55">
        <v>12000</v>
      </c>
      <c r="F614" s="94"/>
      <c r="G614" s="55">
        <v>1000</v>
      </c>
      <c r="H614" s="389"/>
      <c r="I614" s="597"/>
    </row>
    <row r="615" spans="1:9" ht="18" customHeight="1">
      <c r="A615" s="129"/>
      <c r="B615" s="89"/>
      <c r="C615" s="9">
        <v>4260</v>
      </c>
      <c r="D615" s="272" t="s">
        <v>511</v>
      </c>
      <c r="E615" s="55">
        <v>223540</v>
      </c>
      <c r="F615" s="94"/>
      <c r="G615" s="55">
        <v>190000</v>
      </c>
      <c r="H615" s="389"/>
      <c r="I615" s="597"/>
    </row>
    <row r="616" spans="1:9" ht="18.75" customHeight="1">
      <c r="A616" s="129"/>
      <c r="B616" s="89"/>
      <c r="C616" s="9">
        <v>4270</v>
      </c>
      <c r="D616" s="272" t="s">
        <v>412</v>
      </c>
      <c r="E616" s="55">
        <v>287761</v>
      </c>
      <c r="F616" s="94"/>
      <c r="G616" s="55">
        <f>330000+50000</f>
        <v>380000</v>
      </c>
      <c r="H616" s="389"/>
      <c r="I616" s="597"/>
    </row>
    <row r="617" spans="1:9" ht="17.25" customHeight="1">
      <c r="A617" s="129"/>
      <c r="B617" s="89"/>
      <c r="C617" s="9">
        <v>4300</v>
      </c>
      <c r="D617" s="272" t="s">
        <v>386</v>
      </c>
      <c r="E617" s="55">
        <v>949478</v>
      </c>
      <c r="F617" s="94"/>
      <c r="G617" s="55">
        <f>1000+199820+100000+500000+34000+5000</f>
        <v>839820</v>
      </c>
      <c r="H617" s="389"/>
      <c r="I617" s="597"/>
    </row>
    <row r="618" spans="1:9" ht="29.25" customHeight="1">
      <c r="A618" s="129"/>
      <c r="B618" s="89"/>
      <c r="C618" s="9">
        <v>4390</v>
      </c>
      <c r="D618" s="272" t="s">
        <v>154</v>
      </c>
      <c r="E618" s="55">
        <v>10000</v>
      </c>
      <c r="F618" s="94"/>
      <c r="G618" s="55">
        <v>10000</v>
      </c>
      <c r="H618" s="389"/>
      <c r="I618" s="597"/>
    </row>
    <row r="619" spans="1:9" ht="16.5" customHeight="1">
      <c r="A619" s="129"/>
      <c r="B619" s="89"/>
      <c r="C619" s="9">
        <v>4430</v>
      </c>
      <c r="D619" s="272" t="s">
        <v>387</v>
      </c>
      <c r="E619" s="55">
        <v>95000</v>
      </c>
      <c r="F619" s="94"/>
      <c r="G619" s="55">
        <f>60000+8000</f>
        <v>68000</v>
      </c>
      <c r="H619" s="389"/>
      <c r="I619" s="597"/>
    </row>
    <row r="620" spans="1:9" ht="40.5" customHeight="1">
      <c r="A620" s="129"/>
      <c r="B620" s="89"/>
      <c r="C620" s="9">
        <v>4600</v>
      </c>
      <c r="D620" s="272" t="s">
        <v>383</v>
      </c>
      <c r="E620" s="79">
        <v>47303</v>
      </c>
      <c r="F620" s="94"/>
      <c r="G620" s="79">
        <v>0</v>
      </c>
      <c r="H620" s="389"/>
      <c r="I620" s="597"/>
    </row>
    <row r="621" spans="1:9" ht="66" customHeight="1">
      <c r="A621" s="129"/>
      <c r="B621" s="89"/>
      <c r="C621" s="16">
        <v>6010</v>
      </c>
      <c r="D621" s="274" t="s">
        <v>444</v>
      </c>
      <c r="E621" s="79">
        <v>450777.95</v>
      </c>
      <c r="F621" s="94"/>
      <c r="G621" s="79">
        <f>328000+270620-88150</f>
        <v>510470</v>
      </c>
      <c r="H621" s="389"/>
      <c r="I621" s="597"/>
    </row>
    <row r="622" spans="1:9" ht="26.25" customHeight="1">
      <c r="A622" s="129"/>
      <c r="B622" s="89"/>
      <c r="C622" s="16">
        <v>6050</v>
      </c>
      <c r="D622" s="274" t="s">
        <v>470</v>
      </c>
      <c r="E622" s="79">
        <v>306300</v>
      </c>
      <c r="F622" s="94"/>
      <c r="G622" s="79">
        <f>200000+500000</f>
        <v>700000</v>
      </c>
      <c r="H622" s="389"/>
      <c r="I622" s="597"/>
    </row>
    <row r="623" spans="2:25" s="254" customFormat="1" ht="32.25" customHeight="1">
      <c r="B623" s="269"/>
      <c r="C623" s="3">
        <v>6057</v>
      </c>
      <c r="D623" s="274" t="s">
        <v>470</v>
      </c>
      <c r="E623" s="55">
        <v>530068.5</v>
      </c>
      <c r="F623" s="584"/>
      <c r="G623" s="55">
        <v>7482653.84</v>
      </c>
      <c r="H623" s="283"/>
      <c r="I623" s="597"/>
      <c r="J623" s="283"/>
      <c r="K623" s="283"/>
      <c r="L623" s="283"/>
      <c r="M623" s="58"/>
      <c r="N623" s="283"/>
      <c r="O623" s="283"/>
      <c r="P623" s="283"/>
      <c r="Q623" s="283"/>
      <c r="R623" s="283"/>
      <c r="S623" s="283"/>
      <c r="T623" s="283"/>
      <c r="U623" s="283"/>
      <c r="V623" s="283"/>
      <c r="W623" s="283"/>
      <c r="X623" s="283"/>
      <c r="Y623" s="283"/>
    </row>
    <row r="624" spans="1:9" ht="27" customHeight="1">
      <c r="A624" s="129"/>
      <c r="B624" s="89"/>
      <c r="C624" s="16">
        <v>6059</v>
      </c>
      <c r="D624" s="274" t="s">
        <v>470</v>
      </c>
      <c r="E624" s="79">
        <v>93541.5</v>
      </c>
      <c r="F624" s="94"/>
      <c r="G624" s="79">
        <v>1320468.33</v>
      </c>
      <c r="H624" s="389"/>
      <c r="I624" s="597"/>
    </row>
    <row r="625" spans="1:9" ht="61.5" customHeight="1">
      <c r="A625" s="129"/>
      <c r="B625" s="97"/>
      <c r="C625" s="16">
        <v>6230</v>
      </c>
      <c r="D625" s="274" t="s">
        <v>660</v>
      </c>
      <c r="E625" s="79">
        <v>450000</v>
      </c>
      <c r="F625" s="94"/>
      <c r="G625" s="79">
        <v>600000</v>
      </c>
      <c r="H625" s="389"/>
      <c r="I625" s="597"/>
    </row>
    <row r="626" spans="1:9" ht="27" customHeight="1">
      <c r="A626" s="65">
        <v>921</v>
      </c>
      <c r="B626" s="62"/>
      <c r="C626" s="11"/>
      <c r="D626" s="276" t="s">
        <v>656</v>
      </c>
      <c r="E626" s="36">
        <f>E627+E631+E633</f>
        <v>5726370</v>
      </c>
      <c r="F626" s="110"/>
      <c r="G626" s="36">
        <f>G627+G631+G633</f>
        <v>6458130</v>
      </c>
      <c r="H626" s="1068"/>
      <c r="I626" s="330">
        <f>G626/E626*100</f>
        <v>112.77877608327789</v>
      </c>
    </row>
    <row r="627" spans="1:9" ht="21.75" customHeight="1">
      <c r="A627" s="130"/>
      <c r="B627" s="83">
        <v>92109</v>
      </c>
      <c r="C627" s="25"/>
      <c r="D627" s="277" t="s">
        <v>389</v>
      </c>
      <c r="E627" s="104">
        <f>SUM(E628:E630)</f>
        <v>4951370</v>
      </c>
      <c r="F627" s="110"/>
      <c r="G627" s="104">
        <f>SUM(G628:G630)</f>
        <v>6140930</v>
      </c>
      <c r="H627" s="1068"/>
      <c r="I627" s="330">
        <f>G627/E627*100</f>
        <v>124.02486584521051</v>
      </c>
    </row>
    <row r="628" spans="1:9" ht="26.25" customHeight="1">
      <c r="A628" s="126"/>
      <c r="B628" s="98"/>
      <c r="C628" s="3">
        <v>2480</v>
      </c>
      <c r="D628" s="272" t="s">
        <v>662</v>
      </c>
      <c r="E628" s="55">
        <v>4915300</v>
      </c>
      <c r="F628" s="94"/>
      <c r="G628" s="55">
        <f>3472000+1240000</f>
        <v>4712000</v>
      </c>
      <c r="H628" s="389"/>
      <c r="I628" s="597"/>
    </row>
    <row r="629" spans="1:9" ht="31.5" customHeight="1">
      <c r="A629" s="126"/>
      <c r="B629" s="98"/>
      <c r="C629" s="3">
        <v>6050</v>
      </c>
      <c r="D629" s="274" t="s">
        <v>470</v>
      </c>
      <c r="E629" s="55">
        <v>11070</v>
      </c>
      <c r="F629" s="94"/>
      <c r="G629" s="55">
        <f>328930+1100000</f>
        <v>1428930</v>
      </c>
      <c r="H629" s="389"/>
      <c r="I629" s="597"/>
    </row>
    <row r="630" spans="1:9" ht="69.75" customHeight="1">
      <c r="A630" s="126"/>
      <c r="B630" s="98"/>
      <c r="C630" s="3">
        <v>6220</v>
      </c>
      <c r="D630" s="31" t="s">
        <v>388</v>
      </c>
      <c r="E630" s="55">
        <v>25000</v>
      </c>
      <c r="F630" s="94"/>
      <c r="G630" s="55">
        <v>0</v>
      </c>
      <c r="H630" s="389"/>
      <c r="I630" s="597"/>
    </row>
    <row r="631" spans="1:9" ht="23.25" customHeight="1">
      <c r="A631" s="126"/>
      <c r="B631" s="49">
        <v>92120</v>
      </c>
      <c r="C631" s="25"/>
      <c r="D631" s="277" t="s">
        <v>663</v>
      </c>
      <c r="E631" s="104">
        <f>SUM(E632:E632)</f>
        <v>145000</v>
      </c>
      <c r="F631" s="94"/>
      <c r="G631" s="104">
        <f>SUM(G632:G632)</f>
        <v>50000</v>
      </c>
      <c r="H631" s="389"/>
      <c r="I631" s="330">
        <f>G631/E631*100</f>
        <v>34.48275862068966</v>
      </c>
    </row>
    <row r="632" spans="1:9" ht="61.5" customHeight="1">
      <c r="A632" s="129"/>
      <c r="B632" s="84"/>
      <c r="C632" s="3">
        <v>2720</v>
      </c>
      <c r="D632" s="272" t="s">
        <v>140</v>
      </c>
      <c r="E632" s="55">
        <v>145000</v>
      </c>
      <c r="F632" s="94"/>
      <c r="G632" s="55">
        <v>50000</v>
      </c>
      <c r="H632" s="389"/>
      <c r="I632" s="597"/>
    </row>
    <row r="633" spans="1:9" ht="21" customHeight="1">
      <c r="A633" s="127"/>
      <c r="B633" s="49">
        <v>92195</v>
      </c>
      <c r="C633" s="25"/>
      <c r="D633" s="277" t="s">
        <v>143</v>
      </c>
      <c r="E633" s="29">
        <f>SUM(E634:E637)</f>
        <v>630000</v>
      </c>
      <c r="F633" s="94"/>
      <c r="G633" s="29">
        <f>SUM(G634:G637)</f>
        <v>267200</v>
      </c>
      <c r="H633" s="389"/>
      <c r="I633" s="330">
        <f>G633/E633*100</f>
        <v>42.41269841269841</v>
      </c>
    </row>
    <row r="634" spans="1:9" ht="72.75" customHeight="1">
      <c r="A634" s="131"/>
      <c r="B634" s="116"/>
      <c r="C634" s="3">
        <v>2360</v>
      </c>
      <c r="D634" s="272" t="s">
        <v>633</v>
      </c>
      <c r="E634" s="55">
        <v>28000</v>
      </c>
      <c r="F634" s="94"/>
      <c r="G634" s="55">
        <v>73000</v>
      </c>
      <c r="H634" s="389"/>
      <c r="I634" s="597"/>
    </row>
    <row r="635" spans="1:9" ht="27" customHeight="1">
      <c r="A635" s="129"/>
      <c r="B635" s="89"/>
      <c r="C635" s="9">
        <v>3040</v>
      </c>
      <c r="D635" s="272" t="s">
        <v>545</v>
      </c>
      <c r="E635" s="55">
        <v>25000</v>
      </c>
      <c r="F635" s="94"/>
      <c r="G635" s="55">
        <v>25000</v>
      </c>
      <c r="H635" s="389"/>
      <c r="I635" s="597"/>
    </row>
    <row r="636" spans="1:9" ht="17.25" customHeight="1">
      <c r="A636" s="129"/>
      <c r="B636" s="89"/>
      <c r="C636" s="9">
        <v>4210</v>
      </c>
      <c r="D636" s="272" t="s">
        <v>411</v>
      </c>
      <c r="E636" s="55">
        <v>5000</v>
      </c>
      <c r="F636" s="94"/>
      <c r="G636" s="55">
        <v>5000</v>
      </c>
      <c r="H636" s="389"/>
      <c r="I636" s="597"/>
    </row>
    <row r="637" spans="1:9" ht="20.25" customHeight="1">
      <c r="A637" s="129"/>
      <c r="B637" s="89"/>
      <c r="C637" s="16">
        <v>4300</v>
      </c>
      <c r="D637" s="272" t="s">
        <v>408</v>
      </c>
      <c r="E637" s="79">
        <v>572000</v>
      </c>
      <c r="F637" s="94"/>
      <c r="G637" s="79">
        <f>314200-150000</f>
        <v>164200</v>
      </c>
      <c r="H637" s="389"/>
      <c r="I637" s="597"/>
    </row>
    <row r="638" spans="1:9" ht="25.5" customHeight="1">
      <c r="A638" s="65">
        <v>926</v>
      </c>
      <c r="B638" s="62"/>
      <c r="C638" s="11"/>
      <c r="D638" s="276" t="s">
        <v>6</v>
      </c>
      <c r="E638" s="36">
        <f>E639+E641+E669</f>
        <v>11374156.5</v>
      </c>
      <c r="F638" s="114"/>
      <c r="G638" s="36">
        <f>G639+G641+G669</f>
        <v>10487800</v>
      </c>
      <c r="H638" s="144"/>
      <c r="I638" s="330">
        <f>G638/E638*100</f>
        <v>92.20727708467876</v>
      </c>
    </row>
    <row r="639" spans="1:9" ht="25.5" customHeight="1">
      <c r="A639" s="71"/>
      <c r="B639" s="25">
        <v>92601</v>
      </c>
      <c r="C639" s="25"/>
      <c r="D639" s="277" t="s">
        <v>670</v>
      </c>
      <c r="E639" s="104">
        <f>E640</f>
        <v>49300</v>
      </c>
      <c r="F639" s="110"/>
      <c r="G639" s="104">
        <f>G640</f>
        <v>0</v>
      </c>
      <c r="H639" s="1068"/>
      <c r="I639" s="597"/>
    </row>
    <row r="640" spans="1:9" ht="22.5" customHeight="1">
      <c r="A640" s="132"/>
      <c r="B640" s="2"/>
      <c r="C640" s="9">
        <v>6050</v>
      </c>
      <c r="D640" s="272" t="s">
        <v>470</v>
      </c>
      <c r="E640" s="79">
        <v>49300</v>
      </c>
      <c r="F640" s="94"/>
      <c r="G640" s="79">
        <v>0</v>
      </c>
      <c r="H640" s="389"/>
      <c r="I640" s="597"/>
    </row>
    <row r="641" spans="1:9" ht="25.5" customHeight="1">
      <c r="A641" s="71"/>
      <c r="B641" s="39">
        <v>92604</v>
      </c>
      <c r="C641" s="25"/>
      <c r="D641" s="277" t="s">
        <v>637</v>
      </c>
      <c r="E641" s="104">
        <f>SUM(E642:E668)</f>
        <v>9262356.5</v>
      </c>
      <c r="F641" s="94"/>
      <c r="G641" s="104">
        <f>SUM(G642:G668)</f>
        <v>8350000</v>
      </c>
      <c r="H641" s="389"/>
      <c r="I641" s="330">
        <f>G641/E641*100</f>
        <v>90.14984469664928</v>
      </c>
    </row>
    <row r="642" spans="1:9" ht="24" customHeight="1">
      <c r="A642" s="71"/>
      <c r="B642" s="10"/>
      <c r="C642" s="3">
        <v>3020</v>
      </c>
      <c r="D642" s="272" t="s">
        <v>712</v>
      </c>
      <c r="E642" s="100">
        <v>38800</v>
      </c>
      <c r="F642" s="94"/>
      <c r="G642" s="100">
        <v>38800</v>
      </c>
      <c r="H642" s="389"/>
      <c r="I642" s="597"/>
    </row>
    <row r="643" spans="1:9" ht="24" customHeight="1">
      <c r="A643" s="71"/>
      <c r="B643" s="10"/>
      <c r="C643" s="3">
        <v>3040</v>
      </c>
      <c r="D643" s="272" t="s">
        <v>545</v>
      </c>
      <c r="E643" s="100">
        <v>3300</v>
      </c>
      <c r="F643" s="94"/>
      <c r="G643" s="100">
        <v>0</v>
      </c>
      <c r="H643" s="389"/>
      <c r="I643" s="597"/>
    </row>
    <row r="644" spans="1:9" ht="18.75" customHeight="1">
      <c r="A644" s="71"/>
      <c r="B644" s="10"/>
      <c r="C644" s="3">
        <v>4010</v>
      </c>
      <c r="D644" s="272" t="s">
        <v>451</v>
      </c>
      <c r="E644" s="55">
        <v>3576000</v>
      </c>
      <c r="F644" s="94"/>
      <c r="G644" s="55">
        <v>3711600</v>
      </c>
      <c r="H644" s="389"/>
      <c r="I644" s="597"/>
    </row>
    <row r="645" spans="1:9" ht="15" customHeight="1">
      <c r="A645" s="71"/>
      <c r="B645" s="10"/>
      <c r="C645" s="3">
        <v>4040</v>
      </c>
      <c r="D645" s="272" t="s">
        <v>452</v>
      </c>
      <c r="E645" s="55">
        <v>230615</v>
      </c>
      <c r="F645" s="94"/>
      <c r="G645" s="55">
        <v>271700</v>
      </c>
      <c r="H645" s="389"/>
      <c r="I645" s="597"/>
    </row>
    <row r="646" spans="1:9" ht="15" customHeight="1">
      <c r="A646" s="71"/>
      <c r="B646" s="10"/>
      <c r="C646" s="3">
        <v>4110</v>
      </c>
      <c r="D646" s="272" t="s">
        <v>496</v>
      </c>
      <c r="E646" s="55">
        <v>683000</v>
      </c>
      <c r="F646" s="94"/>
      <c r="G646" s="55">
        <v>690500</v>
      </c>
      <c r="H646" s="389"/>
      <c r="I646" s="597"/>
    </row>
    <row r="647" spans="1:9" ht="15" customHeight="1">
      <c r="A647" s="71"/>
      <c r="B647" s="10"/>
      <c r="C647" s="3">
        <v>4120</v>
      </c>
      <c r="D647" s="272" t="s">
        <v>497</v>
      </c>
      <c r="E647" s="55">
        <v>97000</v>
      </c>
      <c r="F647" s="94"/>
      <c r="G647" s="55">
        <v>98500</v>
      </c>
      <c r="H647" s="389"/>
      <c r="I647" s="597"/>
    </row>
    <row r="648" spans="1:9" ht="25.5" customHeight="1">
      <c r="A648" s="71"/>
      <c r="B648" s="10"/>
      <c r="C648" s="14">
        <v>4140</v>
      </c>
      <c r="D648" s="272" t="s">
        <v>96</v>
      </c>
      <c r="E648" s="55">
        <v>57100</v>
      </c>
      <c r="F648" s="94"/>
      <c r="G648" s="55">
        <v>60000</v>
      </c>
      <c r="H648" s="389"/>
      <c r="I648" s="597"/>
    </row>
    <row r="649" spans="1:9" ht="15" customHeight="1">
      <c r="A649" s="71"/>
      <c r="B649" s="10"/>
      <c r="C649" s="3">
        <v>4170</v>
      </c>
      <c r="D649" s="272" t="s">
        <v>503</v>
      </c>
      <c r="E649" s="55">
        <v>718000</v>
      </c>
      <c r="F649" s="94"/>
      <c r="G649" s="55">
        <v>542200</v>
      </c>
      <c r="H649" s="389"/>
      <c r="I649" s="597"/>
    </row>
    <row r="650" spans="1:9" ht="15" customHeight="1">
      <c r="A650" s="71"/>
      <c r="B650" s="10"/>
      <c r="C650" s="14">
        <v>4210</v>
      </c>
      <c r="D650" s="274" t="s">
        <v>411</v>
      </c>
      <c r="E650" s="55">
        <v>452035</v>
      </c>
      <c r="F650" s="94"/>
      <c r="G650" s="55">
        <v>305300</v>
      </c>
      <c r="H650" s="389"/>
      <c r="I650" s="597"/>
    </row>
    <row r="651" spans="1:9" ht="15" customHeight="1">
      <c r="A651" s="71"/>
      <c r="B651" s="10"/>
      <c r="C651" s="3">
        <v>4260</v>
      </c>
      <c r="D651" s="272" t="s">
        <v>511</v>
      </c>
      <c r="E651" s="55">
        <v>1478750</v>
      </c>
      <c r="F651" s="94"/>
      <c r="G651" s="55">
        <v>1330300</v>
      </c>
      <c r="H651" s="389"/>
      <c r="I651" s="597"/>
    </row>
    <row r="652" spans="1:9" ht="15" customHeight="1">
      <c r="A652" s="71"/>
      <c r="B652" s="10"/>
      <c r="C652" s="3">
        <v>4270</v>
      </c>
      <c r="D652" s="272" t="s">
        <v>412</v>
      </c>
      <c r="E652" s="55">
        <v>307150</v>
      </c>
      <c r="F652" s="94"/>
      <c r="G652" s="55">
        <v>100000</v>
      </c>
      <c r="H652" s="389"/>
      <c r="I652" s="597"/>
    </row>
    <row r="653" spans="1:9" ht="15" customHeight="1">
      <c r="A653" s="71"/>
      <c r="B653" s="10"/>
      <c r="C653" s="3">
        <v>4280</v>
      </c>
      <c r="D653" s="272" t="s">
        <v>714</v>
      </c>
      <c r="E653" s="55">
        <v>6100</v>
      </c>
      <c r="F653" s="94"/>
      <c r="G653" s="55">
        <v>6100</v>
      </c>
      <c r="H653" s="389"/>
      <c r="I653" s="597"/>
    </row>
    <row r="654" spans="1:9" ht="15" customHeight="1">
      <c r="A654" s="71"/>
      <c r="B654" s="10"/>
      <c r="C654" s="3">
        <v>4300</v>
      </c>
      <c r="D654" s="272" t="s">
        <v>408</v>
      </c>
      <c r="E654" s="55">
        <v>840006.5</v>
      </c>
      <c r="F654" s="94"/>
      <c r="G654" s="55">
        <v>661400</v>
      </c>
      <c r="H654" s="389"/>
      <c r="I654" s="597"/>
    </row>
    <row r="655" spans="1:9" ht="15" customHeight="1">
      <c r="A655" s="71"/>
      <c r="B655" s="10"/>
      <c r="C655" s="3">
        <v>4350</v>
      </c>
      <c r="D655" s="272" t="s">
        <v>506</v>
      </c>
      <c r="E655" s="55">
        <v>4300</v>
      </c>
      <c r="F655" s="94"/>
      <c r="G655" s="55">
        <v>4300</v>
      </c>
      <c r="H655" s="389"/>
      <c r="I655" s="597"/>
    </row>
    <row r="656" spans="1:9" ht="39" customHeight="1">
      <c r="A656" s="71"/>
      <c r="B656" s="10"/>
      <c r="C656" s="3">
        <v>4360</v>
      </c>
      <c r="D656" s="272" t="s">
        <v>4</v>
      </c>
      <c r="E656" s="55">
        <v>10200</v>
      </c>
      <c r="F656" s="94"/>
      <c r="G656" s="55">
        <v>10200</v>
      </c>
      <c r="H656" s="389"/>
      <c r="I656" s="597"/>
    </row>
    <row r="657" spans="1:9" ht="36.75" customHeight="1">
      <c r="A657" s="71"/>
      <c r="B657" s="10"/>
      <c r="C657" s="3">
        <v>4370</v>
      </c>
      <c r="D657" s="272" t="s">
        <v>3</v>
      </c>
      <c r="E657" s="55">
        <v>16100</v>
      </c>
      <c r="F657" s="94"/>
      <c r="G657" s="55">
        <v>16100</v>
      </c>
      <c r="H657" s="389"/>
      <c r="I657" s="597"/>
    </row>
    <row r="658" spans="1:9" ht="15" customHeight="1">
      <c r="A658" s="71"/>
      <c r="B658" s="10"/>
      <c r="C658" s="3">
        <v>4410</v>
      </c>
      <c r="D658" s="272" t="s">
        <v>500</v>
      </c>
      <c r="E658" s="55">
        <v>24500</v>
      </c>
      <c r="F658" s="94"/>
      <c r="G658" s="55">
        <v>24500</v>
      </c>
      <c r="H658" s="389"/>
      <c r="I658" s="597"/>
    </row>
    <row r="659" spans="1:9" ht="15" customHeight="1">
      <c r="A659" s="71"/>
      <c r="B659" s="10"/>
      <c r="C659" s="3">
        <v>4420</v>
      </c>
      <c r="D659" s="272" t="s">
        <v>501</v>
      </c>
      <c r="E659" s="55">
        <v>1000</v>
      </c>
      <c r="F659" s="94"/>
      <c r="G659" s="55">
        <v>1000</v>
      </c>
      <c r="H659" s="389"/>
      <c r="I659" s="597"/>
    </row>
    <row r="660" spans="1:9" ht="15" customHeight="1">
      <c r="A660" s="71"/>
      <c r="B660" s="10"/>
      <c r="C660" s="3">
        <v>4430</v>
      </c>
      <c r="D660" s="272" t="s">
        <v>387</v>
      </c>
      <c r="E660" s="55">
        <v>28000</v>
      </c>
      <c r="F660" s="94"/>
      <c r="G660" s="55">
        <v>28000</v>
      </c>
      <c r="H660" s="389"/>
      <c r="I660" s="597"/>
    </row>
    <row r="661" spans="1:9" ht="24.75" customHeight="1">
      <c r="A661" s="71"/>
      <c r="B661" s="10"/>
      <c r="C661" s="3">
        <v>4440</v>
      </c>
      <c r="D661" s="272" t="s">
        <v>498</v>
      </c>
      <c r="E661" s="55">
        <v>110400</v>
      </c>
      <c r="F661" s="94"/>
      <c r="G661" s="55">
        <v>116500</v>
      </c>
      <c r="H661" s="389"/>
      <c r="I661" s="597"/>
    </row>
    <row r="662" spans="1:9" ht="15" customHeight="1">
      <c r="A662" s="71"/>
      <c r="B662" s="10"/>
      <c r="C662" s="3">
        <v>4480</v>
      </c>
      <c r="D662" s="272" t="s">
        <v>351</v>
      </c>
      <c r="E662" s="55">
        <v>159600</v>
      </c>
      <c r="F662" s="94"/>
      <c r="G662" s="55">
        <v>168000</v>
      </c>
      <c r="H662" s="389"/>
      <c r="I662" s="597"/>
    </row>
    <row r="663" spans="1:9" ht="29.25" customHeight="1">
      <c r="A663" s="71"/>
      <c r="B663" s="10"/>
      <c r="C663" s="3">
        <v>4520</v>
      </c>
      <c r="D663" s="272" t="s">
        <v>373</v>
      </c>
      <c r="E663" s="55">
        <v>1000</v>
      </c>
      <c r="F663" s="94"/>
      <c r="G663" s="55">
        <v>37000</v>
      </c>
      <c r="H663" s="389"/>
      <c r="I663" s="597"/>
    </row>
    <row r="664" spans="1:9" ht="20.25" customHeight="1">
      <c r="A664" s="71"/>
      <c r="B664" s="10"/>
      <c r="C664" s="3">
        <v>4530</v>
      </c>
      <c r="D664" s="272" t="s">
        <v>636</v>
      </c>
      <c r="E664" s="55">
        <v>170000</v>
      </c>
      <c r="F664" s="94"/>
      <c r="G664" s="55">
        <v>120000</v>
      </c>
      <c r="H664" s="389"/>
      <c r="I664" s="597"/>
    </row>
    <row r="665" spans="1:9" ht="28.5" customHeight="1">
      <c r="A665" s="71"/>
      <c r="B665" s="10"/>
      <c r="C665" s="3">
        <v>4610</v>
      </c>
      <c r="D665" s="272" t="s">
        <v>482</v>
      </c>
      <c r="E665" s="55">
        <v>5000</v>
      </c>
      <c r="F665" s="94"/>
      <c r="G665" s="55">
        <v>2000</v>
      </c>
      <c r="H665" s="389"/>
      <c r="I665" s="597"/>
    </row>
    <row r="666" spans="1:9" ht="30.75" customHeight="1">
      <c r="A666" s="71"/>
      <c r="B666" s="10"/>
      <c r="C666" s="3">
        <v>4700</v>
      </c>
      <c r="D666" s="272" t="s">
        <v>374</v>
      </c>
      <c r="E666" s="55">
        <v>5000</v>
      </c>
      <c r="F666" s="94"/>
      <c r="G666" s="55">
        <v>6000</v>
      </c>
      <c r="H666" s="389"/>
      <c r="I666" s="597"/>
    </row>
    <row r="667" spans="1:9" ht="30.75" customHeight="1">
      <c r="A667" s="71"/>
      <c r="B667" s="10"/>
      <c r="C667" s="3">
        <v>6050</v>
      </c>
      <c r="D667" s="272" t="s">
        <v>470</v>
      </c>
      <c r="E667" s="55">
        <v>70000</v>
      </c>
      <c r="F667" s="94"/>
      <c r="G667" s="55">
        <v>0</v>
      </c>
      <c r="H667" s="389"/>
      <c r="I667" s="597"/>
    </row>
    <row r="668" spans="1:9" ht="28.5" customHeight="1">
      <c r="A668" s="71"/>
      <c r="B668" s="10"/>
      <c r="C668" s="3">
        <v>6060</v>
      </c>
      <c r="D668" s="272" t="s">
        <v>516</v>
      </c>
      <c r="E668" s="55">
        <v>169400</v>
      </c>
      <c r="F668" s="94"/>
      <c r="G668" s="55">
        <v>0</v>
      </c>
      <c r="H668" s="389"/>
      <c r="I668" s="597"/>
    </row>
    <row r="669" spans="1:9" ht="25.5" customHeight="1">
      <c r="A669" s="127"/>
      <c r="B669" s="117">
        <v>92695</v>
      </c>
      <c r="C669" s="25"/>
      <c r="D669" s="277" t="s">
        <v>513</v>
      </c>
      <c r="E669" s="104">
        <f>SUM(E670:E674)</f>
        <v>2062500</v>
      </c>
      <c r="F669" s="94"/>
      <c r="G669" s="104">
        <f>SUM(G670:G674)</f>
        <v>2137800</v>
      </c>
      <c r="H669" s="389"/>
      <c r="I669" s="330">
        <f>G669/E669*100</f>
        <v>103.65090909090908</v>
      </c>
    </row>
    <row r="670" spans="1:9" ht="78" customHeight="1">
      <c r="A670" s="129"/>
      <c r="B670" s="84"/>
      <c r="C670" s="3">
        <v>2360</v>
      </c>
      <c r="D670" s="272" t="s">
        <v>633</v>
      </c>
      <c r="E670" s="100">
        <v>121000</v>
      </c>
      <c r="F670" s="94"/>
      <c r="G670" s="100">
        <v>140000</v>
      </c>
      <c r="H670" s="389"/>
      <c r="I670" s="597"/>
    </row>
    <row r="671" spans="1:9" ht="42.75" customHeight="1">
      <c r="A671" s="129"/>
      <c r="B671" s="89"/>
      <c r="C671" s="3">
        <v>2820</v>
      </c>
      <c r="D671" s="272" t="s">
        <v>458</v>
      </c>
      <c r="E671" s="100">
        <v>1825000</v>
      </c>
      <c r="F671" s="94"/>
      <c r="G671" s="100">
        <f>150000+1732000</f>
        <v>1882000</v>
      </c>
      <c r="H671" s="389"/>
      <c r="I671" s="597"/>
    </row>
    <row r="672" spans="1:9" ht="30" customHeight="1">
      <c r="A672" s="129"/>
      <c r="B672" s="89"/>
      <c r="C672" s="9">
        <v>3040</v>
      </c>
      <c r="D672" s="272" t="s">
        <v>545</v>
      </c>
      <c r="E672" s="100">
        <v>40000</v>
      </c>
      <c r="F672" s="94"/>
      <c r="G672" s="100">
        <v>45000</v>
      </c>
      <c r="H672" s="389"/>
      <c r="I672" s="597"/>
    </row>
    <row r="673" spans="1:9" ht="18.75" customHeight="1">
      <c r="A673" s="129"/>
      <c r="B673" s="89"/>
      <c r="C673" s="9">
        <v>4210</v>
      </c>
      <c r="D673" s="272" t="s">
        <v>411</v>
      </c>
      <c r="E673" s="55">
        <v>52000</v>
      </c>
      <c r="F673" s="94"/>
      <c r="G673" s="55">
        <v>50000</v>
      </c>
      <c r="H673" s="389"/>
      <c r="I673" s="597"/>
    </row>
    <row r="674" spans="1:9" ht="21" customHeight="1">
      <c r="A674" s="129"/>
      <c r="B674" s="89"/>
      <c r="C674" s="16">
        <v>4300</v>
      </c>
      <c r="D674" s="274" t="s">
        <v>408</v>
      </c>
      <c r="E674" s="55">
        <v>24500</v>
      </c>
      <c r="F674" s="288"/>
      <c r="G674" s="55">
        <v>20800</v>
      </c>
      <c r="H674" s="1077"/>
      <c r="I674" s="598"/>
    </row>
    <row r="675" spans="1:15" ht="23.25" customHeight="1">
      <c r="A675" s="284" t="s">
        <v>483</v>
      </c>
      <c r="B675" s="285"/>
      <c r="C675" s="13"/>
      <c r="D675" s="319"/>
      <c r="E675" s="280">
        <f>E13+E21+E41+E65+E76+E129+E134+E137+E163+E167+E175+E326+E380+E483+E560+E589+E626+E638</f>
        <v>291269286.96</v>
      </c>
      <c r="F675" s="286">
        <f>F13+F21+F41+F65+F76+F129+F134+F137+F163+F167+F175+F326+F380+F483+F560+F589+F626+F638</f>
        <v>22151045.99</v>
      </c>
      <c r="G675" s="280">
        <f>G13+G21+G41+G65+G76+G129+G134+G137+G163+G167+G175+G326+G380+G483+G560+G589+G626+G638</f>
        <v>270115045.19</v>
      </c>
      <c r="H675" s="286">
        <f>H13+H21+H41+H65+H76+H129+H134+H137+H163+H167+H175+H326+H380+H483+H560+H589+H626+H638</f>
        <v>20108948</v>
      </c>
      <c r="I675" s="597">
        <f>G675/E675*100</f>
        <v>92.73722197393745</v>
      </c>
      <c r="J675" s="231"/>
      <c r="L675" s="252"/>
      <c r="M675" s="231"/>
      <c r="O675" s="243"/>
    </row>
    <row r="676" spans="1:15" ht="24.75" customHeight="1">
      <c r="A676" s="133" t="s">
        <v>21</v>
      </c>
      <c r="B676" s="236" t="s">
        <v>673</v>
      </c>
      <c r="C676" s="5"/>
      <c r="D676" s="278"/>
      <c r="E676" s="237"/>
      <c r="F676" s="308"/>
      <c r="G676" s="237"/>
      <c r="H676" s="308"/>
      <c r="I676" s="593"/>
      <c r="K676" s="231"/>
      <c r="L676" s="231"/>
      <c r="M676" s="231"/>
      <c r="N676" s="231"/>
      <c r="O676" s="231"/>
    </row>
    <row r="677" spans="1:9" ht="21.75" customHeight="1">
      <c r="A677" s="74">
        <v>600</v>
      </c>
      <c r="B677" s="74"/>
      <c r="C677" s="6"/>
      <c r="D677" s="317" t="s">
        <v>25</v>
      </c>
      <c r="E677" s="158">
        <f>E678</f>
        <v>19059775.15</v>
      </c>
      <c r="F677" s="94"/>
      <c r="G677" s="158">
        <f>G678</f>
        <v>14115430.8</v>
      </c>
      <c r="H677" s="94"/>
      <c r="I677" s="597">
        <f>G677/E677*100</f>
        <v>74.05874774970785</v>
      </c>
    </row>
    <row r="678" spans="1:9" ht="27" customHeight="1">
      <c r="A678" s="115"/>
      <c r="B678" s="83">
        <v>60015</v>
      </c>
      <c r="C678" s="25"/>
      <c r="D678" s="277" t="s">
        <v>484</v>
      </c>
      <c r="E678" s="29">
        <f>SUM(E679:E685)</f>
        <v>19059775.15</v>
      </c>
      <c r="F678" s="110"/>
      <c r="G678" s="29">
        <f>SUM(G679:G685)</f>
        <v>14115430.8</v>
      </c>
      <c r="H678" s="1068"/>
      <c r="I678" s="330">
        <f>G678/E678*100</f>
        <v>74.05874774970785</v>
      </c>
    </row>
    <row r="679" spans="1:9" ht="81" customHeight="1">
      <c r="A679" s="116"/>
      <c r="B679" s="86"/>
      <c r="C679" s="3">
        <v>2910</v>
      </c>
      <c r="D679" s="324" t="s">
        <v>442</v>
      </c>
      <c r="E679" s="165">
        <v>355863.42</v>
      </c>
      <c r="F679" s="94"/>
      <c r="G679" s="165">
        <v>0</v>
      </c>
      <c r="H679" s="389"/>
      <c r="I679" s="597"/>
    </row>
    <row r="680" spans="1:9" ht="15" customHeight="1">
      <c r="A680" s="116"/>
      <c r="B680" s="86"/>
      <c r="C680" s="3">
        <v>4170</v>
      </c>
      <c r="D680" s="272" t="s">
        <v>503</v>
      </c>
      <c r="E680" s="165">
        <v>15000</v>
      </c>
      <c r="F680" s="94"/>
      <c r="G680" s="165">
        <v>15000</v>
      </c>
      <c r="H680" s="389"/>
      <c r="I680" s="597"/>
    </row>
    <row r="681" spans="1:9" ht="15" customHeight="1">
      <c r="A681" s="116"/>
      <c r="B681" s="86"/>
      <c r="C681" s="3">
        <v>4270</v>
      </c>
      <c r="D681" s="272" t="s">
        <v>412</v>
      </c>
      <c r="E681" s="165">
        <v>5174270.19</v>
      </c>
      <c r="F681" s="94"/>
      <c r="G681" s="165">
        <v>3509281.88</v>
      </c>
      <c r="H681" s="389"/>
      <c r="I681" s="597"/>
    </row>
    <row r="682" spans="1:9" ht="15" customHeight="1">
      <c r="A682" s="89"/>
      <c r="B682" s="98"/>
      <c r="C682" s="3">
        <v>4300</v>
      </c>
      <c r="D682" s="272" t="s">
        <v>408</v>
      </c>
      <c r="E682" s="27">
        <v>2431559.4</v>
      </c>
      <c r="F682" s="94"/>
      <c r="G682" s="27">
        <v>1796148.92</v>
      </c>
      <c r="H682" s="389"/>
      <c r="I682" s="597"/>
    </row>
    <row r="683" spans="1:9" ht="25.5" customHeight="1">
      <c r="A683" s="89"/>
      <c r="B683" s="98"/>
      <c r="C683" s="3">
        <v>4390</v>
      </c>
      <c r="D683" s="272" t="s">
        <v>154</v>
      </c>
      <c r="E683" s="27">
        <v>30000</v>
      </c>
      <c r="F683" s="94"/>
      <c r="G683" s="27">
        <v>15000</v>
      </c>
      <c r="H683" s="389"/>
      <c r="I683" s="597"/>
    </row>
    <row r="684" spans="1:9" ht="73.5" customHeight="1">
      <c r="A684" s="89"/>
      <c r="B684" s="98"/>
      <c r="C684" s="3">
        <v>4560</v>
      </c>
      <c r="D684" s="272" t="s">
        <v>443</v>
      </c>
      <c r="E684" s="27">
        <v>41034</v>
      </c>
      <c r="F684" s="94"/>
      <c r="G684" s="27">
        <v>0</v>
      </c>
      <c r="H684" s="389"/>
      <c r="I684" s="597"/>
    </row>
    <row r="685" spans="1:9" ht="27" customHeight="1">
      <c r="A685" s="89"/>
      <c r="B685" s="98"/>
      <c r="C685" s="14">
        <v>6050</v>
      </c>
      <c r="D685" s="272" t="s">
        <v>728</v>
      </c>
      <c r="E685" s="27">
        <v>11012048.14</v>
      </c>
      <c r="F685" s="96"/>
      <c r="G685" s="27">
        <f>3700000+5000000+80000</f>
        <v>8780000</v>
      </c>
      <c r="H685" s="393"/>
      <c r="I685" s="597"/>
    </row>
    <row r="686" spans="1:9" ht="24.75" customHeight="1">
      <c r="A686" s="62">
        <v>630</v>
      </c>
      <c r="B686" s="62"/>
      <c r="C686" s="11"/>
      <c r="D686" s="276" t="s">
        <v>485</v>
      </c>
      <c r="E686" s="36">
        <f>E687+E689</f>
        <v>277000</v>
      </c>
      <c r="F686" s="94"/>
      <c r="G686" s="36">
        <f>G687+G689</f>
        <v>142000</v>
      </c>
      <c r="H686" s="389"/>
      <c r="I686" s="330">
        <f>G686/E686*100</f>
        <v>51.26353790613718</v>
      </c>
    </row>
    <row r="687" spans="1:25" s="56" customFormat="1" ht="20.25" customHeight="1">
      <c r="A687" s="107"/>
      <c r="B687" s="49">
        <v>63001</v>
      </c>
      <c r="C687" s="25"/>
      <c r="D687" s="277" t="s">
        <v>553</v>
      </c>
      <c r="E687" s="41">
        <f>E688</f>
        <v>60000</v>
      </c>
      <c r="F687" s="111"/>
      <c r="G687" s="41">
        <f>G688</f>
        <v>60000</v>
      </c>
      <c r="H687" s="1076"/>
      <c r="I687" s="330">
        <f>G687/E687*100</f>
        <v>100</v>
      </c>
      <c r="J687" s="230"/>
      <c r="K687" s="230"/>
      <c r="L687" s="248"/>
      <c r="M687" s="230"/>
      <c r="N687" s="230"/>
      <c r="O687" s="230"/>
      <c r="P687" s="230"/>
      <c r="Q687" s="230"/>
      <c r="R687" s="230"/>
      <c r="S687" s="230"/>
      <c r="T687" s="238"/>
      <c r="U687" s="238"/>
      <c r="V687" s="238"/>
      <c r="W687" s="238"/>
      <c r="X687" s="238"/>
      <c r="Y687" s="238"/>
    </row>
    <row r="688" spans="1:9" ht="72.75" customHeight="1">
      <c r="A688" s="73"/>
      <c r="B688" s="62"/>
      <c r="C688" s="3">
        <v>2360</v>
      </c>
      <c r="D688" s="272" t="s">
        <v>633</v>
      </c>
      <c r="E688" s="58">
        <f>30000+30000</f>
        <v>60000</v>
      </c>
      <c r="F688" s="94"/>
      <c r="G688" s="58">
        <v>60000</v>
      </c>
      <c r="H688" s="389"/>
      <c r="I688" s="597"/>
    </row>
    <row r="689" spans="1:9" ht="22.5" customHeight="1">
      <c r="A689" s="116"/>
      <c r="B689" s="49">
        <v>63095</v>
      </c>
      <c r="C689" s="25"/>
      <c r="D689" s="277" t="s">
        <v>143</v>
      </c>
      <c r="E689" s="29">
        <f>SUM(E690:E695)</f>
        <v>217000</v>
      </c>
      <c r="F689" s="94"/>
      <c r="G689" s="29">
        <f>SUM(G690:G695)</f>
        <v>82000</v>
      </c>
      <c r="H689" s="389"/>
      <c r="I689" s="330">
        <f>G689/E689*100</f>
        <v>37.78801843317972</v>
      </c>
    </row>
    <row r="690" spans="1:9" ht="70.5" customHeight="1">
      <c r="A690" s="116"/>
      <c r="B690" s="86"/>
      <c r="C690" s="3">
        <v>2360</v>
      </c>
      <c r="D690" s="272" t="s">
        <v>633</v>
      </c>
      <c r="E690" s="101">
        <v>30000</v>
      </c>
      <c r="F690" s="94"/>
      <c r="G690" s="101">
        <v>35000</v>
      </c>
      <c r="H690" s="389"/>
      <c r="I690" s="597"/>
    </row>
    <row r="691" spans="1:9" ht="21.75" customHeight="1">
      <c r="A691" s="89"/>
      <c r="B691" s="98"/>
      <c r="C691" s="3">
        <v>4210</v>
      </c>
      <c r="D691" s="272" t="s">
        <v>411</v>
      </c>
      <c r="E691" s="44">
        <v>2000</v>
      </c>
      <c r="F691" s="94"/>
      <c r="G691" s="44">
        <v>4000</v>
      </c>
      <c r="H691" s="389"/>
      <c r="I691" s="597"/>
    </row>
    <row r="692" spans="1:9" ht="21" customHeight="1">
      <c r="A692" s="89"/>
      <c r="B692" s="98"/>
      <c r="C692" s="3">
        <v>4260</v>
      </c>
      <c r="D692" s="272" t="s">
        <v>511</v>
      </c>
      <c r="E692" s="44">
        <v>2000</v>
      </c>
      <c r="F692" s="94"/>
      <c r="G692" s="44">
        <v>2000</v>
      </c>
      <c r="H692" s="389"/>
      <c r="I692" s="597"/>
    </row>
    <row r="693" spans="1:9" ht="18" customHeight="1">
      <c r="A693" s="89"/>
      <c r="B693" s="98"/>
      <c r="C693" s="3">
        <v>4300</v>
      </c>
      <c r="D693" s="272" t="s">
        <v>408</v>
      </c>
      <c r="E693" s="44">
        <v>23000</v>
      </c>
      <c r="F693" s="94"/>
      <c r="G693" s="44">
        <v>25000</v>
      </c>
      <c r="H693" s="389"/>
      <c r="I693" s="597"/>
    </row>
    <row r="694" spans="1:9" ht="18" customHeight="1">
      <c r="A694" s="89"/>
      <c r="B694" s="98"/>
      <c r="C694" s="3">
        <v>4309</v>
      </c>
      <c r="D694" s="272" t="s">
        <v>408</v>
      </c>
      <c r="E694" s="44">
        <v>30000</v>
      </c>
      <c r="F694" s="94"/>
      <c r="G694" s="44">
        <v>15000</v>
      </c>
      <c r="H694" s="389"/>
      <c r="I694" s="597"/>
    </row>
    <row r="695" spans="1:9" ht="28.5" customHeight="1">
      <c r="A695" s="89"/>
      <c r="B695" s="98"/>
      <c r="C695" s="14">
        <v>6050</v>
      </c>
      <c r="D695" s="272" t="s">
        <v>728</v>
      </c>
      <c r="E695" s="44">
        <v>130000</v>
      </c>
      <c r="F695" s="94"/>
      <c r="G695" s="44">
        <v>1000</v>
      </c>
      <c r="H695" s="389"/>
      <c r="I695" s="597"/>
    </row>
    <row r="696" spans="1:9" ht="20.25" customHeight="1">
      <c r="A696" s="63">
        <v>700</v>
      </c>
      <c r="B696" s="103"/>
      <c r="C696" s="11"/>
      <c r="D696" s="276" t="s">
        <v>486</v>
      </c>
      <c r="E696" s="36">
        <f>E697</f>
        <v>63990</v>
      </c>
      <c r="F696" s="170">
        <f>F697</f>
        <v>63990</v>
      </c>
      <c r="G696" s="36">
        <f>G697</f>
        <v>59000</v>
      </c>
      <c r="H696" s="1074">
        <f>H697</f>
        <v>59000</v>
      </c>
      <c r="I696" s="330">
        <f>G696/E696*100</f>
        <v>92.2019065478981</v>
      </c>
    </row>
    <row r="697" spans="1:9" ht="22.5" customHeight="1">
      <c r="A697" s="115"/>
      <c r="B697" s="83">
        <v>70005</v>
      </c>
      <c r="C697" s="25"/>
      <c r="D697" s="277" t="s">
        <v>142</v>
      </c>
      <c r="E697" s="104">
        <f>SUM(E698:E702)</f>
        <v>63990</v>
      </c>
      <c r="F697" s="104">
        <f>SUM(F698:F702)</f>
        <v>63990</v>
      </c>
      <c r="G697" s="104">
        <f>SUM(G698:G702)</f>
        <v>59000</v>
      </c>
      <c r="H697" s="29">
        <f>SUM(H698:H702)</f>
        <v>59000</v>
      </c>
      <c r="I697" s="330">
        <f>G697/E697*100</f>
        <v>92.2019065478981</v>
      </c>
    </row>
    <row r="698" spans="1:9" ht="22.5" customHeight="1">
      <c r="A698" s="116"/>
      <c r="B698" s="86"/>
      <c r="C698" s="3">
        <v>4260</v>
      </c>
      <c r="D698" s="272" t="s">
        <v>511</v>
      </c>
      <c r="E698" s="104"/>
      <c r="F698" s="104"/>
      <c r="G698" s="55">
        <v>6000</v>
      </c>
      <c r="H698" s="144">
        <v>6000</v>
      </c>
      <c r="I698" s="597"/>
    </row>
    <row r="699" spans="1:9" ht="22.5" customHeight="1">
      <c r="A699" s="116"/>
      <c r="B699" s="86"/>
      <c r="C699" s="3">
        <v>4270</v>
      </c>
      <c r="D699" s="272" t="s">
        <v>412</v>
      </c>
      <c r="E699" s="55">
        <v>28000</v>
      </c>
      <c r="F699" s="55">
        <v>28000</v>
      </c>
      <c r="G699" s="55">
        <v>0</v>
      </c>
      <c r="H699" s="144">
        <v>0</v>
      </c>
      <c r="I699" s="597"/>
    </row>
    <row r="700" spans="1:9" ht="18" customHeight="1">
      <c r="A700" s="89"/>
      <c r="B700" s="98"/>
      <c r="C700" s="3">
        <v>4300</v>
      </c>
      <c r="D700" s="272" t="s">
        <v>408</v>
      </c>
      <c r="E700" s="55">
        <v>20500</v>
      </c>
      <c r="F700" s="55">
        <v>20500</v>
      </c>
      <c r="G700" s="55">
        <v>25500</v>
      </c>
      <c r="H700" s="144">
        <v>25500</v>
      </c>
      <c r="I700" s="597"/>
    </row>
    <row r="701" spans="1:9" ht="19.5" customHeight="1">
      <c r="A701" s="89"/>
      <c r="B701" s="98"/>
      <c r="C701" s="3">
        <v>4480</v>
      </c>
      <c r="D701" s="272" t="s">
        <v>351</v>
      </c>
      <c r="E701" s="55">
        <v>5490</v>
      </c>
      <c r="F701" s="55">
        <v>5490</v>
      </c>
      <c r="G701" s="55">
        <v>12500</v>
      </c>
      <c r="H701" s="144">
        <v>12500</v>
      </c>
      <c r="I701" s="597"/>
    </row>
    <row r="702" spans="1:9" ht="26.25" customHeight="1">
      <c r="A702" s="89"/>
      <c r="B702" s="98"/>
      <c r="C702" s="3">
        <v>4610</v>
      </c>
      <c r="D702" s="272" t="s">
        <v>482</v>
      </c>
      <c r="E702" s="55">
        <v>10000</v>
      </c>
      <c r="F702" s="55">
        <v>10000</v>
      </c>
      <c r="G702" s="55">
        <v>15000</v>
      </c>
      <c r="H702" s="144">
        <v>15000</v>
      </c>
      <c r="I702" s="597"/>
    </row>
    <row r="703" spans="1:9" ht="27" customHeight="1">
      <c r="A703" s="63">
        <v>710</v>
      </c>
      <c r="B703" s="62"/>
      <c r="C703" s="11"/>
      <c r="D703" s="276" t="s">
        <v>487</v>
      </c>
      <c r="E703" s="36">
        <f>E704+E710+E712+E714</f>
        <v>830800</v>
      </c>
      <c r="F703" s="164">
        <f>F704+F710+F712+F714</f>
        <v>454400</v>
      </c>
      <c r="G703" s="36">
        <f>G704+G710+G712+G714</f>
        <v>810800</v>
      </c>
      <c r="H703" s="1079">
        <f>H704+H710+H712+H714</f>
        <v>450800</v>
      </c>
      <c r="I703" s="330">
        <f>G703/E703*100</f>
        <v>97.59268175252768</v>
      </c>
    </row>
    <row r="704" spans="1:25" s="56" customFormat="1" ht="26.25" customHeight="1">
      <c r="A704" s="121"/>
      <c r="B704" s="108">
        <v>71012</v>
      </c>
      <c r="C704" s="25"/>
      <c r="D704" s="277" t="s">
        <v>685</v>
      </c>
      <c r="E704" s="29">
        <f>SUM(E705:E709)</f>
        <v>103000</v>
      </c>
      <c r="F704" s="267"/>
      <c r="G704" s="29">
        <f>SUM(G705:G709)</f>
        <v>108000</v>
      </c>
      <c r="H704" s="1080"/>
      <c r="I704" s="330">
        <f>G704/E704*100</f>
        <v>104.85436893203884</v>
      </c>
      <c r="J704" s="230"/>
      <c r="K704" s="230"/>
      <c r="L704" s="248"/>
      <c r="M704" s="230"/>
      <c r="N704" s="230"/>
      <c r="O704" s="230"/>
      <c r="P704" s="230"/>
      <c r="Q704" s="230"/>
      <c r="R704" s="230"/>
      <c r="S704" s="230"/>
      <c r="T704" s="238"/>
      <c r="U704" s="238"/>
      <c r="V704" s="238"/>
      <c r="W704" s="238"/>
      <c r="X704" s="238"/>
      <c r="Y704" s="238"/>
    </row>
    <row r="705" spans="1:9" ht="21.75" customHeight="1">
      <c r="A705" s="77"/>
      <c r="B705" s="66"/>
      <c r="C705" s="9">
        <v>4210</v>
      </c>
      <c r="D705" s="272" t="s">
        <v>411</v>
      </c>
      <c r="E705" s="27">
        <v>35000</v>
      </c>
      <c r="F705" s="94"/>
      <c r="G705" s="27">
        <v>40000</v>
      </c>
      <c r="H705" s="389"/>
      <c r="I705" s="597"/>
    </row>
    <row r="706" spans="1:9" ht="21.75" customHeight="1">
      <c r="A706" s="77"/>
      <c r="B706" s="66"/>
      <c r="C706" s="3">
        <v>4270</v>
      </c>
      <c r="D706" s="272" t="s">
        <v>412</v>
      </c>
      <c r="E706" s="27">
        <v>3000</v>
      </c>
      <c r="F706" s="94"/>
      <c r="G706" s="27">
        <v>3000</v>
      </c>
      <c r="H706" s="389"/>
      <c r="I706" s="597"/>
    </row>
    <row r="707" spans="1:9" ht="21.75" customHeight="1">
      <c r="A707" s="77"/>
      <c r="B707" s="66"/>
      <c r="C707" s="9">
        <v>4300</v>
      </c>
      <c r="D707" s="272" t="s">
        <v>408</v>
      </c>
      <c r="E707" s="27">
        <v>20000</v>
      </c>
      <c r="F707" s="94"/>
      <c r="G707" s="27">
        <v>20000</v>
      </c>
      <c r="H707" s="389"/>
      <c r="I707" s="597"/>
    </row>
    <row r="708" spans="1:9" ht="31.5" customHeight="1">
      <c r="A708" s="77"/>
      <c r="B708" s="66"/>
      <c r="C708" s="14">
        <v>6050</v>
      </c>
      <c r="D708" s="272" t="s">
        <v>728</v>
      </c>
      <c r="E708" s="27">
        <v>25000</v>
      </c>
      <c r="F708" s="94"/>
      <c r="G708" s="27">
        <v>0</v>
      </c>
      <c r="H708" s="389"/>
      <c r="I708" s="597"/>
    </row>
    <row r="709" spans="1:9" ht="27" customHeight="1">
      <c r="A709" s="77"/>
      <c r="B709" s="75"/>
      <c r="C709" s="9">
        <v>6060</v>
      </c>
      <c r="D709" s="272" t="s">
        <v>516</v>
      </c>
      <c r="E709" s="27">
        <v>20000</v>
      </c>
      <c r="F709" s="96"/>
      <c r="G709" s="27">
        <v>45000</v>
      </c>
      <c r="H709" s="393"/>
      <c r="I709" s="597"/>
    </row>
    <row r="710" spans="1:9" ht="24" customHeight="1">
      <c r="A710" s="116"/>
      <c r="B710" s="124">
        <v>71013</v>
      </c>
      <c r="C710" s="25"/>
      <c r="D710" s="277" t="s">
        <v>488</v>
      </c>
      <c r="E710" s="104">
        <f>E711</f>
        <v>362300</v>
      </c>
      <c r="F710" s="163">
        <f>F711</f>
        <v>88900</v>
      </c>
      <c r="G710" s="104">
        <f>G711</f>
        <v>342800</v>
      </c>
      <c r="H710" s="189">
        <f>H711</f>
        <v>90800</v>
      </c>
      <c r="I710" s="330">
        <f>G710/E710*100</f>
        <v>94.61772012144631</v>
      </c>
    </row>
    <row r="711" spans="1:9" ht="18.75" customHeight="1">
      <c r="A711" s="89"/>
      <c r="B711" s="98"/>
      <c r="C711" s="3">
        <v>4300</v>
      </c>
      <c r="D711" s="272" t="s">
        <v>408</v>
      </c>
      <c r="E711" s="55">
        <v>362300</v>
      </c>
      <c r="F711" s="149">
        <v>88900</v>
      </c>
      <c r="G711" s="55">
        <f>252000+90800</f>
        <v>342800</v>
      </c>
      <c r="H711" s="59">
        <v>90800</v>
      </c>
      <c r="I711" s="597"/>
    </row>
    <row r="712" spans="1:9" ht="24.75" customHeight="1">
      <c r="A712" s="116"/>
      <c r="B712" s="83">
        <v>71014</v>
      </c>
      <c r="C712" s="25"/>
      <c r="D712" s="277" t="s">
        <v>489</v>
      </c>
      <c r="E712" s="104">
        <f>E713</f>
        <v>10000</v>
      </c>
      <c r="F712" s="113">
        <f>F713</f>
        <v>10000</v>
      </c>
      <c r="G712" s="104">
        <f>G713</f>
        <v>10000</v>
      </c>
      <c r="H712" s="148">
        <f>H713</f>
        <v>10000</v>
      </c>
      <c r="I712" s="330">
        <f>G712/E712*100</f>
        <v>100</v>
      </c>
    </row>
    <row r="713" spans="1:9" ht="20.25" customHeight="1">
      <c r="A713" s="89"/>
      <c r="B713" s="98"/>
      <c r="C713" s="3">
        <v>4300</v>
      </c>
      <c r="D713" s="272" t="s">
        <v>408</v>
      </c>
      <c r="E713" s="114">
        <v>10000</v>
      </c>
      <c r="F713" s="149">
        <v>10000</v>
      </c>
      <c r="G713" s="114">
        <v>10000</v>
      </c>
      <c r="H713" s="59">
        <v>10000</v>
      </c>
      <c r="I713" s="597"/>
    </row>
    <row r="714" spans="1:9" ht="23.25" customHeight="1">
      <c r="A714" s="89"/>
      <c r="B714" s="24">
        <v>71015</v>
      </c>
      <c r="C714" s="25"/>
      <c r="D714" s="277" t="s">
        <v>116</v>
      </c>
      <c r="E714" s="104">
        <f>SUM(E715:E730)</f>
        <v>355500</v>
      </c>
      <c r="F714" s="104">
        <f>SUM(F715:F730)</f>
        <v>355500</v>
      </c>
      <c r="G714" s="104">
        <f>SUM(G715:G730)</f>
        <v>350000</v>
      </c>
      <c r="H714" s="29">
        <f>SUM(H715:H730)</f>
        <v>350000</v>
      </c>
      <c r="I714" s="330">
        <f>G714/E714*100</f>
        <v>98.45288326300985</v>
      </c>
    </row>
    <row r="715" spans="1:9" ht="25.5" customHeight="1">
      <c r="A715" s="89"/>
      <c r="B715" s="10"/>
      <c r="C715" s="3">
        <v>3020</v>
      </c>
      <c r="D715" s="272" t="s">
        <v>712</v>
      </c>
      <c r="E715" s="55">
        <v>600</v>
      </c>
      <c r="F715" s="55">
        <v>600</v>
      </c>
      <c r="G715" s="55">
        <v>2000</v>
      </c>
      <c r="H715" s="144">
        <v>2000</v>
      </c>
      <c r="I715" s="597"/>
    </row>
    <row r="716" spans="1:9" ht="15" customHeight="1">
      <c r="A716" s="89"/>
      <c r="B716" s="10"/>
      <c r="C716" s="3">
        <v>4010</v>
      </c>
      <c r="D716" s="272" t="s">
        <v>451</v>
      </c>
      <c r="E716" s="55">
        <v>58758</v>
      </c>
      <c r="F716" s="55">
        <v>58758</v>
      </c>
      <c r="G716" s="55">
        <v>85130</v>
      </c>
      <c r="H716" s="144">
        <v>85130</v>
      </c>
      <c r="I716" s="597"/>
    </row>
    <row r="717" spans="1:9" ht="25.5" customHeight="1">
      <c r="A717" s="89"/>
      <c r="B717" s="10"/>
      <c r="C717" s="3">
        <v>4020</v>
      </c>
      <c r="D717" s="272" t="s">
        <v>638</v>
      </c>
      <c r="E717" s="55">
        <v>178988</v>
      </c>
      <c r="F717" s="55">
        <v>178988</v>
      </c>
      <c r="G717" s="55">
        <v>151666</v>
      </c>
      <c r="H717" s="144">
        <v>151666</v>
      </c>
      <c r="I717" s="597"/>
    </row>
    <row r="718" spans="1:9" ht="15" customHeight="1">
      <c r="A718" s="89"/>
      <c r="B718" s="10"/>
      <c r="C718" s="3">
        <v>4040</v>
      </c>
      <c r="D718" s="272" t="s">
        <v>452</v>
      </c>
      <c r="E718" s="55">
        <v>19000</v>
      </c>
      <c r="F718" s="55">
        <v>19000</v>
      </c>
      <c r="G718" s="55">
        <v>18710</v>
      </c>
      <c r="H718" s="144">
        <v>18710</v>
      </c>
      <c r="I718" s="597"/>
    </row>
    <row r="719" spans="1:9" ht="15" customHeight="1">
      <c r="A719" s="89"/>
      <c r="B719" s="10"/>
      <c r="C719" s="3">
        <v>4110</v>
      </c>
      <c r="D719" s="272" t="s">
        <v>496</v>
      </c>
      <c r="E719" s="55">
        <v>51840</v>
      </c>
      <c r="F719" s="55">
        <v>51840</v>
      </c>
      <c r="G719" s="55">
        <v>44802</v>
      </c>
      <c r="H719" s="144">
        <v>44802</v>
      </c>
      <c r="I719" s="597"/>
    </row>
    <row r="720" spans="1:9" ht="15" customHeight="1">
      <c r="A720" s="89"/>
      <c r="B720" s="10"/>
      <c r="C720" s="3">
        <v>4120</v>
      </c>
      <c r="D720" s="272" t="s">
        <v>497</v>
      </c>
      <c r="E720" s="55">
        <v>6377</v>
      </c>
      <c r="F720" s="55">
        <v>6377</v>
      </c>
      <c r="G720" s="55">
        <v>6035</v>
      </c>
      <c r="H720" s="144">
        <v>6035</v>
      </c>
      <c r="I720" s="597"/>
    </row>
    <row r="721" spans="1:9" ht="15" customHeight="1">
      <c r="A721" s="89"/>
      <c r="B721" s="10"/>
      <c r="C721" s="3">
        <v>4170</v>
      </c>
      <c r="D721" s="272" t="s">
        <v>503</v>
      </c>
      <c r="E721" s="55">
        <v>7200</v>
      </c>
      <c r="F721" s="55">
        <v>7200</v>
      </c>
      <c r="G721" s="55">
        <v>9600</v>
      </c>
      <c r="H721" s="144">
        <v>9600</v>
      </c>
      <c r="I721" s="597"/>
    </row>
    <row r="722" spans="1:9" ht="15" customHeight="1">
      <c r="A722" s="89"/>
      <c r="B722" s="10"/>
      <c r="C722" s="3">
        <v>4210</v>
      </c>
      <c r="D722" s="272" t="s">
        <v>411</v>
      </c>
      <c r="E722" s="55">
        <v>4300</v>
      </c>
      <c r="F722" s="55">
        <v>4300</v>
      </c>
      <c r="G722" s="55">
        <v>8800</v>
      </c>
      <c r="H722" s="144">
        <v>8800</v>
      </c>
      <c r="I722" s="597"/>
    </row>
    <row r="723" spans="1:9" ht="15" customHeight="1">
      <c r="A723" s="89"/>
      <c r="B723" s="10"/>
      <c r="C723" s="3">
        <v>4270</v>
      </c>
      <c r="D723" s="272" t="s">
        <v>412</v>
      </c>
      <c r="E723" s="55">
        <v>500</v>
      </c>
      <c r="F723" s="55">
        <v>500</v>
      </c>
      <c r="G723" s="55">
        <v>500</v>
      </c>
      <c r="H723" s="144">
        <v>500</v>
      </c>
      <c r="I723" s="597"/>
    </row>
    <row r="724" spans="1:9" ht="15" customHeight="1">
      <c r="A724" s="89"/>
      <c r="B724" s="10"/>
      <c r="C724" s="3">
        <v>4280</v>
      </c>
      <c r="D724" s="272" t="s">
        <v>714</v>
      </c>
      <c r="E724" s="55">
        <v>100</v>
      </c>
      <c r="F724" s="55">
        <v>100</v>
      </c>
      <c r="G724" s="55">
        <v>150</v>
      </c>
      <c r="H724" s="144">
        <v>150</v>
      </c>
      <c r="I724" s="597"/>
    </row>
    <row r="725" spans="1:9" ht="15" customHeight="1">
      <c r="A725" s="89"/>
      <c r="B725" s="10"/>
      <c r="C725" s="3">
        <v>4300</v>
      </c>
      <c r="D725" s="272" t="s">
        <v>408</v>
      </c>
      <c r="E725" s="55">
        <v>2000</v>
      </c>
      <c r="F725" s="55">
        <v>2000</v>
      </c>
      <c r="G725" s="55">
        <v>4000</v>
      </c>
      <c r="H725" s="144">
        <v>4000</v>
      </c>
      <c r="I725" s="597"/>
    </row>
    <row r="726" spans="1:9" ht="15" customHeight="1">
      <c r="A726" s="89"/>
      <c r="B726" s="10"/>
      <c r="C726" s="3">
        <v>4410</v>
      </c>
      <c r="D726" s="272" t="s">
        <v>500</v>
      </c>
      <c r="E726" s="55">
        <v>8530</v>
      </c>
      <c r="F726" s="55">
        <v>8530</v>
      </c>
      <c r="G726" s="55">
        <v>9000</v>
      </c>
      <c r="H726" s="144">
        <v>9000</v>
      </c>
      <c r="I726" s="597"/>
    </row>
    <row r="727" spans="1:9" ht="24.75" customHeight="1">
      <c r="A727" s="89"/>
      <c r="B727" s="10"/>
      <c r="C727" s="14">
        <v>4440</v>
      </c>
      <c r="D727" s="272" t="s">
        <v>498</v>
      </c>
      <c r="E727" s="55">
        <v>5607</v>
      </c>
      <c r="F727" s="55">
        <v>5607</v>
      </c>
      <c r="G727" s="55">
        <v>5607</v>
      </c>
      <c r="H727" s="144">
        <v>5607</v>
      </c>
      <c r="I727" s="597"/>
    </row>
    <row r="728" spans="1:9" ht="18.75" customHeight="1">
      <c r="A728" s="89"/>
      <c r="B728" s="10"/>
      <c r="C728" s="14">
        <v>4550</v>
      </c>
      <c r="D728" s="272" t="s">
        <v>115</v>
      </c>
      <c r="E728" s="55">
        <v>800</v>
      </c>
      <c r="F728" s="55">
        <v>800</v>
      </c>
      <c r="G728" s="55">
        <v>2000</v>
      </c>
      <c r="H728" s="144">
        <v>2000</v>
      </c>
      <c r="I728" s="597"/>
    </row>
    <row r="729" spans="1:9" ht="27" customHeight="1">
      <c r="A729" s="89"/>
      <c r="B729" s="10"/>
      <c r="C729" s="3">
        <v>4700</v>
      </c>
      <c r="D729" s="272" t="s">
        <v>374</v>
      </c>
      <c r="E729" s="55">
        <v>900</v>
      </c>
      <c r="F729" s="55">
        <v>900</v>
      </c>
      <c r="G729" s="55">
        <v>2000</v>
      </c>
      <c r="H729" s="144">
        <v>2000</v>
      </c>
      <c r="I729" s="597"/>
    </row>
    <row r="730" spans="1:9" ht="28.5" customHeight="1">
      <c r="A730" s="89"/>
      <c r="B730" s="10"/>
      <c r="C730" s="3">
        <v>6060</v>
      </c>
      <c r="D730" s="272" t="s">
        <v>516</v>
      </c>
      <c r="E730" s="55">
        <v>10000</v>
      </c>
      <c r="F730" s="55">
        <v>10000</v>
      </c>
      <c r="G730" s="55">
        <v>0</v>
      </c>
      <c r="H730" s="144">
        <v>0</v>
      </c>
      <c r="I730" s="597"/>
    </row>
    <row r="731" spans="1:9" ht="27" customHeight="1">
      <c r="A731" s="62">
        <v>750</v>
      </c>
      <c r="B731" s="62"/>
      <c r="C731" s="11"/>
      <c r="D731" s="276" t="s">
        <v>144</v>
      </c>
      <c r="E731" s="36">
        <f>E732+E738+E750</f>
        <v>5027330</v>
      </c>
      <c r="F731" s="145">
        <f>F732+F738+F750</f>
        <v>216615</v>
      </c>
      <c r="G731" s="36">
        <f>G732+G738+G750</f>
        <v>4945483</v>
      </c>
      <c r="H731" s="1081">
        <f>H732+H738+H750</f>
        <v>215301</v>
      </c>
      <c r="I731" s="330">
        <f>G731/E731*100</f>
        <v>98.37195887280127</v>
      </c>
    </row>
    <row r="732" spans="1:9" ht="21.75" customHeight="1">
      <c r="A732" s="84"/>
      <c r="B732" s="83">
        <v>75011</v>
      </c>
      <c r="C732" s="38"/>
      <c r="D732" s="277" t="s">
        <v>450</v>
      </c>
      <c r="E732" s="104">
        <f>SUM(E733:E737)</f>
        <v>1045015</v>
      </c>
      <c r="F732" s="146">
        <f>SUM(F733:F737)</f>
        <v>189615</v>
      </c>
      <c r="G732" s="104">
        <f>SUM(G733:G737)</f>
        <v>984396</v>
      </c>
      <c r="H732" s="1082">
        <f>SUM(H733:H737)</f>
        <v>192301</v>
      </c>
      <c r="I732" s="330">
        <f>G732/E732*100</f>
        <v>94.19922202073654</v>
      </c>
    </row>
    <row r="733" spans="1:9" ht="16.5" customHeight="1">
      <c r="A733" s="89"/>
      <c r="B733" s="86"/>
      <c r="C733" s="3">
        <v>4010</v>
      </c>
      <c r="D733" s="272" t="s">
        <v>451</v>
      </c>
      <c r="E733" s="55">
        <v>799419.71</v>
      </c>
      <c r="F733" s="114">
        <v>135945.71</v>
      </c>
      <c r="G733" s="55">
        <f>610133+140917</f>
        <v>751050</v>
      </c>
      <c r="H733" s="144">
        <v>140917</v>
      </c>
      <c r="I733" s="597"/>
    </row>
    <row r="734" spans="1:9" ht="15" customHeight="1">
      <c r="A734" s="89"/>
      <c r="B734" s="86"/>
      <c r="C734" s="3">
        <v>4040</v>
      </c>
      <c r="D734" s="272" t="s">
        <v>452</v>
      </c>
      <c r="E734" s="55">
        <v>57000</v>
      </c>
      <c r="F734" s="114">
        <v>9630</v>
      </c>
      <c r="G734" s="55">
        <f>50770+9630</f>
        <v>60400</v>
      </c>
      <c r="H734" s="144">
        <v>9630</v>
      </c>
      <c r="I734" s="597"/>
    </row>
    <row r="735" spans="1:9" ht="15" customHeight="1">
      <c r="A735" s="89"/>
      <c r="B735" s="86"/>
      <c r="C735" s="3">
        <v>4110</v>
      </c>
      <c r="D735" s="272" t="s">
        <v>496</v>
      </c>
      <c r="E735" s="55">
        <v>148915</v>
      </c>
      <c r="F735" s="114">
        <v>24504</v>
      </c>
      <c r="G735" s="55">
        <f>114857+21589</f>
        <v>136446</v>
      </c>
      <c r="H735" s="144">
        <v>21589</v>
      </c>
      <c r="I735" s="597"/>
    </row>
    <row r="736" spans="1:9" ht="18" customHeight="1">
      <c r="A736" s="89"/>
      <c r="B736" s="86"/>
      <c r="C736" s="3">
        <v>4120</v>
      </c>
      <c r="D736" s="272" t="s">
        <v>497</v>
      </c>
      <c r="E736" s="55">
        <v>20810</v>
      </c>
      <c r="F736" s="114">
        <v>3482</v>
      </c>
      <c r="G736" s="55">
        <f>13518+3482</f>
        <v>17000</v>
      </c>
      <c r="H736" s="144">
        <v>3482</v>
      </c>
      <c r="I736" s="597"/>
    </row>
    <row r="737" spans="1:9" ht="28.5" customHeight="1">
      <c r="A737" s="89"/>
      <c r="B737" s="86"/>
      <c r="C737" s="14">
        <v>4440</v>
      </c>
      <c r="D737" s="272" t="s">
        <v>498</v>
      </c>
      <c r="E737" s="55">
        <v>18870.29</v>
      </c>
      <c r="F737" s="114">
        <v>16053.29</v>
      </c>
      <c r="G737" s="55">
        <f>2817+16683</f>
        <v>19500</v>
      </c>
      <c r="H737" s="144">
        <v>16683</v>
      </c>
      <c r="I737" s="597"/>
    </row>
    <row r="738" spans="1:9" ht="23.25" customHeight="1">
      <c r="A738" s="116"/>
      <c r="B738" s="117">
        <v>75020</v>
      </c>
      <c r="C738" s="25"/>
      <c r="D738" s="277" t="s">
        <v>490</v>
      </c>
      <c r="E738" s="104">
        <f>SUM(E739:E749)</f>
        <v>3952315</v>
      </c>
      <c r="F738" s="114"/>
      <c r="G738" s="104">
        <f>SUM(G739:G749)</f>
        <v>3935087</v>
      </c>
      <c r="H738" s="144"/>
      <c r="I738" s="330">
        <f>G738/E738*100</f>
        <v>99.56410356968006</v>
      </c>
    </row>
    <row r="739" spans="1:9" ht="20.25" customHeight="1">
      <c r="A739" s="88"/>
      <c r="B739" s="84"/>
      <c r="C739" s="9">
        <v>4010</v>
      </c>
      <c r="D739" s="272" t="s">
        <v>451</v>
      </c>
      <c r="E739" s="55">
        <v>2110334.1</v>
      </c>
      <c r="F739" s="149"/>
      <c r="G739" s="55">
        <v>2051000</v>
      </c>
      <c r="H739" s="59"/>
      <c r="I739" s="597"/>
    </row>
    <row r="740" spans="1:9" ht="17.25" customHeight="1">
      <c r="A740" s="88"/>
      <c r="B740" s="89"/>
      <c r="C740" s="9">
        <v>4040</v>
      </c>
      <c r="D740" s="272" t="s">
        <v>452</v>
      </c>
      <c r="E740" s="55">
        <v>154100</v>
      </c>
      <c r="F740" s="149"/>
      <c r="G740" s="55">
        <v>167650</v>
      </c>
      <c r="H740" s="59"/>
      <c r="I740" s="597"/>
    </row>
    <row r="741" spans="1:9" ht="15" customHeight="1">
      <c r="A741" s="88"/>
      <c r="B741" s="89"/>
      <c r="C741" s="9">
        <v>4110</v>
      </c>
      <c r="D741" s="272" t="s">
        <v>496</v>
      </c>
      <c r="E741" s="55">
        <v>389940</v>
      </c>
      <c r="F741" s="149"/>
      <c r="G741" s="55">
        <v>374243</v>
      </c>
      <c r="H741" s="59"/>
      <c r="I741" s="597"/>
    </row>
    <row r="742" spans="1:9" ht="15" customHeight="1">
      <c r="A742" s="88"/>
      <c r="B742" s="89"/>
      <c r="C742" s="9">
        <v>4120</v>
      </c>
      <c r="D742" s="272" t="s">
        <v>497</v>
      </c>
      <c r="E742" s="55">
        <v>55300</v>
      </c>
      <c r="F742" s="149"/>
      <c r="G742" s="55">
        <v>48000</v>
      </c>
      <c r="H742" s="59"/>
      <c r="I742" s="597"/>
    </row>
    <row r="743" spans="1:9" ht="15" customHeight="1">
      <c r="A743" s="88"/>
      <c r="B743" s="89"/>
      <c r="C743" s="9">
        <v>4300</v>
      </c>
      <c r="D743" s="272" t="s">
        <v>386</v>
      </c>
      <c r="E743" s="55">
        <v>1105200</v>
      </c>
      <c r="F743" s="149"/>
      <c r="G743" s="55">
        <v>1170000</v>
      </c>
      <c r="H743" s="59"/>
      <c r="I743" s="597"/>
    </row>
    <row r="744" spans="1:9" ht="17.25" customHeight="1">
      <c r="A744" s="88"/>
      <c r="B744" s="89"/>
      <c r="C744" s="9">
        <v>4380</v>
      </c>
      <c r="D744" s="272" t="s">
        <v>379</v>
      </c>
      <c r="E744" s="55">
        <v>3000</v>
      </c>
      <c r="F744" s="149"/>
      <c r="G744" s="55">
        <v>3000</v>
      </c>
      <c r="H744" s="59"/>
      <c r="I744" s="597"/>
    </row>
    <row r="745" spans="1:9" ht="31.5" customHeight="1">
      <c r="A745" s="88"/>
      <c r="B745" s="89"/>
      <c r="C745" s="9">
        <v>4390</v>
      </c>
      <c r="D745" s="272" t="s">
        <v>154</v>
      </c>
      <c r="E745" s="55">
        <v>25000</v>
      </c>
      <c r="F745" s="149"/>
      <c r="G745" s="55">
        <v>15000</v>
      </c>
      <c r="H745" s="59"/>
      <c r="I745" s="597"/>
    </row>
    <row r="746" spans="1:9" ht="26.25" customHeight="1">
      <c r="A746" s="88"/>
      <c r="B746" s="89"/>
      <c r="C746" s="9">
        <v>4440</v>
      </c>
      <c r="D746" s="272" t="s">
        <v>498</v>
      </c>
      <c r="E746" s="55">
        <v>44440.9</v>
      </c>
      <c r="F746" s="149"/>
      <c r="G746" s="55">
        <v>56194</v>
      </c>
      <c r="H746" s="59"/>
      <c r="I746" s="597"/>
    </row>
    <row r="747" spans="1:9" ht="18" customHeight="1">
      <c r="A747" s="88"/>
      <c r="B747" s="89"/>
      <c r="C747" s="9">
        <v>4580</v>
      </c>
      <c r="D747" s="272" t="s">
        <v>342</v>
      </c>
      <c r="E747" s="55">
        <v>15000</v>
      </c>
      <c r="F747" s="149"/>
      <c r="G747" s="55">
        <v>10000</v>
      </c>
      <c r="H747" s="59"/>
      <c r="I747" s="597"/>
    </row>
    <row r="748" spans="1:9" ht="28.5" customHeight="1">
      <c r="A748" s="88"/>
      <c r="B748" s="89"/>
      <c r="C748" s="9">
        <v>4590</v>
      </c>
      <c r="D748" s="272" t="s">
        <v>413</v>
      </c>
      <c r="E748" s="55">
        <v>30000</v>
      </c>
      <c r="F748" s="149"/>
      <c r="G748" s="55">
        <v>30000</v>
      </c>
      <c r="H748" s="59"/>
      <c r="I748" s="597"/>
    </row>
    <row r="749" spans="1:9" ht="24.75" customHeight="1">
      <c r="A749" s="88"/>
      <c r="B749" s="97"/>
      <c r="C749" s="9">
        <v>4610</v>
      </c>
      <c r="D749" s="272" t="s">
        <v>482</v>
      </c>
      <c r="E749" s="79">
        <v>20000</v>
      </c>
      <c r="F749" s="149"/>
      <c r="G749" s="79">
        <v>10000</v>
      </c>
      <c r="H749" s="59"/>
      <c r="I749" s="597"/>
    </row>
    <row r="750" spans="1:9" ht="20.25" customHeight="1">
      <c r="A750" s="89"/>
      <c r="B750" s="124">
        <v>75045</v>
      </c>
      <c r="C750" s="25"/>
      <c r="D750" s="314" t="s">
        <v>446</v>
      </c>
      <c r="E750" s="104">
        <f>SUM(E751:E756)</f>
        <v>30000</v>
      </c>
      <c r="F750" s="113">
        <f>SUM(F751:F756)</f>
        <v>27000</v>
      </c>
      <c r="G750" s="104">
        <f>SUM(G751:G756)</f>
        <v>26000</v>
      </c>
      <c r="H750" s="148">
        <f>SUM(H751:H756)</f>
        <v>23000</v>
      </c>
      <c r="I750" s="330">
        <f>G750/E750*100</f>
        <v>86.66666666666667</v>
      </c>
    </row>
    <row r="751" spans="1:9" ht="17.25" customHeight="1">
      <c r="A751" s="89"/>
      <c r="B751" s="98"/>
      <c r="C751" s="3">
        <v>3030</v>
      </c>
      <c r="D751" s="272" t="s">
        <v>520</v>
      </c>
      <c r="E751" s="114">
        <v>2000</v>
      </c>
      <c r="F751" s="114">
        <v>2000</v>
      </c>
      <c r="G751" s="114">
        <v>12.4</v>
      </c>
      <c r="H751" s="144">
        <v>12.4</v>
      </c>
      <c r="I751" s="597"/>
    </row>
    <row r="752" spans="1:9" ht="15" customHeight="1">
      <c r="A752" s="89"/>
      <c r="B752" s="98"/>
      <c r="C752" s="3">
        <v>4110</v>
      </c>
      <c r="D752" s="272" t="s">
        <v>496</v>
      </c>
      <c r="E752" s="114">
        <v>1547.1</v>
      </c>
      <c r="F752" s="114">
        <v>1547.1</v>
      </c>
      <c r="G752" s="114">
        <v>1547.1</v>
      </c>
      <c r="H752" s="144">
        <v>1547.1</v>
      </c>
      <c r="I752" s="597"/>
    </row>
    <row r="753" spans="1:9" ht="15" customHeight="1">
      <c r="A753" s="89"/>
      <c r="B753" s="98"/>
      <c r="C753" s="3">
        <v>4120</v>
      </c>
      <c r="D753" s="272" t="s">
        <v>497</v>
      </c>
      <c r="E753" s="114">
        <v>132.3</v>
      </c>
      <c r="F753" s="114">
        <v>132.3</v>
      </c>
      <c r="G753" s="114">
        <v>220.5</v>
      </c>
      <c r="H753" s="144">
        <v>220.5</v>
      </c>
      <c r="I753" s="597"/>
    </row>
    <row r="754" spans="1:9" ht="15" customHeight="1">
      <c r="A754" s="89"/>
      <c r="B754" s="98"/>
      <c r="C754" s="3">
        <v>4170</v>
      </c>
      <c r="D754" s="272" t="s">
        <v>503</v>
      </c>
      <c r="E754" s="114">
        <v>19520</v>
      </c>
      <c r="F754" s="114">
        <v>19520</v>
      </c>
      <c r="G754" s="114">
        <v>18920</v>
      </c>
      <c r="H754" s="144">
        <v>18920</v>
      </c>
      <c r="I754" s="597"/>
    </row>
    <row r="755" spans="1:9" ht="15" customHeight="1">
      <c r="A755" s="89"/>
      <c r="B755" s="98"/>
      <c r="C755" s="3">
        <v>4210</v>
      </c>
      <c r="D755" s="272" t="s">
        <v>411</v>
      </c>
      <c r="E755" s="114">
        <v>2000</v>
      </c>
      <c r="F755" s="114">
        <v>2000</v>
      </c>
      <c r="G755" s="114">
        <v>1500</v>
      </c>
      <c r="H755" s="144">
        <v>1500</v>
      </c>
      <c r="I755" s="597"/>
    </row>
    <row r="756" spans="1:9" ht="15" customHeight="1">
      <c r="A756" s="89"/>
      <c r="B756" s="98"/>
      <c r="C756" s="3">
        <v>4300</v>
      </c>
      <c r="D756" s="272" t="s">
        <v>408</v>
      </c>
      <c r="E756" s="55">
        <v>4800.6</v>
      </c>
      <c r="F756" s="55">
        <f>4800.6-3000</f>
        <v>1800.6000000000004</v>
      </c>
      <c r="G756" s="55">
        <f>3000+800</f>
        <v>3800</v>
      </c>
      <c r="H756" s="27">
        <v>800</v>
      </c>
      <c r="I756" s="597"/>
    </row>
    <row r="757" spans="1:9" ht="27.75" customHeight="1">
      <c r="A757" s="62">
        <v>754</v>
      </c>
      <c r="B757" s="62"/>
      <c r="C757" s="11"/>
      <c r="D757" s="276" t="s">
        <v>145</v>
      </c>
      <c r="E757" s="80">
        <f>E758+E761+E763+E798</f>
        <v>11277591</v>
      </c>
      <c r="F757" s="609">
        <f>F758+F761+F763+F798</f>
        <v>10282591</v>
      </c>
      <c r="G757" s="80">
        <f>G758+G761+G763+G798</f>
        <v>10738000</v>
      </c>
      <c r="H757" s="1083">
        <f>H758+H761+H763+H798</f>
        <v>10428000</v>
      </c>
      <c r="I757" s="330">
        <f>G757/E757*100</f>
        <v>95.215370020069</v>
      </c>
    </row>
    <row r="758" spans="1:9" ht="21" customHeight="1">
      <c r="A758" s="115"/>
      <c r="B758" s="49">
        <v>75405</v>
      </c>
      <c r="C758" s="25"/>
      <c r="D758" s="277" t="s">
        <v>491</v>
      </c>
      <c r="E758" s="104">
        <f>SUM(E759:E760)</f>
        <v>375000</v>
      </c>
      <c r="F758" s="114"/>
      <c r="G758" s="104">
        <f>SUM(G759:G760)</f>
        <v>300000</v>
      </c>
      <c r="H758" s="144"/>
      <c r="I758" s="330">
        <f>G758/E758*100</f>
        <v>80</v>
      </c>
    </row>
    <row r="759" spans="1:9" ht="24.75" customHeight="1">
      <c r="A759" s="88"/>
      <c r="B759" s="89"/>
      <c r="C759" s="9">
        <v>3000</v>
      </c>
      <c r="D759" s="272" t="s">
        <v>457</v>
      </c>
      <c r="E759" s="100">
        <v>165000</v>
      </c>
      <c r="F759" s="149"/>
      <c r="G759" s="100">
        <v>300000</v>
      </c>
      <c r="H759" s="59"/>
      <c r="I759" s="597">
        <f>G759/E759*100</f>
        <v>181.8181818181818</v>
      </c>
    </row>
    <row r="760" spans="1:9" ht="43.5" customHeight="1">
      <c r="A760" s="88"/>
      <c r="B760" s="89"/>
      <c r="C760" s="16">
        <v>6170</v>
      </c>
      <c r="D760" s="274" t="s">
        <v>415</v>
      </c>
      <c r="E760" s="100">
        <v>210000</v>
      </c>
      <c r="F760" s="149"/>
      <c r="G760" s="100">
        <v>0</v>
      </c>
      <c r="H760" s="59"/>
      <c r="I760" s="597">
        <f>G760/E760*100</f>
        <v>0</v>
      </c>
    </row>
    <row r="761" spans="1:25" s="138" customFormat="1" ht="26.25" customHeight="1">
      <c r="A761" s="37"/>
      <c r="B761" s="25">
        <v>75406</v>
      </c>
      <c r="C761" s="25"/>
      <c r="D761" s="26" t="s">
        <v>141</v>
      </c>
      <c r="E761" s="332">
        <f>E762</f>
        <v>10000</v>
      </c>
      <c r="F761" s="159"/>
      <c r="G761" s="332">
        <f>G762</f>
        <v>10000</v>
      </c>
      <c r="H761" s="242"/>
      <c r="I761" s="330">
        <f>G761/E761*100</f>
        <v>100</v>
      </c>
      <c r="J761" s="242"/>
      <c r="K761" s="242"/>
      <c r="L761" s="251"/>
      <c r="M761" s="242"/>
      <c r="N761" s="242"/>
      <c r="O761" s="242"/>
      <c r="P761" s="242"/>
      <c r="Q761" s="242"/>
      <c r="R761" s="242"/>
      <c r="S761" s="242"/>
      <c r="T761" s="241"/>
      <c r="U761" s="241"/>
      <c r="V761" s="241"/>
      <c r="W761" s="241"/>
      <c r="X761" s="241"/>
      <c r="Y761" s="241"/>
    </row>
    <row r="762" spans="1:9" ht="31.5" customHeight="1">
      <c r="A762" s="88"/>
      <c r="B762" s="89"/>
      <c r="C762" s="9">
        <v>3000</v>
      </c>
      <c r="D762" s="272" t="s">
        <v>457</v>
      </c>
      <c r="E762" s="100">
        <v>10000</v>
      </c>
      <c r="F762" s="149"/>
      <c r="G762" s="100">
        <v>10000</v>
      </c>
      <c r="H762" s="59"/>
      <c r="I762" s="597"/>
    </row>
    <row r="763" spans="1:9" ht="27" customHeight="1">
      <c r="A763" s="88"/>
      <c r="B763" s="25">
        <v>75411</v>
      </c>
      <c r="C763" s="25"/>
      <c r="D763" s="277" t="s">
        <v>355</v>
      </c>
      <c r="E763" s="104">
        <f>SUM(E764:E797)</f>
        <v>10889905</v>
      </c>
      <c r="F763" s="113">
        <f>SUM(F764:F797)</f>
        <v>10279905</v>
      </c>
      <c r="G763" s="104">
        <f>SUM(G764:G797)</f>
        <v>10428000</v>
      </c>
      <c r="H763" s="148">
        <f>SUM(H764:H797)</f>
        <v>10428000</v>
      </c>
      <c r="I763" s="330">
        <f>G763/E763*100</f>
        <v>95.7584111156158</v>
      </c>
    </row>
    <row r="764" spans="1:9" ht="26.25" customHeight="1">
      <c r="A764" s="88"/>
      <c r="B764" s="14"/>
      <c r="C764" s="9">
        <v>3020</v>
      </c>
      <c r="D764" s="272" t="s">
        <v>712</v>
      </c>
      <c r="E764" s="27">
        <v>8850</v>
      </c>
      <c r="F764" s="27">
        <v>8850</v>
      </c>
      <c r="G764" s="55">
        <v>8850</v>
      </c>
      <c r="H764" s="144">
        <v>8850</v>
      </c>
      <c r="I764" s="597"/>
    </row>
    <row r="765" spans="1:9" ht="27" customHeight="1">
      <c r="A765" s="88"/>
      <c r="B765" s="8"/>
      <c r="C765" s="9">
        <v>3070</v>
      </c>
      <c r="D765" s="272" t="s">
        <v>669</v>
      </c>
      <c r="E765" s="27">
        <v>457583</v>
      </c>
      <c r="F765" s="27">
        <v>457583</v>
      </c>
      <c r="G765" s="55">
        <v>449802</v>
      </c>
      <c r="H765" s="144">
        <v>449802</v>
      </c>
      <c r="I765" s="597"/>
    </row>
    <row r="766" spans="1:9" ht="25.5" customHeight="1">
      <c r="A766" s="88"/>
      <c r="B766" s="8"/>
      <c r="C766" s="9">
        <v>4020</v>
      </c>
      <c r="D766" s="272" t="s">
        <v>638</v>
      </c>
      <c r="E766" s="27">
        <v>176836</v>
      </c>
      <c r="F766" s="27">
        <v>176836</v>
      </c>
      <c r="G766" s="55">
        <v>176836</v>
      </c>
      <c r="H766" s="144">
        <v>176836</v>
      </c>
      <c r="I766" s="597"/>
    </row>
    <row r="767" spans="1:9" ht="18.75" customHeight="1">
      <c r="A767" s="88"/>
      <c r="B767" s="8"/>
      <c r="C767" s="9">
        <v>4040</v>
      </c>
      <c r="D767" s="272" t="s">
        <v>452</v>
      </c>
      <c r="E767" s="27">
        <v>14500</v>
      </c>
      <c r="F767" s="27">
        <v>14500</v>
      </c>
      <c r="G767" s="55">
        <v>14597</v>
      </c>
      <c r="H767" s="144">
        <v>14597</v>
      </c>
      <c r="I767" s="597"/>
    </row>
    <row r="768" spans="1:9" ht="25.5" customHeight="1">
      <c r="A768" s="88"/>
      <c r="B768" s="8"/>
      <c r="C768" s="9">
        <v>4050</v>
      </c>
      <c r="D768" s="272" t="s">
        <v>629</v>
      </c>
      <c r="E768" s="27">
        <v>6708755</v>
      </c>
      <c r="F768" s="144">
        <v>6708755</v>
      </c>
      <c r="G768" s="55">
        <v>6897309</v>
      </c>
      <c r="H768" s="144">
        <v>6897309</v>
      </c>
      <c r="I768" s="597"/>
    </row>
    <row r="769" spans="1:9" ht="29.25" customHeight="1">
      <c r="A769" s="88"/>
      <c r="B769" s="8"/>
      <c r="C769" s="9">
        <v>4060</v>
      </c>
      <c r="D769" s="272" t="s">
        <v>630</v>
      </c>
      <c r="E769" s="27">
        <v>992364</v>
      </c>
      <c r="F769" s="144">
        <v>992364</v>
      </c>
      <c r="G769" s="55">
        <v>730571</v>
      </c>
      <c r="H769" s="144">
        <v>730571</v>
      </c>
      <c r="I769" s="597"/>
    </row>
    <row r="770" spans="1:9" ht="39" customHeight="1">
      <c r="A770" s="88"/>
      <c r="B770" s="8"/>
      <c r="C770" s="9">
        <v>4070</v>
      </c>
      <c r="D770" s="272" t="s">
        <v>671</v>
      </c>
      <c r="E770" s="27">
        <v>580290</v>
      </c>
      <c r="F770" s="144">
        <v>580290</v>
      </c>
      <c r="G770" s="55">
        <v>574546</v>
      </c>
      <c r="H770" s="144">
        <v>574546</v>
      </c>
      <c r="I770" s="597"/>
    </row>
    <row r="771" spans="1:9" ht="38.25" customHeight="1">
      <c r="A771" s="88"/>
      <c r="B771" s="8"/>
      <c r="C771" s="9">
        <v>4080</v>
      </c>
      <c r="D771" s="272" t="s">
        <v>661</v>
      </c>
      <c r="E771" s="27">
        <v>63153</v>
      </c>
      <c r="F771" s="144">
        <v>63153</v>
      </c>
      <c r="G771" s="55">
        <v>20554</v>
      </c>
      <c r="H771" s="144">
        <v>20554</v>
      </c>
      <c r="I771" s="597"/>
    </row>
    <row r="772" spans="1:9" ht="15" customHeight="1">
      <c r="A772" s="88"/>
      <c r="B772" s="8"/>
      <c r="C772" s="9">
        <v>4110</v>
      </c>
      <c r="D772" s="272" t="s">
        <v>496</v>
      </c>
      <c r="E772" s="27">
        <v>34805</v>
      </c>
      <c r="F772" s="27">
        <v>34805</v>
      </c>
      <c r="G772" s="55">
        <v>35586</v>
      </c>
      <c r="H772" s="144">
        <v>35586</v>
      </c>
      <c r="I772" s="597"/>
    </row>
    <row r="773" spans="1:9" ht="15" customHeight="1">
      <c r="A773" s="88"/>
      <c r="B773" s="8"/>
      <c r="C773" s="9">
        <v>4120</v>
      </c>
      <c r="D773" s="272" t="s">
        <v>497</v>
      </c>
      <c r="E773" s="27">
        <v>4686</v>
      </c>
      <c r="F773" s="27">
        <v>4686</v>
      </c>
      <c r="G773" s="55">
        <v>4794</v>
      </c>
      <c r="H773" s="144">
        <v>4794</v>
      </c>
      <c r="I773" s="597"/>
    </row>
    <row r="774" spans="1:9" ht="15" customHeight="1">
      <c r="A774" s="88"/>
      <c r="B774" s="8"/>
      <c r="C774" s="9">
        <v>4170</v>
      </c>
      <c r="D774" s="272" t="s">
        <v>503</v>
      </c>
      <c r="E774" s="27">
        <v>6600</v>
      </c>
      <c r="F774" s="27">
        <v>6600</v>
      </c>
      <c r="G774" s="55">
        <v>6400</v>
      </c>
      <c r="H774" s="144">
        <v>6400</v>
      </c>
      <c r="I774" s="597"/>
    </row>
    <row r="775" spans="1:9" ht="24" customHeight="1">
      <c r="A775" s="88"/>
      <c r="B775" s="8"/>
      <c r="C775" s="9">
        <v>4180</v>
      </c>
      <c r="D775" s="272" t="s">
        <v>672</v>
      </c>
      <c r="E775" s="27">
        <v>275425</v>
      </c>
      <c r="F775" s="27">
        <v>275425</v>
      </c>
      <c r="G775" s="55">
        <v>282006</v>
      </c>
      <c r="H775" s="144">
        <v>282006</v>
      </c>
      <c r="I775" s="597"/>
    </row>
    <row r="776" spans="1:9" ht="15" customHeight="1">
      <c r="A776" s="88"/>
      <c r="B776" s="8"/>
      <c r="C776" s="9">
        <v>4210</v>
      </c>
      <c r="D776" s="272" t="s">
        <v>411</v>
      </c>
      <c r="E776" s="27">
        <v>227162</v>
      </c>
      <c r="F776" s="27">
        <v>227162</v>
      </c>
      <c r="G776" s="55">
        <v>200670</v>
      </c>
      <c r="H776" s="144">
        <v>200670</v>
      </c>
      <c r="I776" s="597"/>
    </row>
    <row r="777" spans="1:9" ht="15" customHeight="1">
      <c r="A777" s="88"/>
      <c r="B777" s="8"/>
      <c r="C777" s="9">
        <v>4260</v>
      </c>
      <c r="D777" s="272" t="s">
        <v>511</v>
      </c>
      <c r="E777" s="27">
        <v>227600</v>
      </c>
      <c r="F777" s="27">
        <v>227600</v>
      </c>
      <c r="G777" s="55">
        <v>225000</v>
      </c>
      <c r="H777" s="144">
        <v>225000</v>
      </c>
      <c r="I777" s="597"/>
    </row>
    <row r="778" spans="1:9" ht="15" customHeight="1">
      <c r="A778" s="88"/>
      <c r="B778" s="8"/>
      <c r="C778" s="9">
        <v>4270</v>
      </c>
      <c r="D778" s="272" t="s">
        <v>412</v>
      </c>
      <c r="E778" s="27">
        <v>68835</v>
      </c>
      <c r="F778" s="27">
        <v>68835</v>
      </c>
      <c r="G778" s="55">
        <v>94386</v>
      </c>
      <c r="H778" s="144">
        <v>94386</v>
      </c>
      <c r="I778" s="597"/>
    </row>
    <row r="779" spans="1:9" ht="15" customHeight="1">
      <c r="A779" s="88"/>
      <c r="B779" s="8"/>
      <c r="C779" s="9">
        <v>4280</v>
      </c>
      <c r="D779" s="272" t="s">
        <v>714</v>
      </c>
      <c r="E779" s="27">
        <v>42000</v>
      </c>
      <c r="F779" s="27">
        <v>42000</v>
      </c>
      <c r="G779" s="55">
        <v>40000</v>
      </c>
      <c r="H779" s="144">
        <v>40000</v>
      </c>
      <c r="I779" s="597"/>
    </row>
    <row r="780" spans="1:9" ht="15" customHeight="1">
      <c r="A780" s="88"/>
      <c r="B780" s="8"/>
      <c r="C780" s="9">
        <v>4300</v>
      </c>
      <c r="D780" s="272" t="s">
        <v>408</v>
      </c>
      <c r="E780" s="27">
        <v>198567</v>
      </c>
      <c r="F780" s="27">
        <v>198567</v>
      </c>
      <c r="G780" s="55">
        <v>155927</v>
      </c>
      <c r="H780" s="144">
        <v>155927</v>
      </c>
      <c r="I780" s="597"/>
    </row>
    <row r="781" spans="1:9" ht="15" customHeight="1">
      <c r="A781" s="88"/>
      <c r="B781" s="8"/>
      <c r="C781" s="20">
        <v>4350</v>
      </c>
      <c r="D781" s="272" t="s">
        <v>506</v>
      </c>
      <c r="E781" s="27">
        <v>1020</v>
      </c>
      <c r="F781" s="27">
        <v>1020</v>
      </c>
      <c r="G781" s="55">
        <v>6000</v>
      </c>
      <c r="H781" s="144">
        <v>6000</v>
      </c>
      <c r="I781" s="597"/>
    </row>
    <row r="782" spans="1:9" ht="39" customHeight="1">
      <c r="A782" s="88"/>
      <c r="B782" s="8"/>
      <c r="C782" s="20">
        <v>4360</v>
      </c>
      <c r="D782" s="272" t="s">
        <v>4</v>
      </c>
      <c r="E782" s="27">
        <v>15320</v>
      </c>
      <c r="F782" s="27">
        <v>15320</v>
      </c>
      <c r="G782" s="55">
        <v>16400</v>
      </c>
      <c r="H782" s="144">
        <v>16400</v>
      </c>
      <c r="I782" s="597"/>
    </row>
    <row r="783" spans="1:9" ht="37.5" customHeight="1">
      <c r="A783" s="88"/>
      <c r="B783" s="8"/>
      <c r="C783" s="20">
        <v>4370</v>
      </c>
      <c r="D783" s="272" t="s">
        <v>3</v>
      </c>
      <c r="E783" s="27">
        <v>12000</v>
      </c>
      <c r="F783" s="27">
        <v>12000</v>
      </c>
      <c r="G783" s="55">
        <v>12000</v>
      </c>
      <c r="H783" s="144">
        <v>12000</v>
      </c>
      <c r="I783" s="597"/>
    </row>
    <row r="784" spans="1:9" ht="24.75" customHeight="1">
      <c r="A784" s="88"/>
      <c r="B784" s="8"/>
      <c r="C784" s="20">
        <v>4390</v>
      </c>
      <c r="D784" s="324" t="s">
        <v>154</v>
      </c>
      <c r="E784" s="27">
        <v>500</v>
      </c>
      <c r="F784" s="27">
        <v>500</v>
      </c>
      <c r="G784" s="55">
        <v>500</v>
      </c>
      <c r="H784" s="144">
        <v>500</v>
      </c>
      <c r="I784" s="597"/>
    </row>
    <row r="785" spans="1:9" ht="26.25" customHeight="1">
      <c r="A785" s="88"/>
      <c r="B785" s="8"/>
      <c r="C785" s="20">
        <v>4400</v>
      </c>
      <c r="D785" s="272" t="s">
        <v>720</v>
      </c>
      <c r="E785" s="27">
        <v>1861</v>
      </c>
      <c r="F785" s="27">
        <v>1861</v>
      </c>
      <c r="G785" s="55">
        <v>1920</v>
      </c>
      <c r="H785" s="144">
        <v>1920</v>
      </c>
      <c r="I785" s="597"/>
    </row>
    <row r="786" spans="1:9" ht="15" customHeight="1">
      <c r="A786" s="88"/>
      <c r="B786" s="8"/>
      <c r="C786" s="20">
        <v>4410</v>
      </c>
      <c r="D786" s="324" t="s">
        <v>500</v>
      </c>
      <c r="E786" s="27">
        <v>5000</v>
      </c>
      <c r="F786" s="27">
        <v>5000</v>
      </c>
      <c r="G786" s="55">
        <v>5500</v>
      </c>
      <c r="H786" s="144">
        <v>5500</v>
      </c>
      <c r="I786" s="597"/>
    </row>
    <row r="787" spans="1:9" ht="15" customHeight="1">
      <c r="A787" s="88"/>
      <c r="B787" s="8"/>
      <c r="C787" s="9">
        <v>4420</v>
      </c>
      <c r="D787" s="272" t="s">
        <v>501</v>
      </c>
      <c r="E787" s="27"/>
      <c r="F787" s="27"/>
      <c r="G787" s="55">
        <v>1000</v>
      </c>
      <c r="H787" s="144">
        <v>1000</v>
      </c>
      <c r="I787" s="597"/>
    </row>
    <row r="788" spans="1:9" ht="15" customHeight="1">
      <c r="A788" s="88"/>
      <c r="B788" s="8"/>
      <c r="C788" s="9">
        <v>4430</v>
      </c>
      <c r="D788" s="272" t="s">
        <v>387</v>
      </c>
      <c r="E788" s="27">
        <v>20200</v>
      </c>
      <c r="F788" s="27">
        <v>20200</v>
      </c>
      <c r="G788" s="55">
        <v>22750</v>
      </c>
      <c r="H788" s="144">
        <v>22750</v>
      </c>
      <c r="I788" s="597"/>
    </row>
    <row r="789" spans="1:9" ht="21.75" customHeight="1">
      <c r="A789" s="88"/>
      <c r="B789" s="8"/>
      <c r="C789" s="9">
        <v>4440</v>
      </c>
      <c r="D789" s="272" t="s">
        <v>498</v>
      </c>
      <c r="E789" s="27">
        <v>6017</v>
      </c>
      <c r="F789" s="27">
        <v>6017</v>
      </c>
      <c r="G789" s="55">
        <v>6017</v>
      </c>
      <c r="H789" s="144">
        <v>6017</v>
      </c>
      <c r="I789" s="597"/>
    </row>
    <row r="790" spans="1:9" ht="15" customHeight="1">
      <c r="A790" s="88"/>
      <c r="B790" s="8"/>
      <c r="C790" s="9">
        <v>4480</v>
      </c>
      <c r="D790" s="272" t="s">
        <v>351</v>
      </c>
      <c r="E790" s="27">
        <v>26785</v>
      </c>
      <c r="F790" s="27">
        <v>26785</v>
      </c>
      <c r="G790" s="55">
        <v>27475</v>
      </c>
      <c r="H790" s="144">
        <v>27475</v>
      </c>
      <c r="I790" s="597"/>
    </row>
    <row r="791" spans="1:9" ht="24.75" customHeight="1">
      <c r="A791" s="88"/>
      <c r="B791" s="8"/>
      <c r="C791" s="9">
        <v>4500</v>
      </c>
      <c r="D791" s="272" t="s">
        <v>598</v>
      </c>
      <c r="E791" s="27">
        <v>670</v>
      </c>
      <c r="F791" s="27">
        <v>670</v>
      </c>
      <c r="G791" s="55">
        <v>684</v>
      </c>
      <c r="H791" s="144">
        <v>684</v>
      </c>
      <c r="I791" s="597"/>
    </row>
    <row r="792" spans="1:9" ht="15" customHeight="1">
      <c r="A792" s="88"/>
      <c r="B792" s="8"/>
      <c r="C792" s="9">
        <v>4510</v>
      </c>
      <c r="D792" s="272" t="s">
        <v>114</v>
      </c>
      <c r="E792" s="27">
        <v>1305</v>
      </c>
      <c r="F792" s="27">
        <v>1305</v>
      </c>
      <c r="G792" s="55">
        <v>1305</v>
      </c>
      <c r="H792" s="144">
        <v>1305</v>
      </c>
      <c r="I792" s="597"/>
    </row>
    <row r="793" spans="1:9" ht="27.75" customHeight="1">
      <c r="A793" s="88"/>
      <c r="B793" s="8"/>
      <c r="C793" s="9">
        <v>4520</v>
      </c>
      <c r="D793" s="272" t="s">
        <v>373</v>
      </c>
      <c r="E793" s="27">
        <v>76</v>
      </c>
      <c r="F793" s="27">
        <v>76</v>
      </c>
      <c r="G793" s="55">
        <v>6115</v>
      </c>
      <c r="H793" s="144">
        <v>6115</v>
      </c>
      <c r="I793" s="597"/>
    </row>
    <row r="794" spans="1:9" ht="16.5" customHeight="1">
      <c r="A794" s="88"/>
      <c r="B794" s="8"/>
      <c r="C794" s="9">
        <v>4550</v>
      </c>
      <c r="D794" s="272" t="s">
        <v>115</v>
      </c>
      <c r="E794" s="27">
        <v>1140</v>
      </c>
      <c r="F794" s="27">
        <v>1140</v>
      </c>
      <c r="G794" s="55">
        <v>2500</v>
      </c>
      <c r="H794" s="144">
        <v>2500</v>
      </c>
      <c r="I794" s="597"/>
    </row>
    <row r="795" spans="1:9" ht="23.25" customHeight="1">
      <c r="A795" s="88"/>
      <c r="B795" s="8"/>
      <c r="C795" s="3">
        <v>6050</v>
      </c>
      <c r="D795" s="272" t="s">
        <v>470</v>
      </c>
      <c r="E795" s="27">
        <v>350000</v>
      </c>
      <c r="F795" s="27">
        <v>100000</v>
      </c>
      <c r="G795" s="55">
        <v>400000</v>
      </c>
      <c r="H795" s="144">
        <v>400000</v>
      </c>
      <c r="I795" s="597"/>
    </row>
    <row r="796" spans="1:9" ht="27" customHeight="1">
      <c r="A796" s="88"/>
      <c r="B796" s="8"/>
      <c r="C796" s="3">
        <v>6060</v>
      </c>
      <c r="D796" s="272" t="s">
        <v>516</v>
      </c>
      <c r="E796" s="27">
        <v>110000</v>
      </c>
      <c r="F796" s="27"/>
      <c r="G796" s="27">
        <v>0</v>
      </c>
      <c r="H796" s="144"/>
      <c r="I796" s="597"/>
    </row>
    <row r="797" spans="1:9" ht="38.25" customHeight="1">
      <c r="A797" s="88"/>
      <c r="B797" s="8"/>
      <c r="C797" s="9">
        <v>6170</v>
      </c>
      <c r="D797" s="272" t="s">
        <v>415</v>
      </c>
      <c r="E797" s="27">
        <v>250000</v>
      </c>
      <c r="F797" s="55"/>
      <c r="G797" s="27">
        <v>0</v>
      </c>
      <c r="H797" s="27"/>
      <c r="I797" s="597"/>
    </row>
    <row r="798" spans="1:9" ht="24" customHeight="1">
      <c r="A798" s="88"/>
      <c r="B798" s="25">
        <v>75478</v>
      </c>
      <c r="C798" s="171"/>
      <c r="D798" s="318" t="s">
        <v>676</v>
      </c>
      <c r="E798" s="104">
        <f>E799</f>
        <v>2686</v>
      </c>
      <c r="F798" s="104">
        <f>F799</f>
        <v>2686</v>
      </c>
      <c r="G798" s="166"/>
      <c r="H798" s="27"/>
      <c r="I798" s="597"/>
    </row>
    <row r="799" spans="1:9" ht="21" customHeight="1">
      <c r="A799" s="88"/>
      <c r="B799" s="3"/>
      <c r="C799" s="9">
        <v>4210</v>
      </c>
      <c r="D799" s="272" t="s">
        <v>411</v>
      </c>
      <c r="E799" s="55">
        <v>2686</v>
      </c>
      <c r="F799" s="55">
        <v>2686</v>
      </c>
      <c r="G799" s="166"/>
      <c r="H799" s="27"/>
      <c r="I799" s="597"/>
    </row>
    <row r="800" spans="1:9" ht="24.75" customHeight="1">
      <c r="A800" s="62">
        <v>758</v>
      </c>
      <c r="B800" s="62"/>
      <c r="C800" s="11"/>
      <c r="D800" s="276" t="s">
        <v>146</v>
      </c>
      <c r="E800" s="229">
        <f>E801+E807</f>
        <v>3685892.22</v>
      </c>
      <c r="F800" s="170"/>
      <c r="G800" s="229">
        <f>G801+G807</f>
        <v>1663694</v>
      </c>
      <c r="H800" s="1074"/>
      <c r="I800" s="330">
        <f>G800/E800*100</f>
        <v>45.13680543811452</v>
      </c>
    </row>
    <row r="801" spans="1:9" ht="21.75" customHeight="1">
      <c r="A801" s="116"/>
      <c r="B801" s="49">
        <v>75818</v>
      </c>
      <c r="C801" s="25"/>
      <c r="D801" s="277" t="s">
        <v>147</v>
      </c>
      <c r="E801" s="104">
        <f>E802+E806</f>
        <v>2487136.22</v>
      </c>
      <c r="F801" s="149"/>
      <c r="G801" s="104">
        <f>G802+G806</f>
        <v>1158000</v>
      </c>
      <c r="H801" s="59"/>
      <c r="I801" s="330">
        <f>G801/E801*100</f>
        <v>46.55957284076704</v>
      </c>
    </row>
    <row r="802" spans="1:9" ht="16.5" customHeight="1">
      <c r="A802" s="89"/>
      <c r="B802" s="89"/>
      <c r="C802" s="14">
        <v>4810</v>
      </c>
      <c r="D802" s="272" t="s">
        <v>707</v>
      </c>
      <c r="E802" s="100">
        <f>E804+E805</f>
        <v>2352798</v>
      </c>
      <c r="F802" s="149"/>
      <c r="G802" s="100">
        <f>G804+G805</f>
        <v>500000</v>
      </c>
      <c r="H802" s="59"/>
      <c r="I802" s="597"/>
    </row>
    <row r="803" spans="1:9" ht="15" customHeight="1">
      <c r="A803" s="89"/>
      <c r="B803" s="88"/>
      <c r="C803" s="14"/>
      <c r="D803" s="316" t="s">
        <v>708</v>
      </c>
      <c r="E803" s="100"/>
      <c r="F803" s="149"/>
      <c r="G803" s="100"/>
      <c r="H803" s="59"/>
      <c r="I803" s="597"/>
    </row>
    <row r="804" spans="1:9" ht="17.25" customHeight="1">
      <c r="A804" s="89"/>
      <c r="B804" s="88"/>
      <c r="C804" s="8"/>
      <c r="D804" s="316" t="s">
        <v>376</v>
      </c>
      <c r="E804" s="160">
        <v>2352798</v>
      </c>
      <c r="F804" s="149"/>
      <c r="G804" s="160">
        <v>300000</v>
      </c>
      <c r="H804" s="59"/>
      <c r="I804" s="597"/>
    </row>
    <row r="805" spans="1:9" ht="20.25" customHeight="1">
      <c r="A805" s="89"/>
      <c r="B805" s="88"/>
      <c r="C805" s="2" t="s">
        <v>21</v>
      </c>
      <c r="D805" s="316" t="s">
        <v>710</v>
      </c>
      <c r="E805" s="55"/>
      <c r="F805" s="149"/>
      <c r="G805" s="55">
        <v>200000</v>
      </c>
      <c r="H805" s="59"/>
      <c r="I805" s="597"/>
    </row>
    <row r="806" spans="1:9" ht="24" customHeight="1">
      <c r="A806" s="89"/>
      <c r="B806" s="88"/>
      <c r="C806" s="2">
        <v>6800</v>
      </c>
      <c r="D806" s="316" t="s">
        <v>711</v>
      </c>
      <c r="E806" s="100">
        <v>134338.22</v>
      </c>
      <c r="F806" s="149"/>
      <c r="G806" s="100">
        <v>658000</v>
      </c>
      <c r="H806" s="59"/>
      <c r="I806" s="597"/>
    </row>
    <row r="807" spans="1:25" s="56" customFormat="1" ht="24.75" customHeight="1">
      <c r="A807" s="116"/>
      <c r="B807" s="49">
        <v>75832</v>
      </c>
      <c r="C807" s="38"/>
      <c r="D807" s="325" t="s">
        <v>674</v>
      </c>
      <c r="E807" s="220">
        <f>E808</f>
        <v>1198756</v>
      </c>
      <c r="F807" s="112"/>
      <c r="G807" s="220">
        <f>G808</f>
        <v>505694</v>
      </c>
      <c r="H807" s="1069"/>
      <c r="I807" s="330">
        <f>G807/E807*100</f>
        <v>42.18489834461725</v>
      </c>
      <c r="J807" s="230"/>
      <c r="K807" s="230"/>
      <c r="L807" s="248"/>
      <c r="M807" s="230"/>
      <c r="N807" s="230"/>
      <c r="O807" s="230"/>
      <c r="P807" s="230"/>
      <c r="Q807" s="230"/>
      <c r="R807" s="230"/>
      <c r="S807" s="230"/>
      <c r="T807" s="238"/>
      <c r="U807" s="238"/>
      <c r="V807" s="238"/>
      <c r="W807" s="238"/>
      <c r="X807" s="238"/>
      <c r="Y807" s="238"/>
    </row>
    <row r="808" spans="1:9" ht="24" customHeight="1">
      <c r="A808" s="89"/>
      <c r="B808" s="88"/>
      <c r="C808" s="3">
        <v>2930</v>
      </c>
      <c r="D808" s="272" t="s">
        <v>375</v>
      </c>
      <c r="E808" s="99">
        <v>1198756</v>
      </c>
      <c r="F808" s="94"/>
      <c r="G808" s="99">
        <v>505694</v>
      </c>
      <c r="H808" s="389"/>
      <c r="I808" s="597"/>
    </row>
    <row r="809" spans="1:9" ht="20.25" customHeight="1">
      <c r="A809" s="62">
        <v>801</v>
      </c>
      <c r="B809" s="62"/>
      <c r="C809" s="6"/>
      <c r="D809" s="276" t="s">
        <v>148</v>
      </c>
      <c r="E809" s="36">
        <f>E810+E830+E849+E851+E870+E901+E1018+E928+E956+E959+E976+E1002+E1025+E1046+E1062</f>
        <v>60810761.12</v>
      </c>
      <c r="F809" s="114"/>
      <c r="G809" s="36">
        <f>G810+G830+G849+G851+G870+G901+G1018+G928+G956+G959+G976+G1002+G1025+G1046+G1062</f>
        <v>62741493.6</v>
      </c>
      <c r="H809" s="144"/>
      <c r="I809" s="330">
        <f>G809/E809*100</f>
        <v>103.17498489484456</v>
      </c>
    </row>
    <row r="810" spans="1:9" ht="24" customHeight="1">
      <c r="A810" s="73"/>
      <c r="B810" s="28">
        <v>80102</v>
      </c>
      <c r="C810" s="25"/>
      <c r="D810" s="277" t="s">
        <v>454</v>
      </c>
      <c r="E810" s="41">
        <f>SUM(E811:E829)</f>
        <v>3070526</v>
      </c>
      <c r="F810" s="110"/>
      <c r="G810" s="41">
        <f>SUM(G811:G829)</f>
        <v>2768615</v>
      </c>
      <c r="H810" s="1068"/>
      <c r="I810" s="330">
        <f>G810/E810*100</f>
        <v>90.16745013720777</v>
      </c>
    </row>
    <row r="811" spans="1:9" ht="27" customHeight="1">
      <c r="A811" s="73"/>
      <c r="B811" s="16"/>
      <c r="C811" s="9">
        <v>3020</v>
      </c>
      <c r="D811" s="272" t="s">
        <v>712</v>
      </c>
      <c r="E811" s="44">
        <v>7600</v>
      </c>
      <c r="F811" s="94"/>
      <c r="G811" s="44">
        <v>7500</v>
      </c>
      <c r="H811" s="389"/>
      <c r="I811" s="597"/>
    </row>
    <row r="812" spans="1:9" ht="18.75" customHeight="1">
      <c r="A812" s="73"/>
      <c r="B812" s="18"/>
      <c r="C812" s="9">
        <v>4010</v>
      </c>
      <c r="D812" s="272" t="s">
        <v>451</v>
      </c>
      <c r="E812" s="44">
        <v>2208970</v>
      </c>
      <c r="F812" s="94"/>
      <c r="G812" s="44">
        <v>2013699</v>
      </c>
      <c r="H812" s="389"/>
      <c r="I812" s="597"/>
    </row>
    <row r="813" spans="1:9" ht="15" customHeight="1">
      <c r="A813" s="73"/>
      <c r="B813" s="18"/>
      <c r="C813" s="9">
        <v>4040</v>
      </c>
      <c r="D813" s="272" t="s">
        <v>452</v>
      </c>
      <c r="E813" s="44">
        <v>173121</v>
      </c>
      <c r="F813" s="94"/>
      <c r="G813" s="44">
        <v>182526</v>
      </c>
      <c r="H813" s="389"/>
      <c r="I813" s="597"/>
    </row>
    <row r="814" spans="1:9" ht="15" customHeight="1">
      <c r="A814" s="73"/>
      <c r="B814" s="18"/>
      <c r="C814" s="9">
        <v>4110</v>
      </c>
      <c r="D814" s="272" t="s">
        <v>496</v>
      </c>
      <c r="E814" s="44">
        <v>433019</v>
      </c>
      <c r="F814" s="94"/>
      <c r="G814" s="44">
        <v>346540</v>
      </c>
      <c r="H814" s="389"/>
      <c r="I814" s="597"/>
    </row>
    <row r="815" spans="1:9" ht="15" customHeight="1">
      <c r="A815" s="73"/>
      <c r="B815" s="18"/>
      <c r="C815" s="9">
        <v>4120</v>
      </c>
      <c r="D815" s="272" t="s">
        <v>497</v>
      </c>
      <c r="E815" s="44">
        <v>52076</v>
      </c>
      <c r="F815" s="94"/>
      <c r="G815" s="44">
        <v>50755</v>
      </c>
      <c r="H815" s="389"/>
      <c r="I815" s="597"/>
    </row>
    <row r="816" spans="1:9" ht="15" customHeight="1">
      <c r="A816" s="73"/>
      <c r="B816" s="18"/>
      <c r="C816" s="9">
        <v>4170</v>
      </c>
      <c r="D816" s="272" t="s">
        <v>503</v>
      </c>
      <c r="E816" s="44">
        <v>3610</v>
      </c>
      <c r="F816" s="94"/>
      <c r="G816" s="44">
        <v>3610</v>
      </c>
      <c r="H816" s="389"/>
      <c r="I816" s="597"/>
    </row>
    <row r="817" spans="1:9" ht="15" customHeight="1">
      <c r="A817" s="73"/>
      <c r="B817" s="18"/>
      <c r="C817" s="9">
        <v>4210</v>
      </c>
      <c r="D817" s="272" t="s">
        <v>411</v>
      </c>
      <c r="E817" s="44">
        <v>6680</v>
      </c>
      <c r="F817" s="94"/>
      <c r="G817" s="44">
        <v>5880</v>
      </c>
      <c r="H817" s="389"/>
      <c r="I817" s="597"/>
    </row>
    <row r="818" spans="1:9" ht="22.5" customHeight="1">
      <c r="A818" s="73"/>
      <c r="B818" s="18"/>
      <c r="C818" s="9">
        <v>4240</v>
      </c>
      <c r="D818" s="272" t="s">
        <v>97</v>
      </c>
      <c r="E818" s="44">
        <v>960</v>
      </c>
      <c r="F818" s="94"/>
      <c r="G818" s="44">
        <v>960</v>
      </c>
      <c r="H818" s="389"/>
      <c r="I818" s="597"/>
    </row>
    <row r="819" spans="1:9" ht="15" customHeight="1">
      <c r="A819" s="73"/>
      <c r="B819" s="18"/>
      <c r="C819" s="9">
        <v>4260</v>
      </c>
      <c r="D819" s="272" t="s">
        <v>511</v>
      </c>
      <c r="E819" s="44">
        <v>37640</v>
      </c>
      <c r="F819" s="94"/>
      <c r="G819" s="44">
        <v>35580</v>
      </c>
      <c r="H819" s="389"/>
      <c r="I819" s="597"/>
    </row>
    <row r="820" spans="1:9" ht="15" customHeight="1">
      <c r="A820" s="73"/>
      <c r="B820" s="18"/>
      <c r="C820" s="9">
        <v>4270</v>
      </c>
      <c r="D820" s="272" t="s">
        <v>412</v>
      </c>
      <c r="E820" s="44">
        <v>7495</v>
      </c>
      <c r="F820" s="94"/>
      <c r="G820" s="44">
        <v>5195</v>
      </c>
      <c r="H820" s="389"/>
      <c r="I820" s="597"/>
    </row>
    <row r="821" spans="1:9" ht="15" customHeight="1">
      <c r="A821" s="73"/>
      <c r="B821" s="18"/>
      <c r="C821" s="9">
        <v>4280</v>
      </c>
      <c r="D821" s="272" t="s">
        <v>714</v>
      </c>
      <c r="E821" s="44">
        <v>1160</v>
      </c>
      <c r="F821" s="94"/>
      <c r="G821" s="44">
        <v>1160</v>
      </c>
      <c r="H821" s="389"/>
      <c r="I821" s="597"/>
    </row>
    <row r="822" spans="1:9" ht="15" customHeight="1">
      <c r="A822" s="73"/>
      <c r="B822" s="18"/>
      <c r="C822" s="9">
        <v>4300</v>
      </c>
      <c r="D822" s="272" t="s">
        <v>408</v>
      </c>
      <c r="E822" s="44">
        <v>10295</v>
      </c>
      <c r="F822" s="94"/>
      <c r="G822" s="44">
        <v>10795</v>
      </c>
      <c r="H822" s="389"/>
      <c r="I822" s="597"/>
    </row>
    <row r="823" spans="1:9" ht="15" customHeight="1">
      <c r="A823" s="73"/>
      <c r="B823" s="18"/>
      <c r="C823" s="20">
        <v>4350</v>
      </c>
      <c r="D823" s="272" t="s">
        <v>506</v>
      </c>
      <c r="E823" s="44">
        <v>200</v>
      </c>
      <c r="F823" s="94"/>
      <c r="G823" s="44">
        <v>560</v>
      </c>
      <c r="H823" s="389"/>
      <c r="I823" s="597"/>
    </row>
    <row r="824" spans="1:9" ht="38.25" customHeight="1">
      <c r="A824" s="73"/>
      <c r="B824" s="18"/>
      <c r="C824" s="20">
        <v>4370</v>
      </c>
      <c r="D824" s="272" t="s">
        <v>3</v>
      </c>
      <c r="E824" s="44">
        <v>1790</v>
      </c>
      <c r="F824" s="94"/>
      <c r="G824" s="44">
        <v>1990</v>
      </c>
      <c r="H824" s="389"/>
      <c r="I824" s="597"/>
    </row>
    <row r="825" spans="1:9" ht="15" customHeight="1">
      <c r="A825" s="73"/>
      <c r="B825" s="18"/>
      <c r="C825" s="9">
        <v>4410</v>
      </c>
      <c r="D825" s="272" t="s">
        <v>500</v>
      </c>
      <c r="E825" s="44">
        <v>0</v>
      </c>
      <c r="F825" s="94"/>
      <c r="G825" s="44">
        <v>500</v>
      </c>
      <c r="H825" s="389"/>
      <c r="I825" s="597"/>
    </row>
    <row r="826" spans="1:9" ht="18.75" customHeight="1">
      <c r="A826" s="73"/>
      <c r="B826" s="18"/>
      <c r="C826" s="9">
        <v>4430</v>
      </c>
      <c r="D826" s="272" t="s">
        <v>387</v>
      </c>
      <c r="E826" s="44">
        <v>2860</v>
      </c>
      <c r="F826" s="94"/>
      <c r="G826" s="44">
        <v>2890</v>
      </c>
      <c r="H826" s="389"/>
      <c r="I826" s="597"/>
    </row>
    <row r="827" spans="1:9" ht="24.75" customHeight="1">
      <c r="A827" s="73"/>
      <c r="B827" s="18"/>
      <c r="C827" s="9">
        <v>4440</v>
      </c>
      <c r="D827" s="272" t="s">
        <v>498</v>
      </c>
      <c r="E827" s="44">
        <v>119840</v>
      </c>
      <c r="F827" s="94"/>
      <c r="G827" s="44">
        <v>96575</v>
      </c>
      <c r="H827" s="389"/>
      <c r="I827" s="597"/>
    </row>
    <row r="828" spans="1:9" ht="24.75" customHeight="1">
      <c r="A828" s="73"/>
      <c r="B828" s="18"/>
      <c r="C828" s="9">
        <v>4520</v>
      </c>
      <c r="D828" s="272" t="s">
        <v>373</v>
      </c>
      <c r="E828" s="44">
        <v>700</v>
      </c>
      <c r="F828" s="94"/>
      <c r="G828" s="44">
        <v>1000</v>
      </c>
      <c r="H828" s="389"/>
      <c r="I828" s="597"/>
    </row>
    <row r="829" spans="1:9" ht="30.75" customHeight="1">
      <c r="A829" s="73"/>
      <c r="B829" s="18"/>
      <c r="C829" s="3">
        <v>4700</v>
      </c>
      <c r="D829" s="272" t="s">
        <v>374</v>
      </c>
      <c r="E829" s="44">
        <v>2510</v>
      </c>
      <c r="F829" s="94"/>
      <c r="G829" s="44">
        <v>900</v>
      </c>
      <c r="H829" s="389"/>
      <c r="I829" s="597"/>
    </row>
    <row r="830" spans="1:9" ht="22.5" customHeight="1">
      <c r="A830" s="73"/>
      <c r="B830" s="24">
        <v>80111</v>
      </c>
      <c r="C830" s="25"/>
      <c r="D830" s="277" t="s">
        <v>455</v>
      </c>
      <c r="E830" s="41">
        <f>SUM(E831:E848)</f>
        <v>1291084</v>
      </c>
      <c r="F830" s="94"/>
      <c r="G830" s="41">
        <f>SUM(G831:G848)</f>
        <v>1387334</v>
      </c>
      <c r="H830" s="389"/>
      <c r="I830" s="330">
        <f>G830/E830*100</f>
        <v>107.45497581876936</v>
      </c>
    </row>
    <row r="831" spans="1:9" ht="24.75" customHeight="1">
      <c r="A831" s="73"/>
      <c r="B831" s="16"/>
      <c r="C831" s="9">
        <v>3020</v>
      </c>
      <c r="D831" s="272" t="s">
        <v>712</v>
      </c>
      <c r="E831" s="44">
        <v>2710</v>
      </c>
      <c r="F831" s="94"/>
      <c r="G831" s="44">
        <v>2610</v>
      </c>
      <c r="H831" s="389"/>
      <c r="I831" s="597"/>
    </row>
    <row r="832" spans="1:9" ht="14.25" customHeight="1">
      <c r="A832" s="73"/>
      <c r="B832" s="18"/>
      <c r="C832" s="9">
        <v>4010</v>
      </c>
      <c r="D832" s="272" t="s">
        <v>451</v>
      </c>
      <c r="E832" s="44">
        <v>912938</v>
      </c>
      <c r="F832" s="94"/>
      <c r="G832" s="44">
        <v>947475</v>
      </c>
      <c r="H832" s="389"/>
      <c r="I832" s="597"/>
    </row>
    <row r="833" spans="1:9" ht="15" customHeight="1">
      <c r="A833" s="73"/>
      <c r="B833" s="18"/>
      <c r="C833" s="9">
        <v>4040</v>
      </c>
      <c r="D833" s="272" t="s">
        <v>452</v>
      </c>
      <c r="E833" s="44">
        <v>62262</v>
      </c>
      <c r="F833" s="94"/>
      <c r="G833" s="44">
        <v>78901</v>
      </c>
      <c r="H833" s="389"/>
      <c r="I833" s="597"/>
    </row>
    <row r="834" spans="1:9" ht="15" customHeight="1">
      <c r="A834" s="73"/>
      <c r="B834" s="18"/>
      <c r="C834" s="9">
        <v>4110</v>
      </c>
      <c r="D834" s="272" t="s">
        <v>496</v>
      </c>
      <c r="E834" s="44">
        <v>156665</v>
      </c>
      <c r="F834" s="94"/>
      <c r="G834" s="44">
        <v>182275</v>
      </c>
      <c r="H834" s="389"/>
      <c r="I834" s="597"/>
    </row>
    <row r="835" spans="1:9" ht="15" customHeight="1">
      <c r="A835" s="73"/>
      <c r="B835" s="18"/>
      <c r="C835" s="9">
        <v>4120</v>
      </c>
      <c r="D835" s="272" t="s">
        <v>497</v>
      </c>
      <c r="E835" s="44">
        <v>22331</v>
      </c>
      <c r="F835" s="94"/>
      <c r="G835" s="44">
        <v>28490</v>
      </c>
      <c r="H835" s="389"/>
      <c r="I835" s="597"/>
    </row>
    <row r="836" spans="1:9" ht="15" customHeight="1">
      <c r="A836" s="73"/>
      <c r="B836" s="18"/>
      <c r="C836" s="9">
        <v>4210</v>
      </c>
      <c r="D836" s="272" t="s">
        <v>411</v>
      </c>
      <c r="E836" s="44">
        <v>6180</v>
      </c>
      <c r="F836" s="94"/>
      <c r="G836" s="44">
        <v>6860</v>
      </c>
      <c r="H836" s="389"/>
      <c r="I836" s="597"/>
    </row>
    <row r="837" spans="1:9" ht="24.75" customHeight="1">
      <c r="A837" s="73"/>
      <c r="B837" s="18"/>
      <c r="C837" s="9">
        <v>4240</v>
      </c>
      <c r="D837" s="272" t="s">
        <v>97</v>
      </c>
      <c r="E837" s="44">
        <v>563</v>
      </c>
      <c r="F837" s="94"/>
      <c r="G837" s="44">
        <v>563</v>
      </c>
      <c r="H837" s="389"/>
      <c r="I837" s="597"/>
    </row>
    <row r="838" spans="1:9" ht="15" customHeight="1">
      <c r="A838" s="73"/>
      <c r="B838" s="18"/>
      <c r="C838" s="9">
        <v>4260</v>
      </c>
      <c r="D838" s="272" t="s">
        <v>511</v>
      </c>
      <c r="E838" s="44">
        <v>55060</v>
      </c>
      <c r="F838" s="94"/>
      <c r="G838" s="44">
        <v>57150</v>
      </c>
      <c r="H838" s="389"/>
      <c r="I838" s="597"/>
    </row>
    <row r="839" spans="1:9" ht="15" customHeight="1">
      <c r="A839" s="73"/>
      <c r="B839" s="18"/>
      <c r="C839" s="9">
        <v>4270</v>
      </c>
      <c r="D839" s="272" t="s">
        <v>412</v>
      </c>
      <c r="E839" s="44">
        <v>12350</v>
      </c>
      <c r="F839" s="94"/>
      <c r="G839" s="44">
        <v>9050</v>
      </c>
      <c r="H839" s="389"/>
      <c r="I839" s="597"/>
    </row>
    <row r="840" spans="1:9" ht="15" customHeight="1">
      <c r="A840" s="73"/>
      <c r="B840" s="18"/>
      <c r="C840" s="9">
        <v>4280</v>
      </c>
      <c r="D840" s="272" t="s">
        <v>714</v>
      </c>
      <c r="E840" s="44">
        <v>930</v>
      </c>
      <c r="F840" s="94"/>
      <c r="G840" s="44">
        <v>830</v>
      </c>
      <c r="H840" s="389"/>
      <c r="I840" s="597"/>
    </row>
    <row r="841" spans="1:9" ht="15" customHeight="1">
      <c r="A841" s="73"/>
      <c r="B841" s="18"/>
      <c r="C841" s="9">
        <v>4300</v>
      </c>
      <c r="D841" s="272" t="s">
        <v>408</v>
      </c>
      <c r="E841" s="44">
        <v>11080</v>
      </c>
      <c r="F841" s="94"/>
      <c r="G841" s="44">
        <v>11700</v>
      </c>
      <c r="H841" s="389"/>
      <c r="I841" s="597"/>
    </row>
    <row r="842" spans="1:9" ht="15.75" customHeight="1">
      <c r="A842" s="73"/>
      <c r="B842" s="18"/>
      <c r="C842" s="20">
        <v>4350</v>
      </c>
      <c r="D842" s="272" t="s">
        <v>506</v>
      </c>
      <c r="E842" s="44">
        <v>1160</v>
      </c>
      <c r="F842" s="94"/>
      <c r="G842" s="44">
        <v>1520</v>
      </c>
      <c r="H842" s="389"/>
      <c r="I842" s="597"/>
    </row>
    <row r="843" spans="1:9" ht="36" customHeight="1">
      <c r="A843" s="73"/>
      <c r="B843" s="18"/>
      <c r="C843" s="20">
        <v>4370</v>
      </c>
      <c r="D843" s="272" t="s">
        <v>3</v>
      </c>
      <c r="E843" s="44">
        <v>1275</v>
      </c>
      <c r="F843" s="94"/>
      <c r="G843" s="44">
        <v>1475</v>
      </c>
      <c r="H843" s="389"/>
      <c r="I843" s="597"/>
    </row>
    <row r="844" spans="1:9" ht="16.5" customHeight="1">
      <c r="A844" s="73"/>
      <c r="B844" s="18"/>
      <c r="C844" s="9">
        <v>4410</v>
      </c>
      <c r="D844" s="272" t="s">
        <v>500</v>
      </c>
      <c r="E844" s="44">
        <v>0</v>
      </c>
      <c r="F844" s="94"/>
      <c r="G844" s="44">
        <v>400</v>
      </c>
      <c r="H844" s="389"/>
      <c r="I844" s="597"/>
    </row>
    <row r="845" spans="1:9" ht="20.25" customHeight="1">
      <c r="A845" s="73"/>
      <c r="B845" s="18"/>
      <c r="C845" s="9">
        <v>4430</v>
      </c>
      <c r="D845" s="272" t="s">
        <v>387</v>
      </c>
      <c r="E845" s="44">
        <v>2240</v>
      </c>
      <c r="F845" s="94"/>
      <c r="G845" s="44">
        <v>2270</v>
      </c>
      <c r="H845" s="389"/>
      <c r="I845" s="597"/>
    </row>
    <row r="846" spans="1:9" ht="28.5" customHeight="1">
      <c r="A846" s="73"/>
      <c r="B846" s="18"/>
      <c r="C846" s="9">
        <v>4440</v>
      </c>
      <c r="D846" s="272" t="s">
        <v>498</v>
      </c>
      <c r="E846" s="44">
        <v>42280</v>
      </c>
      <c r="F846" s="94"/>
      <c r="G846" s="44">
        <v>54325</v>
      </c>
      <c r="H846" s="389"/>
      <c r="I846" s="597"/>
    </row>
    <row r="847" spans="1:9" ht="28.5" customHeight="1">
      <c r="A847" s="73"/>
      <c r="B847" s="18"/>
      <c r="C847" s="9">
        <v>4520</v>
      </c>
      <c r="D847" s="272" t="s">
        <v>373</v>
      </c>
      <c r="E847" s="44">
        <v>620</v>
      </c>
      <c r="F847" s="94"/>
      <c r="G847" s="44">
        <v>1000</v>
      </c>
      <c r="H847" s="389"/>
      <c r="I847" s="597"/>
    </row>
    <row r="848" spans="1:9" ht="31.5" customHeight="1">
      <c r="A848" s="73"/>
      <c r="B848" s="18"/>
      <c r="C848" s="3">
        <v>4700</v>
      </c>
      <c r="D848" s="272" t="s">
        <v>374</v>
      </c>
      <c r="E848" s="44">
        <v>440</v>
      </c>
      <c r="F848" s="94"/>
      <c r="G848" s="44">
        <v>440</v>
      </c>
      <c r="H848" s="389"/>
      <c r="I848" s="597"/>
    </row>
    <row r="849" spans="1:25" s="56" customFormat="1" ht="20.25" customHeight="1">
      <c r="A849" s="91"/>
      <c r="B849" s="24">
        <v>80113</v>
      </c>
      <c r="C849" s="25"/>
      <c r="D849" s="277" t="s">
        <v>112</v>
      </c>
      <c r="E849" s="41">
        <f>E850</f>
        <v>0</v>
      </c>
      <c r="F849" s="112"/>
      <c r="G849" s="41">
        <f>G850</f>
        <v>50000</v>
      </c>
      <c r="H849" s="1069"/>
      <c r="I849" s="599"/>
      <c r="J849" s="230"/>
      <c r="K849" s="230"/>
      <c r="L849" s="248"/>
      <c r="M849" s="230"/>
      <c r="N849" s="230"/>
      <c r="O849" s="230"/>
      <c r="P849" s="230"/>
      <c r="Q849" s="230"/>
      <c r="R849" s="230"/>
      <c r="S849" s="230"/>
      <c r="T849" s="238"/>
      <c r="U849" s="238"/>
      <c r="V849" s="238"/>
      <c r="W849" s="238"/>
      <c r="X849" s="238"/>
      <c r="Y849" s="238"/>
    </row>
    <row r="850" spans="1:9" ht="22.5" customHeight="1">
      <c r="A850" s="73"/>
      <c r="B850" s="10"/>
      <c r="C850" s="3">
        <v>4300</v>
      </c>
      <c r="D850" s="272" t="s">
        <v>408</v>
      </c>
      <c r="E850" s="44">
        <v>0</v>
      </c>
      <c r="F850" s="94"/>
      <c r="G850" s="44">
        <v>50000</v>
      </c>
      <c r="H850" s="389"/>
      <c r="I850" s="597"/>
    </row>
    <row r="851" spans="1:9" ht="32.25" customHeight="1">
      <c r="A851" s="73"/>
      <c r="B851" s="24">
        <v>80114</v>
      </c>
      <c r="C851" s="25"/>
      <c r="D851" s="277" t="s">
        <v>456</v>
      </c>
      <c r="E851" s="41">
        <f>SUM(E852:E869)</f>
        <v>1309983</v>
      </c>
      <c r="F851" s="94"/>
      <c r="G851" s="41">
        <f>SUM(G852:G869)</f>
        <v>1280697</v>
      </c>
      <c r="H851" s="389"/>
      <c r="I851" s="330">
        <f>G851/E851*100</f>
        <v>97.76439846929311</v>
      </c>
    </row>
    <row r="852" spans="1:9" ht="24.75" customHeight="1">
      <c r="A852" s="73"/>
      <c r="B852" s="16"/>
      <c r="C852" s="9">
        <v>3020</v>
      </c>
      <c r="D852" s="272" t="s">
        <v>712</v>
      </c>
      <c r="E852" s="44">
        <v>2000</v>
      </c>
      <c r="F852" s="94"/>
      <c r="G852" s="44">
        <v>4000</v>
      </c>
      <c r="H852" s="389"/>
      <c r="I852" s="597"/>
    </row>
    <row r="853" spans="1:9" ht="18.75" customHeight="1">
      <c r="A853" s="73"/>
      <c r="B853" s="18"/>
      <c r="C853" s="9">
        <v>4010</v>
      </c>
      <c r="D853" s="272" t="s">
        <v>451</v>
      </c>
      <c r="E853" s="44">
        <v>708500</v>
      </c>
      <c r="F853" s="94"/>
      <c r="G853" s="44">
        <v>680547</v>
      </c>
      <c r="H853" s="389"/>
      <c r="I853" s="597"/>
    </row>
    <row r="854" spans="1:9" ht="15" customHeight="1">
      <c r="A854" s="73"/>
      <c r="B854" s="18"/>
      <c r="C854" s="9">
        <v>4040</v>
      </c>
      <c r="D854" s="272" t="s">
        <v>452</v>
      </c>
      <c r="E854" s="44">
        <v>54633</v>
      </c>
      <c r="F854" s="94"/>
      <c r="G854" s="44">
        <v>61100</v>
      </c>
      <c r="H854" s="389"/>
      <c r="I854" s="597"/>
    </row>
    <row r="855" spans="1:9" ht="15" customHeight="1">
      <c r="A855" s="73"/>
      <c r="B855" s="18"/>
      <c r="C855" s="9">
        <v>4110</v>
      </c>
      <c r="D855" s="272" t="s">
        <v>496</v>
      </c>
      <c r="E855" s="44">
        <v>110000</v>
      </c>
      <c r="F855" s="94"/>
      <c r="G855" s="44">
        <v>114000</v>
      </c>
      <c r="H855" s="389"/>
      <c r="I855" s="597"/>
    </row>
    <row r="856" spans="1:9" ht="15" customHeight="1">
      <c r="A856" s="73"/>
      <c r="B856" s="18"/>
      <c r="C856" s="9">
        <v>4120</v>
      </c>
      <c r="D856" s="272" t="s">
        <v>497</v>
      </c>
      <c r="E856" s="44">
        <v>19300</v>
      </c>
      <c r="F856" s="94"/>
      <c r="G856" s="44">
        <v>19100</v>
      </c>
      <c r="H856" s="389"/>
      <c r="I856" s="597"/>
    </row>
    <row r="857" spans="1:9" ht="15" customHeight="1">
      <c r="A857" s="73"/>
      <c r="B857" s="18"/>
      <c r="C857" s="9">
        <v>4210</v>
      </c>
      <c r="D857" s="272" t="s">
        <v>411</v>
      </c>
      <c r="E857" s="44">
        <v>23000</v>
      </c>
      <c r="F857" s="94"/>
      <c r="G857" s="44">
        <v>23000</v>
      </c>
      <c r="H857" s="389"/>
      <c r="I857" s="597"/>
    </row>
    <row r="858" spans="1:9" ht="15" customHeight="1">
      <c r="A858" s="73"/>
      <c r="B858" s="18"/>
      <c r="C858" s="9">
        <v>4260</v>
      </c>
      <c r="D858" s="272" t="s">
        <v>511</v>
      </c>
      <c r="E858" s="44">
        <v>280000</v>
      </c>
      <c r="F858" s="94"/>
      <c r="G858" s="44">
        <v>270000</v>
      </c>
      <c r="H858" s="389"/>
      <c r="I858" s="597"/>
    </row>
    <row r="859" spans="1:9" ht="15" customHeight="1">
      <c r="A859" s="73"/>
      <c r="B859" s="18"/>
      <c r="C859" s="9">
        <v>4270</v>
      </c>
      <c r="D859" s="272" t="s">
        <v>412</v>
      </c>
      <c r="E859" s="44">
        <v>32000</v>
      </c>
      <c r="F859" s="94"/>
      <c r="G859" s="44">
        <v>20000</v>
      </c>
      <c r="H859" s="389"/>
      <c r="I859" s="597"/>
    </row>
    <row r="860" spans="1:9" ht="15" customHeight="1">
      <c r="A860" s="73"/>
      <c r="B860" s="18"/>
      <c r="C860" s="9">
        <v>4280</v>
      </c>
      <c r="D860" s="272" t="s">
        <v>714</v>
      </c>
      <c r="E860" s="44">
        <v>3900</v>
      </c>
      <c r="F860" s="94"/>
      <c r="G860" s="44">
        <v>1900</v>
      </c>
      <c r="H860" s="389"/>
      <c r="I860" s="597"/>
    </row>
    <row r="861" spans="1:9" ht="15" customHeight="1">
      <c r="A861" s="73"/>
      <c r="B861" s="18"/>
      <c r="C861" s="9">
        <v>4300</v>
      </c>
      <c r="D861" s="272" t="s">
        <v>408</v>
      </c>
      <c r="E861" s="44">
        <v>33000</v>
      </c>
      <c r="F861" s="94"/>
      <c r="G861" s="44">
        <v>33000</v>
      </c>
      <c r="H861" s="389"/>
      <c r="I861" s="597"/>
    </row>
    <row r="862" spans="1:9" ht="18.75" customHeight="1">
      <c r="A862" s="73"/>
      <c r="B862" s="18"/>
      <c r="C862" s="20">
        <v>4350</v>
      </c>
      <c r="D862" s="272" t="s">
        <v>506</v>
      </c>
      <c r="E862" s="44">
        <v>2500</v>
      </c>
      <c r="F862" s="94"/>
      <c r="G862" s="44">
        <v>2500</v>
      </c>
      <c r="H862" s="389"/>
      <c r="I862" s="597"/>
    </row>
    <row r="863" spans="1:9" ht="39" customHeight="1">
      <c r="A863" s="73"/>
      <c r="B863" s="18"/>
      <c r="C863" s="20">
        <v>4370</v>
      </c>
      <c r="D863" s="272" t="s">
        <v>3</v>
      </c>
      <c r="E863" s="44">
        <v>6000</v>
      </c>
      <c r="F863" s="94"/>
      <c r="G863" s="44">
        <v>6000</v>
      </c>
      <c r="H863" s="389"/>
      <c r="I863" s="597"/>
    </row>
    <row r="864" spans="1:9" ht="18.75" customHeight="1">
      <c r="A864" s="73"/>
      <c r="B864" s="18"/>
      <c r="C864" s="9">
        <v>4410</v>
      </c>
      <c r="D864" s="272" t="s">
        <v>500</v>
      </c>
      <c r="E864" s="44">
        <v>1000</v>
      </c>
      <c r="F864" s="94"/>
      <c r="G864" s="44">
        <v>500</v>
      </c>
      <c r="H864" s="389"/>
      <c r="I864" s="597"/>
    </row>
    <row r="865" spans="1:9" ht="18.75" customHeight="1">
      <c r="A865" s="73"/>
      <c r="B865" s="18"/>
      <c r="C865" s="9">
        <v>4430</v>
      </c>
      <c r="D865" s="272" t="s">
        <v>387</v>
      </c>
      <c r="E865" s="44">
        <v>3500</v>
      </c>
      <c r="F865" s="94"/>
      <c r="G865" s="44">
        <v>5000</v>
      </c>
      <c r="H865" s="389"/>
      <c r="I865" s="597"/>
    </row>
    <row r="866" spans="1:9" ht="27" customHeight="1">
      <c r="A866" s="73"/>
      <c r="B866" s="18"/>
      <c r="C866" s="9">
        <v>4440</v>
      </c>
      <c r="D866" s="272" t="s">
        <v>498</v>
      </c>
      <c r="E866" s="44">
        <v>29100</v>
      </c>
      <c r="F866" s="94"/>
      <c r="G866" s="44">
        <v>30300</v>
      </c>
      <c r="H866" s="389"/>
      <c r="I866" s="597"/>
    </row>
    <row r="867" spans="1:9" ht="23.25" customHeight="1">
      <c r="A867" s="73"/>
      <c r="B867" s="18"/>
      <c r="C867" s="9">
        <v>4480</v>
      </c>
      <c r="D867" s="272" t="s">
        <v>351</v>
      </c>
      <c r="E867" s="44">
        <v>550</v>
      </c>
      <c r="F867" s="94"/>
      <c r="G867" s="44">
        <v>550</v>
      </c>
      <c r="H867" s="389"/>
      <c r="I867" s="597"/>
    </row>
    <row r="868" spans="1:9" ht="23.25" customHeight="1">
      <c r="A868" s="73"/>
      <c r="B868" s="18"/>
      <c r="C868" s="9">
        <v>4520</v>
      </c>
      <c r="D868" s="272" t="s">
        <v>373</v>
      </c>
      <c r="E868" s="44">
        <v>0</v>
      </c>
      <c r="F868" s="94"/>
      <c r="G868" s="44">
        <v>8200</v>
      </c>
      <c r="H868" s="389"/>
      <c r="I868" s="597"/>
    </row>
    <row r="869" spans="1:9" ht="26.25" customHeight="1">
      <c r="A869" s="73"/>
      <c r="B869" s="18"/>
      <c r="C869" s="3">
        <v>4700</v>
      </c>
      <c r="D869" s="272" t="s">
        <v>374</v>
      </c>
      <c r="E869" s="44">
        <v>1000</v>
      </c>
      <c r="F869" s="94"/>
      <c r="G869" s="44">
        <v>1000</v>
      </c>
      <c r="H869" s="389"/>
      <c r="I869" s="597"/>
    </row>
    <row r="870" spans="1:9" ht="26.25" customHeight="1">
      <c r="A870" s="73"/>
      <c r="B870" s="24">
        <v>80120</v>
      </c>
      <c r="C870" s="25"/>
      <c r="D870" s="277" t="s">
        <v>371</v>
      </c>
      <c r="E870" s="41">
        <f>SUM(E871:E900)</f>
        <v>18168300</v>
      </c>
      <c r="F870" s="94"/>
      <c r="G870" s="41">
        <f>SUM(G871:G900)</f>
        <v>19745803</v>
      </c>
      <c r="H870" s="389"/>
      <c r="I870" s="330">
        <f>G870/E870*100</f>
        <v>108.68272210388423</v>
      </c>
    </row>
    <row r="871" spans="1:9" ht="32.25" customHeight="1">
      <c r="A871" s="73"/>
      <c r="B871" s="16"/>
      <c r="C871" s="9">
        <v>2540</v>
      </c>
      <c r="D871" s="272" t="s">
        <v>377</v>
      </c>
      <c r="E871" s="101">
        <v>1728789</v>
      </c>
      <c r="F871" s="94"/>
      <c r="G871" s="101">
        <v>2000000</v>
      </c>
      <c r="H871" s="389"/>
      <c r="I871" s="597"/>
    </row>
    <row r="872" spans="1:9" ht="54" customHeight="1">
      <c r="A872" s="73"/>
      <c r="B872" s="18"/>
      <c r="C872" s="9">
        <v>2590</v>
      </c>
      <c r="D872" s="272" t="s">
        <v>547</v>
      </c>
      <c r="E872" s="44">
        <v>427812</v>
      </c>
      <c r="F872" s="94"/>
      <c r="G872" s="44">
        <v>350000</v>
      </c>
      <c r="H872" s="389"/>
      <c r="I872" s="597"/>
    </row>
    <row r="873" spans="1:9" ht="24" customHeight="1">
      <c r="A873" s="73"/>
      <c r="B873" s="18"/>
      <c r="C873" s="9">
        <v>3020</v>
      </c>
      <c r="D873" s="272" t="s">
        <v>712</v>
      </c>
      <c r="E873" s="44">
        <v>114154</v>
      </c>
      <c r="F873" s="94"/>
      <c r="G873" s="44">
        <v>78530</v>
      </c>
      <c r="H873" s="389"/>
      <c r="I873" s="597"/>
    </row>
    <row r="874" spans="1:9" ht="15.75" customHeight="1">
      <c r="A874" s="73"/>
      <c r="B874" s="18"/>
      <c r="C874" s="9">
        <v>4010</v>
      </c>
      <c r="D874" s="272" t="s">
        <v>451</v>
      </c>
      <c r="E874" s="44">
        <v>11104945</v>
      </c>
      <c r="F874" s="94"/>
      <c r="G874" s="44">
        <v>12047130</v>
      </c>
      <c r="H874" s="389"/>
      <c r="I874" s="597"/>
    </row>
    <row r="875" spans="1:9" ht="15" customHeight="1">
      <c r="A875" s="73"/>
      <c r="B875" s="18"/>
      <c r="C875" s="9">
        <v>4040</v>
      </c>
      <c r="D875" s="272" t="s">
        <v>452</v>
      </c>
      <c r="E875" s="44">
        <v>843077</v>
      </c>
      <c r="F875" s="94"/>
      <c r="G875" s="44">
        <v>966476</v>
      </c>
      <c r="H875" s="389"/>
      <c r="I875" s="597"/>
    </row>
    <row r="876" spans="1:9" ht="15" customHeight="1">
      <c r="A876" s="73"/>
      <c r="B876" s="18"/>
      <c r="C876" s="9">
        <v>4110</v>
      </c>
      <c r="D876" s="272" t="s">
        <v>496</v>
      </c>
      <c r="E876" s="44">
        <v>1961224</v>
      </c>
      <c r="F876" s="94"/>
      <c r="G876" s="44">
        <v>2161133</v>
      </c>
      <c r="H876" s="389"/>
      <c r="I876" s="597"/>
    </row>
    <row r="877" spans="1:9" ht="15" customHeight="1">
      <c r="A877" s="73"/>
      <c r="B877" s="18"/>
      <c r="C877" s="9">
        <v>4120</v>
      </c>
      <c r="D877" s="272" t="s">
        <v>497</v>
      </c>
      <c r="E877" s="44">
        <v>250434</v>
      </c>
      <c r="F877" s="94"/>
      <c r="G877" s="44">
        <v>300263</v>
      </c>
      <c r="H877" s="389"/>
      <c r="I877" s="597"/>
    </row>
    <row r="878" spans="1:9" ht="21" customHeight="1">
      <c r="A878" s="73"/>
      <c r="B878" s="18"/>
      <c r="C878" s="9">
        <v>4130</v>
      </c>
      <c r="D878" s="272" t="s">
        <v>347</v>
      </c>
      <c r="E878" s="44">
        <v>400</v>
      </c>
      <c r="F878" s="94"/>
      <c r="G878" s="44">
        <v>0</v>
      </c>
      <c r="H878" s="389"/>
      <c r="I878" s="597"/>
    </row>
    <row r="879" spans="1:9" ht="27.75" customHeight="1">
      <c r="A879" s="73"/>
      <c r="B879" s="18"/>
      <c r="C879" s="9">
        <v>4140</v>
      </c>
      <c r="D879" s="272" t="s">
        <v>96</v>
      </c>
      <c r="E879" s="44">
        <v>5060</v>
      </c>
      <c r="F879" s="94"/>
      <c r="G879" s="44">
        <v>5060</v>
      </c>
      <c r="H879" s="389"/>
      <c r="I879" s="597"/>
    </row>
    <row r="880" spans="1:9" ht="15" customHeight="1">
      <c r="A880" s="73"/>
      <c r="B880" s="18"/>
      <c r="C880" s="3">
        <v>4170</v>
      </c>
      <c r="D880" s="272" t="s">
        <v>503</v>
      </c>
      <c r="E880" s="44">
        <v>44887</v>
      </c>
      <c r="F880" s="94"/>
      <c r="G880" s="44">
        <v>44300</v>
      </c>
      <c r="H880" s="389"/>
      <c r="I880" s="597"/>
    </row>
    <row r="881" spans="1:9" ht="15" customHeight="1">
      <c r="A881" s="73"/>
      <c r="B881" s="18"/>
      <c r="C881" s="9">
        <v>4210</v>
      </c>
      <c r="D881" s="272" t="s">
        <v>411</v>
      </c>
      <c r="E881" s="44">
        <v>145975</v>
      </c>
      <c r="F881" s="94"/>
      <c r="G881" s="44">
        <v>130246</v>
      </c>
      <c r="H881" s="389"/>
      <c r="I881" s="597"/>
    </row>
    <row r="882" spans="1:9" ht="24.75" customHeight="1">
      <c r="A882" s="73"/>
      <c r="B882" s="18"/>
      <c r="C882" s="9">
        <v>4240</v>
      </c>
      <c r="D882" s="272" t="s">
        <v>97</v>
      </c>
      <c r="E882" s="44">
        <v>32745</v>
      </c>
      <c r="F882" s="94"/>
      <c r="G882" s="44">
        <v>48685</v>
      </c>
      <c r="H882" s="389"/>
      <c r="I882" s="597"/>
    </row>
    <row r="883" spans="1:9" ht="15" customHeight="1">
      <c r="A883" s="73"/>
      <c r="B883" s="18"/>
      <c r="C883" s="9">
        <v>4260</v>
      </c>
      <c r="D883" s="272" t="s">
        <v>511</v>
      </c>
      <c r="E883" s="44">
        <v>463283</v>
      </c>
      <c r="F883" s="94"/>
      <c r="G883" s="44">
        <v>520031</v>
      </c>
      <c r="H883" s="389"/>
      <c r="I883" s="597"/>
    </row>
    <row r="884" spans="1:9" ht="15" customHeight="1">
      <c r="A884" s="73"/>
      <c r="B884" s="18"/>
      <c r="C884" s="9">
        <v>4270</v>
      </c>
      <c r="D884" s="272" t="s">
        <v>412</v>
      </c>
      <c r="E884" s="44">
        <v>85581</v>
      </c>
      <c r="F884" s="94"/>
      <c r="G884" s="44">
        <v>74972</v>
      </c>
      <c r="H884" s="389"/>
      <c r="I884" s="597"/>
    </row>
    <row r="885" spans="1:9" ht="15" customHeight="1">
      <c r="A885" s="73"/>
      <c r="B885" s="18"/>
      <c r="C885" s="9">
        <v>4280</v>
      </c>
      <c r="D885" s="272" t="s">
        <v>714</v>
      </c>
      <c r="E885" s="44">
        <v>11731</v>
      </c>
      <c r="F885" s="94"/>
      <c r="G885" s="44">
        <v>12147</v>
      </c>
      <c r="H885" s="389"/>
      <c r="I885" s="597"/>
    </row>
    <row r="886" spans="1:9" ht="15" customHeight="1">
      <c r="A886" s="73"/>
      <c r="B886" s="18"/>
      <c r="C886" s="9">
        <v>4300</v>
      </c>
      <c r="D886" s="272" t="s">
        <v>408</v>
      </c>
      <c r="E886" s="44">
        <v>139558</v>
      </c>
      <c r="F886" s="94"/>
      <c r="G886" s="44">
        <v>141344</v>
      </c>
      <c r="H886" s="389"/>
      <c r="I886" s="597"/>
    </row>
    <row r="887" spans="1:9" ht="15" customHeight="1">
      <c r="A887" s="73"/>
      <c r="B887" s="18"/>
      <c r="C887" s="20">
        <v>4350</v>
      </c>
      <c r="D887" s="272" t="s">
        <v>506</v>
      </c>
      <c r="E887" s="44">
        <v>5538</v>
      </c>
      <c r="F887" s="94"/>
      <c r="G887" s="44">
        <v>6240</v>
      </c>
      <c r="H887" s="389"/>
      <c r="I887" s="597"/>
    </row>
    <row r="888" spans="1:9" ht="40.5" customHeight="1">
      <c r="A888" s="73"/>
      <c r="B888" s="18"/>
      <c r="C888" s="20">
        <v>4360</v>
      </c>
      <c r="D888" s="272" t="s">
        <v>4</v>
      </c>
      <c r="E888" s="44">
        <v>236</v>
      </c>
      <c r="F888" s="94"/>
      <c r="G888" s="44">
        <v>479</v>
      </c>
      <c r="H888" s="389"/>
      <c r="I888" s="597"/>
    </row>
    <row r="889" spans="1:9" ht="41.25" customHeight="1">
      <c r="A889" s="73"/>
      <c r="B889" s="18"/>
      <c r="C889" s="20">
        <v>4370</v>
      </c>
      <c r="D889" s="272" t="s">
        <v>3</v>
      </c>
      <c r="E889" s="44">
        <v>14987</v>
      </c>
      <c r="F889" s="94"/>
      <c r="G889" s="44">
        <v>16431</v>
      </c>
      <c r="H889" s="389"/>
      <c r="I889" s="597"/>
    </row>
    <row r="890" spans="1:9" ht="24.75" customHeight="1">
      <c r="A890" s="73"/>
      <c r="B890" s="18"/>
      <c r="C890" s="20">
        <v>4390</v>
      </c>
      <c r="D890" s="324" t="s">
        <v>154</v>
      </c>
      <c r="E890" s="44">
        <v>7416</v>
      </c>
      <c r="F890" s="94"/>
      <c r="G890" s="44">
        <v>4089</v>
      </c>
      <c r="H890" s="389"/>
      <c r="I890" s="597"/>
    </row>
    <row r="891" spans="1:9" ht="15" customHeight="1">
      <c r="A891" s="73"/>
      <c r="B891" s="18"/>
      <c r="C891" s="9">
        <v>4410</v>
      </c>
      <c r="D891" s="272" t="s">
        <v>500</v>
      </c>
      <c r="E891" s="44">
        <v>15438</v>
      </c>
      <c r="F891" s="94"/>
      <c r="G891" s="44">
        <v>17950</v>
      </c>
      <c r="H891" s="389"/>
      <c r="I891" s="597"/>
    </row>
    <row r="892" spans="1:9" ht="15" customHeight="1">
      <c r="A892" s="73"/>
      <c r="B892" s="18"/>
      <c r="C892" s="9">
        <v>4420</v>
      </c>
      <c r="D892" s="272" t="s">
        <v>501</v>
      </c>
      <c r="E892" s="44">
        <v>7410</v>
      </c>
      <c r="F892" s="94"/>
      <c r="G892" s="44">
        <v>7910</v>
      </c>
      <c r="H892" s="389"/>
      <c r="I892" s="597"/>
    </row>
    <row r="893" spans="1:9" ht="15" customHeight="1">
      <c r="A893" s="73"/>
      <c r="B893" s="18"/>
      <c r="C893" s="9">
        <v>4430</v>
      </c>
      <c r="D893" s="272" t="s">
        <v>387</v>
      </c>
      <c r="E893" s="44">
        <v>11062</v>
      </c>
      <c r="F893" s="94"/>
      <c r="G893" s="44">
        <v>14383</v>
      </c>
      <c r="H893" s="389"/>
      <c r="I893" s="597"/>
    </row>
    <row r="894" spans="1:9" ht="23.25" customHeight="1">
      <c r="A894" s="73"/>
      <c r="B894" s="18"/>
      <c r="C894" s="9">
        <v>4440</v>
      </c>
      <c r="D894" s="272" t="s">
        <v>498</v>
      </c>
      <c r="E894" s="44">
        <v>620103</v>
      </c>
      <c r="F894" s="94"/>
      <c r="G894" s="44">
        <v>668463</v>
      </c>
      <c r="H894" s="389"/>
      <c r="I894" s="597"/>
    </row>
    <row r="895" spans="1:9" ht="19.5" customHeight="1">
      <c r="A895" s="73"/>
      <c r="B895" s="18"/>
      <c r="C895" s="9">
        <v>4480</v>
      </c>
      <c r="D895" s="272" t="s">
        <v>351</v>
      </c>
      <c r="E895" s="44">
        <v>3172</v>
      </c>
      <c r="F895" s="94"/>
      <c r="G895" s="44">
        <v>3380</v>
      </c>
      <c r="H895" s="389"/>
      <c r="I895" s="597"/>
    </row>
    <row r="896" spans="1:9" ht="19.5" customHeight="1">
      <c r="A896" s="73"/>
      <c r="B896" s="18"/>
      <c r="C896" s="9">
        <v>4510</v>
      </c>
      <c r="D896" s="272" t="s">
        <v>114</v>
      </c>
      <c r="E896" s="44">
        <v>1</v>
      </c>
      <c r="F896" s="94"/>
      <c r="G896" s="44">
        <v>0</v>
      </c>
      <c r="H896" s="389"/>
      <c r="I896" s="597"/>
    </row>
    <row r="897" spans="1:9" ht="19.5" customHeight="1">
      <c r="A897" s="73"/>
      <c r="B897" s="18"/>
      <c r="C897" s="9">
        <v>4520</v>
      </c>
      <c r="D897" s="272" t="s">
        <v>373</v>
      </c>
      <c r="E897" s="44">
        <v>7391</v>
      </c>
      <c r="F897" s="94"/>
      <c r="G897" s="44">
        <v>16675</v>
      </c>
      <c r="H897" s="389"/>
      <c r="I897" s="597"/>
    </row>
    <row r="898" spans="1:9" ht="27.75" customHeight="1">
      <c r="A898" s="73"/>
      <c r="B898" s="18"/>
      <c r="C898" s="9">
        <v>4700</v>
      </c>
      <c r="D898" s="272" t="s">
        <v>374</v>
      </c>
      <c r="E898" s="44">
        <v>5891</v>
      </c>
      <c r="F898" s="94"/>
      <c r="G898" s="44">
        <v>7533</v>
      </c>
      <c r="H898" s="389"/>
      <c r="I898" s="597"/>
    </row>
    <row r="899" spans="1:9" ht="27.75" customHeight="1">
      <c r="A899" s="73"/>
      <c r="B899" s="18"/>
      <c r="C899" s="3">
        <v>6050</v>
      </c>
      <c r="D899" s="272" t="s">
        <v>470</v>
      </c>
      <c r="E899" s="44">
        <v>110000</v>
      </c>
      <c r="F899" s="94"/>
      <c r="G899" s="44">
        <f>50000+45000</f>
        <v>95000</v>
      </c>
      <c r="H899" s="389"/>
      <c r="I899" s="597"/>
    </row>
    <row r="900" spans="1:9" ht="27.75" customHeight="1">
      <c r="A900" s="73"/>
      <c r="B900" s="18"/>
      <c r="C900" s="3">
        <v>6060</v>
      </c>
      <c r="D900" s="272" t="s">
        <v>516</v>
      </c>
      <c r="E900" s="44">
        <v>0</v>
      </c>
      <c r="F900" s="94"/>
      <c r="G900" s="44">
        <f>1953+5000</f>
        <v>6953</v>
      </c>
      <c r="H900" s="389"/>
      <c r="I900" s="597"/>
    </row>
    <row r="901" spans="1:9" ht="18" customHeight="1">
      <c r="A901" s="73"/>
      <c r="B901" s="28">
        <v>80123</v>
      </c>
      <c r="C901" s="24"/>
      <c r="D901" s="277" t="s">
        <v>616</v>
      </c>
      <c r="E901" s="41">
        <f>SUM(E902:E927)</f>
        <v>1588598</v>
      </c>
      <c r="F901" s="94"/>
      <c r="G901" s="41">
        <f>SUM(G902:G927)</f>
        <v>760454</v>
      </c>
      <c r="H901" s="389"/>
      <c r="I901" s="330">
        <f>G901/E901*100</f>
        <v>47.86950506043694</v>
      </c>
    </row>
    <row r="902" spans="1:9" ht="30.75" customHeight="1">
      <c r="A902" s="76"/>
      <c r="B902" s="34"/>
      <c r="C902" s="9">
        <v>2540</v>
      </c>
      <c r="D902" s="272" t="s">
        <v>377</v>
      </c>
      <c r="E902" s="101">
        <v>175000</v>
      </c>
      <c r="F902" s="94"/>
      <c r="G902" s="101">
        <v>48000</v>
      </c>
      <c r="H902" s="389"/>
      <c r="I902" s="597"/>
    </row>
    <row r="903" spans="1:9" ht="24" customHeight="1">
      <c r="A903" s="76"/>
      <c r="B903" s="8"/>
      <c r="C903" s="9">
        <v>3020</v>
      </c>
      <c r="D903" s="272" t="s">
        <v>712</v>
      </c>
      <c r="E903" s="44">
        <v>10569</v>
      </c>
      <c r="F903" s="94"/>
      <c r="G903" s="44">
        <v>2925</v>
      </c>
      <c r="H903" s="389"/>
      <c r="I903" s="597"/>
    </row>
    <row r="904" spans="1:9" ht="16.5" customHeight="1">
      <c r="A904" s="76"/>
      <c r="B904" s="8"/>
      <c r="C904" s="9">
        <v>4010</v>
      </c>
      <c r="D904" s="272" t="s">
        <v>451</v>
      </c>
      <c r="E904" s="44">
        <v>906283</v>
      </c>
      <c r="F904" s="94"/>
      <c r="G904" s="44">
        <v>484482</v>
      </c>
      <c r="H904" s="389"/>
      <c r="I904" s="597"/>
    </row>
    <row r="905" spans="1:9" ht="15" customHeight="1">
      <c r="A905" s="76"/>
      <c r="B905" s="8"/>
      <c r="C905" s="9">
        <v>4040</v>
      </c>
      <c r="D905" s="272" t="s">
        <v>452</v>
      </c>
      <c r="E905" s="44">
        <v>118332</v>
      </c>
      <c r="F905" s="94"/>
      <c r="G905" s="44">
        <v>63952</v>
      </c>
      <c r="H905" s="389"/>
      <c r="I905" s="597"/>
    </row>
    <row r="906" spans="1:9" ht="15" customHeight="1">
      <c r="A906" s="76"/>
      <c r="B906" s="8"/>
      <c r="C906" s="9">
        <v>4110</v>
      </c>
      <c r="D906" s="272" t="s">
        <v>496</v>
      </c>
      <c r="E906" s="44">
        <v>170266</v>
      </c>
      <c r="F906" s="94"/>
      <c r="G906" s="44">
        <v>62386</v>
      </c>
      <c r="H906" s="389"/>
      <c r="I906" s="597"/>
    </row>
    <row r="907" spans="1:9" ht="15" customHeight="1">
      <c r="A907" s="76"/>
      <c r="B907" s="8"/>
      <c r="C907" s="9">
        <v>4120</v>
      </c>
      <c r="D907" s="272" t="s">
        <v>497</v>
      </c>
      <c r="E907" s="44">
        <v>20624</v>
      </c>
      <c r="F907" s="94"/>
      <c r="G907" s="44">
        <v>8889</v>
      </c>
      <c r="H907" s="389"/>
      <c r="I907" s="597"/>
    </row>
    <row r="908" spans="1:9" ht="27" customHeight="1">
      <c r="A908" s="76"/>
      <c r="B908" s="8"/>
      <c r="C908" s="9">
        <v>4140</v>
      </c>
      <c r="D908" s="272" t="s">
        <v>96</v>
      </c>
      <c r="E908" s="44">
        <v>30</v>
      </c>
      <c r="F908" s="94"/>
      <c r="G908" s="44">
        <v>30</v>
      </c>
      <c r="H908" s="389"/>
      <c r="I908" s="597"/>
    </row>
    <row r="909" spans="1:9" ht="15" customHeight="1">
      <c r="A909" s="76"/>
      <c r="B909" s="8"/>
      <c r="C909" s="9">
        <v>4170</v>
      </c>
      <c r="D909" s="272" t="s">
        <v>503</v>
      </c>
      <c r="E909" s="44">
        <v>2942</v>
      </c>
      <c r="F909" s="94"/>
      <c r="G909" s="44">
        <v>430</v>
      </c>
      <c r="H909" s="389"/>
      <c r="I909" s="597"/>
    </row>
    <row r="910" spans="1:9" ht="15" customHeight="1">
      <c r="A910" s="76"/>
      <c r="B910" s="8"/>
      <c r="C910" s="9">
        <v>4210</v>
      </c>
      <c r="D910" s="272" t="s">
        <v>411</v>
      </c>
      <c r="E910" s="44">
        <v>25197</v>
      </c>
      <c r="F910" s="94"/>
      <c r="G910" s="44">
        <v>8251</v>
      </c>
      <c r="H910" s="389"/>
      <c r="I910" s="597"/>
    </row>
    <row r="911" spans="1:9" ht="21.75" customHeight="1">
      <c r="A911" s="76"/>
      <c r="B911" s="8"/>
      <c r="C911" s="9">
        <v>4240</v>
      </c>
      <c r="D911" s="272" t="s">
        <v>97</v>
      </c>
      <c r="E911" s="44">
        <v>3589</v>
      </c>
      <c r="F911" s="94"/>
      <c r="G911" s="44">
        <v>6396</v>
      </c>
      <c r="H911" s="389"/>
      <c r="I911" s="597"/>
    </row>
    <row r="912" spans="1:9" ht="15" customHeight="1">
      <c r="A912" s="76"/>
      <c r="B912" s="8"/>
      <c r="C912" s="9">
        <v>4260</v>
      </c>
      <c r="D912" s="272" t="s">
        <v>511</v>
      </c>
      <c r="E912" s="44">
        <v>51033</v>
      </c>
      <c r="F912" s="94"/>
      <c r="G912" s="44">
        <v>25606</v>
      </c>
      <c r="H912" s="389"/>
      <c r="I912" s="597"/>
    </row>
    <row r="913" spans="1:9" ht="15" customHeight="1">
      <c r="A913" s="76"/>
      <c r="B913" s="8"/>
      <c r="C913" s="9">
        <v>4270</v>
      </c>
      <c r="D913" s="272" t="s">
        <v>412</v>
      </c>
      <c r="E913" s="44">
        <v>8969</v>
      </c>
      <c r="F913" s="94"/>
      <c r="G913" s="44">
        <v>4770</v>
      </c>
      <c r="H913" s="389"/>
      <c r="I913" s="597"/>
    </row>
    <row r="914" spans="1:9" ht="15" customHeight="1">
      <c r="A914" s="76"/>
      <c r="B914" s="8"/>
      <c r="C914" s="9">
        <v>4280</v>
      </c>
      <c r="D914" s="272" t="s">
        <v>714</v>
      </c>
      <c r="E914" s="44">
        <v>1341</v>
      </c>
      <c r="F914" s="94"/>
      <c r="G914" s="44">
        <v>539</v>
      </c>
      <c r="H914" s="389"/>
      <c r="I914" s="597"/>
    </row>
    <row r="915" spans="1:9" ht="15" customHeight="1">
      <c r="A915" s="76"/>
      <c r="B915" s="8"/>
      <c r="C915" s="9">
        <v>4300</v>
      </c>
      <c r="D915" s="272" t="s">
        <v>408</v>
      </c>
      <c r="E915" s="44">
        <v>22228</v>
      </c>
      <c r="F915" s="94"/>
      <c r="G915" s="44">
        <v>10523</v>
      </c>
      <c r="H915" s="389"/>
      <c r="I915" s="597"/>
    </row>
    <row r="916" spans="1:9" ht="15" customHeight="1">
      <c r="A916" s="76"/>
      <c r="B916" s="8"/>
      <c r="C916" s="20">
        <v>4350</v>
      </c>
      <c r="D916" s="272" t="s">
        <v>506</v>
      </c>
      <c r="E916" s="44">
        <v>719</v>
      </c>
      <c r="F916" s="94"/>
      <c r="G916" s="44">
        <v>20</v>
      </c>
      <c r="H916" s="389"/>
      <c r="I916" s="597"/>
    </row>
    <row r="917" spans="1:9" ht="41.25" customHeight="1">
      <c r="A917" s="76"/>
      <c r="B917" s="8"/>
      <c r="C917" s="20">
        <v>4360</v>
      </c>
      <c r="D917" s="272" t="s">
        <v>4</v>
      </c>
      <c r="E917" s="44">
        <v>18</v>
      </c>
      <c r="F917" s="94"/>
      <c r="G917" s="44">
        <v>76</v>
      </c>
      <c r="H917" s="389"/>
      <c r="I917" s="597"/>
    </row>
    <row r="918" spans="1:9" ht="40.5" customHeight="1">
      <c r="A918" s="76"/>
      <c r="B918" s="8"/>
      <c r="C918" s="20">
        <v>4370</v>
      </c>
      <c r="D918" s="272" t="s">
        <v>3</v>
      </c>
      <c r="E918" s="44">
        <v>1942</v>
      </c>
      <c r="F918" s="94"/>
      <c r="G918" s="44">
        <v>855</v>
      </c>
      <c r="H918" s="389"/>
      <c r="I918" s="597"/>
    </row>
    <row r="919" spans="1:9" ht="24.75" customHeight="1">
      <c r="A919" s="76"/>
      <c r="B919" s="8"/>
      <c r="C919" s="20">
        <v>4390</v>
      </c>
      <c r="D919" s="324" t="s">
        <v>154</v>
      </c>
      <c r="E919" s="44">
        <v>1699</v>
      </c>
      <c r="F919" s="94"/>
      <c r="G919" s="44">
        <v>86</v>
      </c>
      <c r="H919" s="389"/>
      <c r="I919" s="597"/>
    </row>
    <row r="920" spans="1:9" ht="15" customHeight="1">
      <c r="A920" s="76"/>
      <c r="B920" s="8"/>
      <c r="C920" s="9">
        <v>4410</v>
      </c>
      <c r="D920" s="272" t="s">
        <v>500</v>
      </c>
      <c r="E920" s="44">
        <v>5303</v>
      </c>
      <c r="F920" s="94"/>
      <c r="G920" s="44">
        <v>4030</v>
      </c>
      <c r="H920" s="389"/>
      <c r="I920" s="597"/>
    </row>
    <row r="921" spans="1:9" ht="15" customHeight="1">
      <c r="A921" s="76"/>
      <c r="B921" s="8"/>
      <c r="C921" s="9">
        <v>4420</v>
      </c>
      <c r="D921" s="272" t="s">
        <v>501</v>
      </c>
      <c r="E921" s="44">
        <v>105</v>
      </c>
      <c r="F921" s="94"/>
      <c r="G921" s="44">
        <v>60</v>
      </c>
      <c r="H921" s="389"/>
      <c r="I921" s="597"/>
    </row>
    <row r="922" spans="1:9" ht="15" customHeight="1">
      <c r="A922" s="76"/>
      <c r="B922" s="8"/>
      <c r="C922" s="9">
        <v>4430</v>
      </c>
      <c r="D922" s="272" t="s">
        <v>387</v>
      </c>
      <c r="E922" s="44">
        <v>1675</v>
      </c>
      <c r="F922" s="94"/>
      <c r="G922" s="44">
        <v>1027</v>
      </c>
      <c r="H922" s="389"/>
      <c r="I922" s="597"/>
    </row>
    <row r="923" spans="1:9" ht="25.5" customHeight="1">
      <c r="A923" s="76"/>
      <c r="B923" s="8"/>
      <c r="C923" s="9">
        <v>4440</v>
      </c>
      <c r="D923" s="272" t="s">
        <v>498</v>
      </c>
      <c r="E923" s="44">
        <v>59100</v>
      </c>
      <c r="F923" s="94"/>
      <c r="G923" s="44">
        <v>25963</v>
      </c>
      <c r="H923" s="389"/>
      <c r="I923" s="597"/>
    </row>
    <row r="924" spans="1:9" ht="15.75" customHeight="1">
      <c r="A924" s="76"/>
      <c r="B924" s="8"/>
      <c r="C924" s="9">
        <v>4480</v>
      </c>
      <c r="D924" s="272" t="s">
        <v>351</v>
      </c>
      <c r="E924" s="44">
        <v>86</v>
      </c>
      <c r="F924" s="94"/>
      <c r="G924" s="44">
        <v>90</v>
      </c>
      <c r="H924" s="389"/>
      <c r="I924" s="597"/>
    </row>
    <row r="925" spans="1:9" ht="15.75" customHeight="1">
      <c r="A925" s="76"/>
      <c r="B925" s="8"/>
      <c r="C925" s="9">
        <v>4510</v>
      </c>
      <c r="D925" s="272" t="s">
        <v>114</v>
      </c>
      <c r="E925" s="44">
        <v>1</v>
      </c>
      <c r="F925" s="94"/>
      <c r="G925" s="44">
        <v>0</v>
      </c>
      <c r="H925" s="389"/>
      <c r="I925" s="597"/>
    </row>
    <row r="926" spans="1:9" ht="21" customHeight="1">
      <c r="A926" s="76"/>
      <c r="B926" s="8"/>
      <c r="C926" s="9">
        <v>4520</v>
      </c>
      <c r="D926" s="272" t="s">
        <v>373</v>
      </c>
      <c r="E926" s="44">
        <v>603</v>
      </c>
      <c r="F926" s="94"/>
      <c r="G926" s="44">
        <v>634</v>
      </c>
      <c r="H926" s="389"/>
      <c r="I926" s="597"/>
    </row>
    <row r="927" spans="1:9" ht="24.75" customHeight="1">
      <c r="A927" s="76"/>
      <c r="B927" s="8"/>
      <c r="C927" s="9">
        <v>4700</v>
      </c>
      <c r="D927" s="272" t="s">
        <v>374</v>
      </c>
      <c r="E927" s="44">
        <v>944</v>
      </c>
      <c r="F927" s="94"/>
      <c r="G927" s="44">
        <v>434</v>
      </c>
      <c r="H927" s="389"/>
      <c r="I927" s="597"/>
    </row>
    <row r="928" spans="1:9" ht="24" customHeight="1">
      <c r="A928" s="73"/>
      <c r="B928" s="25">
        <v>80130</v>
      </c>
      <c r="C928" s="24"/>
      <c r="D928" s="277" t="s">
        <v>372</v>
      </c>
      <c r="E928" s="41">
        <f>SUM(E929:E955)</f>
        <v>28290780</v>
      </c>
      <c r="F928" s="94"/>
      <c r="G928" s="41">
        <f>SUM(G929:G955)</f>
        <v>29663112</v>
      </c>
      <c r="H928" s="389"/>
      <c r="I928" s="330">
        <f>G928/E928*100</f>
        <v>104.85081005189676</v>
      </c>
    </row>
    <row r="929" spans="1:9" ht="29.25" customHeight="1">
      <c r="A929" s="73"/>
      <c r="B929" s="28"/>
      <c r="C929" s="9">
        <v>2540</v>
      </c>
      <c r="D929" s="272" t="s">
        <v>717</v>
      </c>
      <c r="E929" s="101">
        <v>3254507</v>
      </c>
      <c r="F929" s="94"/>
      <c r="G929" s="101">
        <v>3185000</v>
      </c>
      <c r="H929" s="389"/>
      <c r="I929" s="597"/>
    </row>
    <row r="930" spans="1:9" ht="25.5" customHeight="1">
      <c r="A930" s="73"/>
      <c r="B930" s="18"/>
      <c r="C930" s="9">
        <v>3020</v>
      </c>
      <c r="D930" s="272" t="s">
        <v>712</v>
      </c>
      <c r="E930" s="44">
        <v>100089</v>
      </c>
      <c r="F930" s="94"/>
      <c r="G930" s="44">
        <v>126710</v>
      </c>
      <c r="H930" s="389"/>
      <c r="I930" s="597"/>
    </row>
    <row r="931" spans="1:9" ht="16.5" customHeight="1">
      <c r="A931" s="73"/>
      <c r="B931" s="18"/>
      <c r="C931" s="9">
        <v>4010</v>
      </c>
      <c r="D931" s="272" t="s">
        <v>451</v>
      </c>
      <c r="E931" s="44">
        <v>17352833</v>
      </c>
      <c r="F931" s="94"/>
      <c r="G931" s="44">
        <v>18383361</v>
      </c>
      <c r="H931" s="389"/>
      <c r="I931" s="597"/>
    </row>
    <row r="932" spans="1:9" ht="15" customHeight="1">
      <c r="A932" s="73"/>
      <c r="B932" s="18"/>
      <c r="C932" s="9">
        <v>4040</v>
      </c>
      <c r="D932" s="272" t="s">
        <v>452</v>
      </c>
      <c r="E932" s="44">
        <v>1449110</v>
      </c>
      <c r="F932" s="94"/>
      <c r="G932" s="44">
        <v>1480526</v>
      </c>
      <c r="H932" s="389"/>
      <c r="I932" s="597"/>
    </row>
    <row r="933" spans="1:9" ht="15" customHeight="1">
      <c r="A933" s="73"/>
      <c r="B933" s="18"/>
      <c r="C933" s="9">
        <v>4110</v>
      </c>
      <c r="D933" s="272" t="s">
        <v>496</v>
      </c>
      <c r="E933" s="44">
        <v>2991897</v>
      </c>
      <c r="F933" s="94"/>
      <c r="G933" s="44">
        <v>3182163</v>
      </c>
      <c r="H933" s="389"/>
      <c r="I933" s="597"/>
    </row>
    <row r="934" spans="1:9" ht="15" customHeight="1">
      <c r="A934" s="73"/>
      <c r="B934" s="18"/>
      <c r="C934" s="9">
        <v>4120</v>
      </c>
      <c r="D934" s="272" t="s">
        <v>497</v>
      </c>
      <c r="E934" s="44">
        <v>395435</v>
      </c>
      <c r="F934" s="94"/>
      <c r="G934" s="44">
        <v>491918</v>
      </c>
      <c r="H934" s="389"/>
      <c r="I934" s="597"/>
    </row>
    <row r="935" spans="1:9" ht="26.25" customHeight="1">
      <c r="A935" s="73"/>
      <c r="B935" s="18"/>
      <c r="C935" s="9">
        <v>4140</v>
      </c>
      <c r="D935" s="272" t="s">
        <v>96</v>
      </c>
      <c r="E935" s="44">
        <v>4534</v>
      </c>
      <c r="F935" s="94"/>
      <c r="G935" s="44">
        <v>4710</v>
      </c>
      <c r="H935" s="389"/>
      <c r="I935" s="597"/>
    </row>
    <row r="936" spans="1:9" ht="15" customHeight="1">
      <c r="A936" s="73"/>
      <c r="B936" s="18"/>
      <c r="C936" s="3">
        <v>4170</v>
      </c>
      <c r="D936" s="272" t="s">
        <v>503</v>
      </c>
      <c r="E936" s="44">
        <v>54547</v>
      </c>
      <c r="F936" s="94"/>
      <c r="G936" s="44">
        <v>55110</v>
      </c>
      <c r="H936" s="389"/>
      <c r="I936" s="597"/>
    </row>
    <row r="937" spans="1:9" ht="15" customHeight="1">
      <c r="A937" s="73"/>
      <c r="B937" s="18"/>
      <c r="C937" s="9">
        <v>4210</v>
      </c>
      <c r="D937" s="272" t="s">
        <v>411</v>
      </c>
      <c r="E937" s="44">
        <v>256251</v>
      </c>
      <c r="F937" s="94"/>
      <c r="G937" s="44">
        <v>300568</v>
      </c>
      <c r="H937" s="389"/>
      <c r="I937" s="597"/>
    </row>
    <row r="938" spans="1:9" ht="22.5" customHeight="1">
      <c r="A938" s="73"/>
      <c r="B938" s="18"/>
      <c r="C938" s="9">
        <v>4240</v>
      </c>
      <c r="D938" s="272" t="s">
        <v>97</v>
      </c>
      <c r="E938" s="44">
        <v>61129</v>
      </c>
      <c r="F938" s="94"/>
      <c r="G938" s="44">
        <v>157290</v>
      </c>
      <c r="H938" s="389"/>
      <c r="I938" s="597"/>
    </row>
    <row r="939" spans="1:9" ht="15" customHeight="1">
      <c r="A939" s="73"/>
      <c r="B939" s="18"/>
      <c r="C939" s="9">
        <v>4260</v>
      </c>
      <c r="D939" s="272" t="s">
        <v>511</v>
      </c>
      <c r="E939" s="44">
        <v>788585</v>
      </c>
      <c r="F939" s="94"/>
      <c r="G939" s="44">
        <v>752320</v>
      </c>
      <c r="H939" s="389"/>
      <c r="I939" s="597"/>
    </row>
    <row r="940" spans="1:9" ht="15" customHeight="1">
      <c r="A940" s="73"/>
      <c r="B940" s="18"/>
      <c r="C940" s="9">
        <v>4270</v>
      </c>
      <c r="D940" s="272" t="s">
        <v>412</v>
      </c>
      <c r="E940" s="44">
        <v>198310</v>
      </c>
      <c r="F940" s="94"/>
      <c r="G940" s="44">
        <v>113755</v>
      </c>
      <c r="H940" s="389"/>
      <c r="I940" s="597"/>
    </row>
    <row r="941" spans="1:9" ht="15" customHeight="1">
      <c r="A941" s="73"/>
      <c r="B941" s="18"/>
      <c r="C941" s="9">
        <v>4280</v>
      </c>
      <c r="D941" s="272" t="s">
        <v>714</v>
      </c>
      <c r="E941" s="44">
        <v>18990</v>
      </c>
      <c r="F941" s="94"/>
      <c r="G941" s="44">
        <v>19931</v>
      </c>
      <c r="H941" s="389"/>
      <c r="I941" s="597"/>
    </row>
    <row r="942" spans="1:9" ht="15" customHeight="1">
      <c r="A942" s="73"/>
      <c r="B942" s="18"/>
      <c r="C942" s="9">
        <v>4300</v>
      </c>
      <c r="D942" s="272" t="s">
        <v>408</v>
      </c>
      <c r="E942" s="44">
        <v>223760</v>
      </c>
      <c r="F942" s="94"/>
      <c r="G942" s="44">
        <v>203817</v>
      </c>
      <c r="H942" s="389"/>
      <c r="I942" s="597"/>
    </row>
    <row r="943" spans="1:9" ht="15" customHeight="1">
      <c r="A943" s="73"/>
      <c r="B943" s="18"/>
      <c r="C943" s="20">
        <v>4350</v>
      </c>
      <c r="D943" s="272" t="s">
        <v>506</v>
      </c>
      <c r="E943" s="44">
        <v>13020</v>
      </c>
      <c r="F943" s="94"/>
      <c r="G943" s="44">
        <v>14020</v>
      </c>
      <c r="H943" s="389"/>
      <c r="I943" s="597"/>
    </row>
    <row r="944" spans="1:9" ht="39" customHeight="1">
      <c r="A944" s="73"/>
      <c r="B944" s="18"/>
      <c r="C944" s="20">
        <v>4360</v>
      </c>
      <c r="D944" s="272" t="s">
        <v>4</v>
      </c>
      <c r="E944" s="44">
        <v>1112</v>
      </c>
      <c r="F944" s="94"/>
      <c r="G944" s="44">
        <v>1582</v>
      </c>
      <c r="H944" s="389"/>
      <c r="I944" s="597"/>
    </row>
    <row r="945" spans="1:9" ht="37.5" customHeight="1">
      <c r="A945" s="73"/>
      <c r="B945" s="18"/>
      <c r="C945" s="20">
        <v>4370</v>
      </c>
      <c r="D945" s="272" t="s">
        <v>3</v>
      </c>
      <c r="E945" s="44">
        <v>22130</v>
      </c>
      <c r="F945" s="94"/>
      <c r="G945" s="44">
        <v>25778</v>
      </c>
      <c r="H945" s="389"/>
      <c r="I945" s="597"/>
    </row>
    <row r="946" spans="1:9" ht="28.5" customHeight="1">
      <c r="A946" s="73"/>
      <c r="B946" s="18"/>
      <c r="C946" s="20">
        <v>4390</v>
      </c>
      <c r="D946" s="324" t="s">
        <v>154</v>
      </c>
      <c r="E946" s="44">
        <v>4244</v>
      </c>
      <c r="F946" s="94"/>
      <c r="G946" s="44">
        <v>7252</v>
      </c>
      <c r="H946" s="389"/>
      <c r="I946" s="597"/>
    </row>
    <row r="947" spans="1:9" ht="15" customHeight="1">
      <c r="A947" s="73"/>
      <c r="B947" s="18"/>
      <c r="C947" s="9">
        <v>4410</v>
      </c>
      <c r="D947" s="272" t="s">
        <v>500</v>
      </c>
      <c r="E947" s="44">
        <v>13783</v>
      </c>
      <c r="F947" s="94"/>
      <c r="G947" s="44">
        <v>16100</v>
      </c>
      <c r="H947" s="389"/>
      <c r="I947" s="597"/>
    </row>
    <row r="948" spans="1:9" ht="15" customHeight="1">
      <c r="A948" s="73"/>
      <c r="B948" s="18"/>
      <c r="C948" s="9">
        <v>4420</v>
      </c>
      <c r="D948" s="272" t="s">
        <v>501</v>
      </c>
      <c r="E948" s="44">
        <v>2724</v>
      </c>
      <c r="F948" s="94"/>
      <c r="G948" s="44">
        <v>2930</v>
      </c>
      <c r="H948" s="389"/>
      <c r="I948" s="597"/>
    </row>
    <row r="949" spans="1:9" ht="15" customHeight="1">
      <c r="A949" s="73"/>
      <c r="B949" s="18"/>
      <c r="C949" s="9">
        <v>4430</v>
      </c>
      <c r="D949" s="272" t="s">
        <v>387</v>
      </c>
      <c r="E949" s="44">
        <v>16825</v>
      </c>
      <c r="F949" s="94"/>
      <c r="G949" s="44">
        <v>22686</v>
      </c>
      <c r="H949" s="389"/>
      <c r="I949" s="597"/>
    </row>
    <row r="950" spans="1:9" ht="24.75" customHeight="1">
      <c r="A950" s="73"/>
      <c r="B950" s="18"/>
      <c r="C950" s="9">
        <v>4440</v>
      </c>
      <c r="D950" s="272" t="s">
        <v>498</v>
      </c>
      <c r="E950" s="44">
        <v>1038792</v>
      </c>
      <c r="F950" s="94"/>
      <c r="G950" s="44">
        <v>1038501</v>
      </c>
      <c r="H950" s="389"/>
      <c r="I950" s="597"/>
    </row>
    <row r="951" spans="1:9" ht="17.25" customHeight="1">
      <c r="A951" s="73"/>
      <c r="B951" s="18"/>
      <c r="C951" s="9">
        <v>4480</v>
      </c>
      <c r="D951" s="272" t="s">
        <v>351</v>
      </c>
      <c r="E951" s="44">
        <v>2966</v>
      </c>
      <c r="F951" s="94"/>
      <c r="G951" s="44">
        <v>3150</v>
      </c>
      <c r="H951" s="389"/>
      <c r="I951" s="597"/>
    </row>
    <row r="952" spans="1:9" ht="17.25" customHeight="1">
      <c r="A952" s="73"/>
      <c r="B952" s="18"/>
      <c r="C952" s="9">
        <v>4510</v>
      </c>
      <c r="D952" s="272" t="s">
        <v>114</v>
      </c>
      <c r="E952" s="44">
        <v>10</v>
      </c>
      <c r="F952" s="94"/>
      <c r="G952" s="44">
        <v>0</v>
      </c>
      <c r="H952" s="389"/>
      <c r="I952" s="597"/>
    </row>
    <row r="953" spans="1:9" ht="17.25" customHeight="1">
      <c r="A953" s="73"/>
      <c r="B953" s="18"/>
      <c r="C953" s="9">
        <v>4520</v>
      </c>
      <c r="D953" s="272" t="s">
        <v>373</v>
      </c>
      <c r="E953" s="44">
        <v>15695</v>
      </c>
      <c r="F953" s="94"/>
      <c r="G953" s="44">
        <v>40854</v>
      </c>
      <c r="H953" s="389"/>
      <c r="I953" s="597"/>
    </row>
    <row r="954" spans="1:9" ht="27" customHeight="1">
      <c r="A954" s="73"/>
      <c r="B954" s="18"/>
      <c r="C954" s="3">
        <v>4700</v>
      </c>
      <c r="D954" s="272" t="s">
        <v>374</v>
      </c>
      <c r="E954" s="44">
        <v>9502</v>
      </c>
      <c r="F954" s="94"/>
      <c r="G954" s="44">
        <v>9033</v>
      </c>
      <c r="H954" s="389"/>
      <c r="I954" s="597"/>
    </row>
    <row r="955" spans="1:9" ht="27" customHeight="1">
      <c r="A955" s="73"/>
      <c r="B955" s="18"/>
      <c r="C955" s="3">
        <v>6060</v>
      </c>
      <c r="D955" s="272" t="s">
        <v>516</v>
      </c>
      <c r="E955" s="44">
        <v>0</v>
      </c>
      <c r="F955" s="94"/>
      <c r="G955" s="44">
        <v>24047</v>
      </c>
      <c r="H955" s="389"/>
      <c r="I955" s="597"/>
    </row>
    <row r="956" spans="1:25" s="56" customFormat="1" ht="22.5" customHeight="1">
      <c r="A956" s="91"/>
      <c r="B956" s="25">
        <v>80132</v>
      </c>
      <c r="C956" s="24"/>
      <c r="D956" s="277" t="s">
        <v>11</v>
      </c>
      <c r="E956" s="41">
        <f>E957+E958</f>
        <v>36000</v>
      </c>
      <c r="F956" s="112"/>
      <c r="G956" s="41">
        <f>G957+G958</f>
        <v>0</v>
      </c>
      <c r="H956" s="1069"/>
      <c r="I956" s="599"/>
      <c r="J956" s="230"/>
      <c r="K956" s="230"/>
      <c r="L956" s="248"/>
      <c r="M956" s="230"/>
      <c r="N956" s="230"/>
      <c r="O956" s="230"/>
      <c r="P956" s="230"/>
      <c r="Q956" s="230"/>
      <c r="R956" s="230"/>
      <c r="S956" s="230"/>
      <c r="T956" s="238"/>
      <c r="U956" s="238"/>
      <c r="V956" s="238"/>
      <c r="W956" s="238"/>
      <c r="X956" s="238"/>
      <c r="Y956" s="238"/>
    </row>
    <row r="957" spans="1:25" s="56" customFormat="1" ht="22.5" customHeight="1">
      <c r="A957" s="91"/>
      <c r="B957" s="33"/>
      <c r="C957" s="9">
        <v>4210</v>
      </c>
      <c r="D957" s="272" t="s">
        <v>411</v>
      </c>
      <c r="E957" s="44">
        <v>5000</v>
      </c>
      <c r="F957" s="94"/>
      <c r="G957" s="44">
        <v>0</v>
      </c>
      <c r="H957" s="1069"/>
      <c r="I957" s="599"/>
      <c r="J957" s="230"/>
      <c r="K957" s="230"/>
      <c r="L957" s="248"/>
      <c r="M957" s="230"/>
      <c r="N957" s="230"/>
      <c r="O957" s="230"/>
      <c r="P957" s="230"/>
      <c r="Q957" s="230"/>
      <c r="R957" s="230"/>
      <c r="S957" s="230"/>
      <c r="T957" s="238"/>
      <c r="U957" s="238"/>
      <c r="V957" s="238"/>
      <c r="W957" s="238"/>
      <c r="X957" s="238"/>
      <c r="Y957" s="238"/>
    </row>
    <row r="958" spans="1:9" ht="19.5" customHeight="1">
      <c r="A958" s="73"/>
      <c r="B958" s="18"/>
      <c r="C958" s="9">
        <v>4300</v>
      </c>
      <c r="D958" s="272" t="s">
        <v>408</v>
      </c>
      <c r="E958" s="44">
        <v>31000</v>
      </c>
      <c r="F958" s="94"/>
      <c r="G958" s="44">
        <v>0</v>
      </c>
      <c r="H958" s="389"/>
      <c r="I958" s="597"/>
    </row>
    <row r="959" spans="1:9" ht="25.5" customHeight="1">
      <c r="A959" s="73"/>
      <c r="B959" s="24">
        <v>80134</v>
      </c>
      <c r="C959" s="24"/>
      <c r="D959" s="277" t="s">
        <v>617</v>
      </c>
      <c r="E959" s="41">
        <f>SUM(E960:E975)</f>
        <v>1088002</v>
      </c>
      <c r="F959" s="94"/>
      <c r="G959" s="41">
        <f>SUM(G960:G975)</f>
        <v>684615</v>
      </c>
      <c r="H959" s="389"/>
      <c r="I959" s="330">
        <f>G959/E959*100</f>
        <v>62.92405712489499</v>
      </c>
    </row>
    <row r="960" spans="1:9" ht="28.5" customHeight="1">
      <c r="A960" s="73"/>
      <c r="B960" s="16"/>
      <c r="C960" s="9">
        <v>3020</v>
      </c>
      <c r="D960" s="272" t="s">
        <v>712</v>
      </c>
      <c r="E960" s="101">
        <v>2500</v>
      </c>
      <c r="F960" s="94"/>
      <c r="G960" s="101">
        <v>2500</v>
      </c>
      <c r="H960" s="389"/>
      <c r="I960" s="597"/>
    </row>
    <row r="961" spans="1:9" ht="19.5" customHeight="1">
      <c r="A961" s="73"/>
      <c r="B961" s="18"/>
      <c r="C961" s="9">
        <v>4010</v>
      </c>
      <c r="D961" s="272" t="s">
        <v>451</v>
      </c>
      <c r="E961" s="44">
        <v>737306</v>
      </c>
      <c r="F961" s="94"/>
      <c r="G961" s="44">
        <v>424410</v>
      </c>
      <c r="H961" s="389"/>
      <c r="I961" s="597"/>
    </row>
    <row r="962" spans="1:9" ht="15" customHeight="1">
      <c r="A962" s="73"/>
      <c r="B962" s="18"/>
      <c r="C962" s="9">
        <v>4040</v>
      </c>
      <c r="D962" s="272" t="s">
        <v>452</v>
      </c>
      <c r="E962" s="44">
        <v>71175</v>
      </c>
      <c r="F962" s="94"/>
      <c r="G962" s="44">
        <v>60770</v>
      </c>
      <c r="H962" s="389"/>
      <c r="I962" s="597"/>
    </row>
    <row r="963" spans="1:9" ht="15" customHeight="1">
      <c r="A963" s="73"/>
      <c r="B963" s="18"/>
      <c r="C963" s="9">
        <v>4110</v>
      </c>
      <c r="D963" s="272" t="s">
        <v>496</v>
      </c>
      <c r="E963" s="44">
        <v>144726</v>
      </c>
      <c r="F963" s="94"/>
      <c r="G963" s="44">
        <v>83440</v>
      </c>
      <c r="H963" s="389"/>
      <c r="I963" s="597"/>
    </row>
    <row r="964" spans="1:9" ht="15" customHeight="1">
      <c r="A964" s="73"/>
      <c r="B964" s="18"/>
      <c r="C964" s="9">
        <v>4120</v>
      </c>
      <c r="D964" s="272" t="s">
        <v>497</v>
      </c>
      <c r="E964" s="44">
        <v>16910</v>
      </c>
      <c r="F964" s="94"/>
      <c r="G964" s="44">
        <v>13110</v>
      </c>
      <c r="H964" s="389"/>
      <c r="I964" s="597"/>
    </row>
    <row r="965" spans="1:9" ht="15" customHeight="1">
      <c r="A965" s="73"/>
      <c r="B965" s="18"/>
      <c r="C965" s="9">
        <v>4210</v>
      </c>
      <c r="D965" s="272" t="s">
        <v>411</v>
      </c>
      <c r="E965" s="44">
        <v>5680</v>
      </c>
      <c r="F965" s="94"/>
      <c r="G965" s="44">
        <v>6780</v>
      </c>
      <c r="H965" s="389"/>
      <c r="I965" s="597"/>
    </row>
    <row r="966" spans="1:9" ht="23.25" customHeight="1">
      <c r="A966" s="73"/>
      <c r="B966" s="18"/>
      <c r="C966" s="9">
        <v>4240</v>
      </c>
      <c r="D966" s="272" t="s">
        <v>97</v>
      </c>
      <c r="E966" s="44">
        <v>235</v>
      </c>
      <c r="F966" s="94"/>
      <c r="G966" s="44">
        <v>235</v>
      </c>
      <c r="H966" s="389"/>
      <c r="I966" s="597"/>
    </row>
    <row r="967" spans="1:9" ht="15" customHeight="1">
      <c r="A967" s="73"/>
      <c r="B967" s="18"/>
      <c r="C967" s="9">
        <v>4260</v>
      </c>
      <c r="D967" s="272" t="s">
        <v>511</v>
      </c>
      <c r="E967" s="44">
        <v>45820</v>
      </c>
      <c r="F967" s="94"/>
      <c r="G967" s="44">
        <v>47560</v>
      </c>
      <c r="H967" s="389"/>
      <c r="I967" s="597"/>
    </row>
    <row r="968" spans="1:9" ht="15" customHeight="1">
      <c r="A968" s="73"/>
      <c r="B968" s="18"/>
      <c r="C968" s="9">
        <v>4270</v>
      </c>
      <c r="D968" s="272" t="s">
        <v>412</v>
      </c>
      <c r="E968" s="44">
        <v>6480</v>
      </c>
      <c r="F968" s="94"/>
      <c r="G968" s="44">
        <v>6480</v>
      </c>
      <c r="H968" s="389"/>
      <c r="I968" s="597"/>
    </row>
    <row r="969" spans="1:9" ht="15" customHeight="1">
      <c r="A969" s="73"/>
      <c r="B969" s="18"/>
      <c r="C969" s="9">
        <v>4280</v>
      </c>
      <c r="D969" s="272" t="s">
        <v>714</v>
      </c>
      <c r="E969" s="44">
        <v>460</v>
      </c>
      <c r="F969" s="94"/>
      <c r="G969" s="44">
        <v>460</v>
      </c>
      <c r="H969" s="389"/>
      <c r="I969" s="597"/>
    </row>
    <row r="970" spans="1:9" ht="15" customHeight="1">
      <c r="A970" s="73"/>
      <c r="B970" s="18"/>
      <c r="C970" s="9">
        <v>4300</v>
      </c>
      <c r="D970" s="272" t="s">
        <v>408</v>
      </c>
      <c r="E970" s="44">
        <v>9550</v>
      </c>
      <c r="F970" s="94"/>
      <c r="G970" s="44">
        <v>8370</v>
      </c>
      <c r="H970" s="389"/>
      <c r="I970" s="597"/>
    </row>
    <row r="971" spans="1:9" ht="37.5" customHeight="1">
      <c r="A971" s="73"/>
      <c r="B971" s="18"/>
      <c r="C971" s="20">
        <v>4370</v>
      </c>
      <c r="D971" s="272" t="s">
        <v>3</v>
      </c>
      <c r="E971" s="44">
        <v>770</v>
      </c>
      <c r="F971" s="94"/>
      <c r="G971" s="44">
        <v>770</v>
      </c>
      <c r="H971" s="389"/>
      <c r="I971" s="597"/>
    </row>
    <row r="972" spans="1:9" ht="15" customHeight="1">
      <c r="A972" s="73"/>
      <c r="B972" s="18"/>
      <c r="C972" s="9">
        <v>4430</v>
      </c>
      <c r="D972" s="272" t="s">
        <v>387</v>
      </c>
      <c r="E972" s="44">
        <v>920</v>
      </c>
      <c r="F972" s="94"/>
      <c r="G972" s="44">
        <v>920</v>
      </c>
      <c r="H972" s="389"/>
      <c r="I972" s="597"/>
    </row>
    <row r="973" spans="1:9" ht="24.75" customHeight="1">
      <c r="A973" s="73"/>
      <c r="B973" s="18"/>
      <c r="C973" s="9">
        <v>4440</v>
      </c>
      <c r="D973" s="272" t="s">
        <v>498</v>
      </c>
      <c r="E973" s="44">
        <v>44340</v>
      </c>
      <c r="F973" s="94"/>
      <c r="G973" s="44">
        <v>26100</v>
      </c>
      <c r="H973" s="389"/>
      <c r="I973" s="597"/>
    </row>
    <row r="974" spans="1:9" ht="24.75" customHeight="1">
      <c r="A974" s="73"/>
      <c r="B974" s="18"/>
      <c r="C974" s="9">
        <v>4520</v>
      </c>
      <c r="D974" s="272" t="s">
        <v>373</v>
      </c>
      <c r="E974" s="44">
        <v>620</v>
      </c>
      <c r="F974" s="94"/>
      <c r="G974" s="44">
        <v>2200</v>
      </c>
      <c r="H974" s="389"/>
      <c r="I974" s="597"/>
    </row>
    <row r="975" spans="1:9" ht="26.25" customHeight="1">
      <c r="A975" s="73"/>
      <c r="B975" s="18"/>
      <c r="C975" s="3">
        <v>4700</v>
      </c>
      <c r="D975" s="272" t="s">
        <v>374</v>
      </c>
      <c r="E975" s="44">
        <v>510</v>
      </c>
      <c r="F975" s="94"/>
      <c r="G975" s="44">
        <v>510</v>
      </c>
      <c r="H975" s="389"/>
      <c r="I975" s="597"/>
    </row>
    <row r="976" spans="1:9" ht="37.5" customHeight="1">
      <c r="A976" s="73"/>
      <c r="B976" s="28">
        <v>80140</v>
      </c>
      <c r="C976" s="24"/>
      <c r="D976" s="277" t="s">
        <v>618</v>
      </c>
      <c r="E976" s="41">
        <f>SUM(E977:E1001)</f>
        <v>2784811</v>
      </c>
      <c r="F976" s="94"/>
      <c r="G976" s="41">
        <f>SUM(G977:G1001)</f>
        <v>3006892</v>
      </c>
      <c r="H976" s="389"/>
      <c r="I976" s="330">
        <f>G976/E976*100</f>
        <v>107.97472431701829</v>
      </c>
    </row>
    <row r="977" spans="1:9" ht="24.75" customHeight="1">
      <c r="A977" s="73"/>
      <c r="B977" s="16"/>
      <c r="C977" s="9">
        <v>3020</v>
      </c>
      <c r="D977" s="272" t="s">
        <v>712</v>
      </c>
      <c r="E977" s="101">
        <v>59992</v>
      </c>
      <c r="F977" s="94"/>
      <c r="G977" s="101">
        <v>33023</v>
      </c>
      <c r="H977" s="389"/>
      <c r="I977" s="597"/>
    </row>
    <row r="978" spans="1:9" ht="21.75" customHeight="1">
      <c r="A978" s="73"/>
      <c r="B978" s="18"/>
      <c r="C978" s="9">
        <v>4010</v>
      </c>
      <c r="D978" s="272" t="s">
        <v>451</v>
      </c>
      <c r="E978" s="44">
        <v>1430203</v>
      </c>
      <c r="F978" s="94"/>
      <c r="G978" s="44">
        <v>1386763</v>
      </c>
      <c r="H978" s="389"/>
      <c r="I978" s="597"/>
    </row>
    <row r="979" spans="1:9" ht="15" customHeight="1">
      <c r="A979" s="73"/>
      <c r="B979" s="18"/>
      <c r="C979" s="9">
        <v>4040</v>
      </c>
      <c r="D979" s="272" t="s">
        <v>452</v>
      </c>
      <c r="E979" s="44">
        <v>111490</v>
      </c>
      <c r="F979" s="94"/>
      <c r="G979" s="44">
        <v>116314</v>
      </c>
      <c r="H979" s="389"/>
      <c r="I979" s="597"/>
    </row>
    <row r="980" spans="1:9" ht="15" customHeight="1">
      <c r="A980" s="73"/>
      <c r="B980" s="18"/>
      <c r="C980" s="9">
        <v>4110</v>
      </c>
      <c r="D980" s="272" t="s">
        <v>496</v>
      </c>
      <c r="E980" s="44">
        <v>249431</v>
      </c>
      <c r="F980" s="94"/>
      <c r="G980" s="44">
        <v>260154</v>
      </c>
      <c r="H980" s="389"/>
      <c r="I980" s="597"/>
    </row>
    <row r="981" spans="1:9" ht="15" customHeight="1">
      <c r="A981" s="73"/>
      <c r="B981" s="18" t="s">
        <v>21</v>
      </c>
      <c r="C981" s="9">
        <v>4120</v>
      </c>
      <c r="D981" s="272" t="s">
        <v>497</v>
      </c>
      <c r="E981" s="44">
        <v>33169</v>
      </c>
      <c r="F981" s="94"/>
      <c r="G981" s="44">
        <v>41519</v>
      </c>
      <c r="H981" s="389"/>
      <c r="I981" s="597"/>
    </row>
    <row r="982" spans="1:9" ht="15" customHeight="1">
      <c r="A982" s="73"/>
      <c r="B982" s="18"/>
      <c r="C982" s="3">
        <v>4170</v>
      </c>
      <c r="D982" s="272" t="s">
        <v>503</v>
      </c>
      <c r="E982" s="44">
        <v>47710</v>
      </c>
      <c r="F982" s="94"/>
      <c r="G982" s="44">
        <v>42600</v>
      </c>
      <c r="H982" s="389"/>
      <c r="I982" s="597"/>
    </row>
    <row r="983" spans="1:9" ht="15" customHeight="1">
      <c r="A983" s="73"/>
      <c r="B983" s="18"/>
      <c r="C983" s="9">
        <v>4210</v>
      </c>
      <c r="D983" s="272" t="s">
        <v>411</v>
      </c>
      <c r="E983" s="44">
        <v>194235</v>
      </c>
      <c r="F983" s="94"/>
      <c r="G983" s="44">
        <v>285425</v>
      </c>
      <c r="H983" s="389"/>
      <c r="I983" s="597"/>
    </row>
    <row r="984" spans="1:9" ht="15" customHeight="1">
      <c r="A984" s="73"/>
      <c r="B984" s="18"/>
      <c r="C984" s="3">
        <v>4220</v>
      </c>
      <c r="D984" s="272" t="s">
        <v>111</v>
      </c>
      <c r="E984" s="44">
        <v>585</v>
      </c>
      <c r="F984" s="94"/>
      <c r="G984" s="44">
        <v>1500</v>
      </c>
      <c r="H984" s="389"/>
      <c r="I984" s="597"/>
    </row>
    <row r="985" spans="1:9" ht="26.25" customHeight="1">
      <c r="A985" s="73"/>
      <c r="B985" s="18"/>
      <c r="C985" s="9">
        <v>4230</v>
      </c>
      <c r="D985" s="272" t="s">
        <v>718</v>
      </c>
      <c r="E985" s="44">
        <v>500</v>
      </c>
      <c r="F985" s="94"/>
      <c r="G985" s="44">
        <v>600</v>
      </c>
      <c r="H985" s="389"/>
      <c r="I985" s="597"/>
    </row>
    <row r="986" spans="1:9" ht="26.25" customHeight="1">
      <c r="A986" s="73"/>
      <c r="B986" s="18"/>
      <c r="C986" s="9">
        <v>4240</v>
      </c>
      <c r="D986" s="272" t="s">
        <v>97</v>
      </c>
      <c r="E986" s="44">
        <v>69471</v>
      </c>
      <c r="F986" s="94"/>
      <c r="G986" s="44">
        <f>100000+204864</f>
        <v>304864</v>
      </c>
      <c r="H986" s="389"/>
      <c r="I986" s="597"/>
    </row>
    <row r="987" spans="1:9" ht="15" customHeight="1">
      <c r="A987" s="73"/>
      <c r="B987" s="18"/>
      <c r="C987" s="9">
        <v>4260</v>
      </c>
      <c r="D987" s="272" t="s">
        <v>511</v>
      </c>
      <c r="E987" s="44">
        <v>233089</v>
      </c>
      <c r="F987" s="94"/>
      <c r="G987" s="44">
        <v>201968</v>
      </c>
      <c r="H987" s="389"/>
      <c r="I987" s="597"/>
    </row>
    <row r="988" spans="1:9" ht="15" customHeight="1">
      <c r="A988" s="73"/>
      <c r="B988" s="18"/>
      <c r="C988" s="9">
        <v>4270</v>
      </c>
      <c r="D988" s="272" t="s">
        <v>412</v>
      </c>
      <c r="E988" s="44">
        <v>118537</v>
      </c>
      <c r="F988" s="94"/>
      <c r="G988" s="44">
        <v>156333</v>
      </c>
      <c r="H988" s="389"/>
      <c r="I988" s="597"/>
    </row>
    <row r="989" spans="1:9" ht="15" customHeight="1">
      <c r="A989" s="73"/>
      <c r="B989" s="18"/>
      <c r="C989" s="9">
        <v>4280</v>
      </c>
      <c r="D989" s="272" t="s">
        <v>714</v>
      </c>
      <c r="E989" s="44">
        <v>1058</v>
      </c>
      <c r="F989" s="94"/>
      <c r="G989" s="44">
        <v>1633</v>
      </c>
      <c r="H989" s="389"/>
      <c r="I989" s="597"/>
    </row>
    <row r="990" spans="1:9" ht="15" customHeight="1">
      <c r="A990" s="73"/>
      <c r="B990" s="18"/>
      <c r="C990" s="9">
        <v>4300</v>
      </c>
      <c r="D990" s="272" t="s">
        <v>408</v>
      </c>
      <c r="E990" s="44">
        <v>109296</v>
      </c>
      <c r="F990" s="94"/>
      <c r="G990" s="44">
        <v>63282</v>
      </c>
      <c r="H990" s="389"/>
      <c r="I990" s="597"/>
    </row>
    <row r="991" spans="1:9" ht="15" customHeight="1">
      <c r="A991" s="73"/>
      <c r="B991" s="18"/>
      <c r="C991" s="20">
        <v>4350</v>
      </c>
      <c r="D991" s="272" t="s">
        <v>506</v>
      </c>
      <c r="E991" s="44">
        <v>1500</v>
      </c>
      <c r="F991" s="94"/>
      <c r="G991" s="44">
        <v>1500</v>
      </c>
      <c r="H991" s="389"/>
      <c r="I991" s="597"/>
    </row>
    <row r="992" spans="1:9" ht="42.75" customHeight="1">
      <c r="A992" s="73"/>
      <c r="B992" s="18"/>
      <c r="C992" s="20">
        <v>4360</v>
      </c>
      <c r="D992" s="272" t="s">
        <v>4</v>
      </c>
      <c r="E992" s="44">
        <v>0</v>
      </c>
      <c r="F992" s="94"/>
      <c r="G992" s="44">
        <v>333</v>
      </c>
      <c r="H992" s="389"/>
      <c r="I992" s="597"/>
    </row>
    <row r="993" spans="1:9" ht="39" customHeight="1">
      <c r="A993" s="73"/>
      <c r="B993" s="18"/>
      <c r="C993" s="20">
        <v>4370</v>
      </c>
      <c r="D993" s="272" t="s">
        <v>3</v>
      </c>
      <c r="E993" s="44">
        <v>4894</v>
      </c>
      <c r="F993" s="94"/>
      <c r="G993" s="44">
        <v>5166</v>
      </c>
      <c r="H993" s="389"/>
      <c r="I993" s="597"/>
    </row>
    <row r="994" spans="1:9" ht="25.5" customHeight="1">
      <c r="A994" s="73"/>
      <c r="B994" s="18"/>
      <c r="C994" s="20">
        <v>4390</v>
      </c>
      <c r="D994" s="324" t="s">
        <v>154</v>
      </c>
      <c r="E994" s="44">
        <v>6361</v>
      </c>
      <c r="F994" s="94"/>
      <c r="G994" s="44">
        <v>6333</v>
      </c>
      <c r="H994" s="389"/>
      <c r="I994" s="597"/>
    </row>
    <row r="995" spans="1:9" ht="15" customHeight="1">
      <c r="A995" s="73"/>
      <c r="B995" s="18"/>
      <c r="C995" s="9">
        <v>4410</v>
      </c>
      <c r="D995" s="272" t="s">
        <v>500</v>
      </c>
      <c r="E995" s="44">
        <v>1399</v>
      </c>
      <c r="F995" s="94"/>
      <c r="G995" s="44">
        <v>2050</v>
      </c>
      <c r="H995" s="389"/>
      <c r="I995" s="597"/>
    </row>
    <row r="996" spans="1:9" ht="15" customHeight="1">
      <c r="A996" s="73"/>
      <c r="B996" s="18"/>
      <c r="C996" s="9">
        <v>4430</v>
      </c>
      <c r="D996" s="272" t="s">
        <v>387</v>
      </c>
      <c r="E996" s="44">
        <v>11194</v>
      </c>
      <c r="F996" s="94"/>
      <c r="G996" s="44">
        <v>13200</v>
      </c>
      <c r="H996" s="389"/>
      <c r="I996" s="597"/>
    </row>
    <row r="997" spans="1:9" ht="22.5" customHeight="1">
      <c r="A997" s="73"/>
      <c r="B997" s="18"/>
      <c r="C997" s="9">
        <v>4440</v>
      </c>
      <c r="D997" s="272" t="s">
        <v>498</v>
      </c>
      <c r="E997" s="44">
        <v>76006</v>
      </c>
      <c r="F997" s="94"/>
      <c r="G997" s="44">
        <v>72132</v>
      </c>
      <c r="H997" s="389"/>
      <c r="I997" s="597"/>
    </row>
    <row r="998" spans="1:9" ht="19.5" customHeight="1">
      <c r="A998" s="73"/>
      <c r="B998" s="18"/>
      <c r="C998" s="9">
        <v>4480</v>
      </c>
      <c r="D998" s="272" t="s">
        <v>351</v>
      </c>
      <c r="E998" s="44">
        <v>2200</v>
      </c>
      <c r="F998" s="94"/>
      <c r="G998" s="44">
        <v>2700</v>
      </c>
      <c r="H998" s="389"/>
      <c r="I998" s="597"/>
    </row>
    <row r="999" spans="1:9" ht="28.5" customHeight="1">
      <c r="A999" s="73"/>
      <c r="B999" s="18"/>
      <c r="C999" s="9">
        <v>4520</v>
      </c>
      <c r="D999" s="272" t="s">
        <v>373</v>
      </c>
      <c r="E999" s="44">
        <v>1812</v>
      </c>
      <c r="F999" s="94"/>
      <c r="G999" s="44">
        <v>4000</v>
      </c>
      <c r="H999" s="389"/>
      <c r="I999" s="597"/>
    </row>
    <row r="1000" spans="1:9" ht="26.25" customHeight="1">
      <c r="A1000" s="73"/>
      <c r="B1000" s="18"/>
      <c r="C1000" s="3">
        <v>4700</v>
      </c>
      <c r="D1000" s="272" t="s">
        <v>374</v>
      </c>
      <c r="E1000" s="44">
        <v>4074</v>
      </c>
      <c r="F1000" s="94"/>
      <c r="G1000" s="44">
        <v>3500</v>
      </c>
      <c r="H1000" s="389"/>
      <c r="I1000" s="597"/>
    </row>
    <row r="1001" spans="1:9" ht="26.25" customHeight="1">
      <c r="A1001" s="73"/>
      <c r="B1001" s="18"/>
      <c r="C1001" s="3">
        <v>6050</v>
      </c>
      <c r="D1001" s="272" t="s">
        <v>470</v>
      </c>
      <c r="E1001" s="44">
        <v>16605</v>
      </c>
      <c r="F1001" s="94"/>
      <c r="G1001" s="44">
        <v>0</v>
      </c>
      <c r="H1001" s="389"/>
      <c r="I1001" s="597"/>
    </row>
    <row r="1002" spans="1:9" ht="30" customHeight="1">
      <c r="A1002" s="73"/>
      <c r="B1002" s="24">
        <v>80144</v>
      </c>
      <c r="C1002" s="24"/>
      <c r="D1002" s="277" t="s">
        <v>619</v>
      </c>
      <c r="E1002" s="29">
        <f>SUM(E1003:E1017)</f>
        <v>889651</v>
      </c>
      <c r="F1002" s="94"/>
      <c r="G1002" s="29">
        <f>SUM(G1003:G1017)</f>
        <v>979496</v>
      </c>
      <c r="H1002" s="389"/>
      <c r="I1002" s="330">
        <f>G1002/E1002*100</f>
        <v>110.09890395222396</v>
      </c>
    </row>
    <row r="1003" spans="1:9" ht="24.75" customHeight="1">
      <c r="A1003" s="73"/>
      <c r="B1003" s="33"/>
      <c r="C1003" s="9">
        <v>3020</v>
      </c>
      <c r="D1003" s="272" t="s">
        <v>712</v>
      </c>
      <c r="E1003" s="101">
        <v>1630</v>
      </c>
      <c r="F1003" s="94"/>
      <c r="G1003" s="101">
        <v>1630</v>
      </c>
      <c r="H1003" s="389"/>
      <c r="I1003" s="597"/>
    </row>
    <row r="1004" spans="1:9" ht="18" customHeight="1">
      <c r="A1004" s="73"/>
      <c r="B1004" s="18"/>
      <c r="C1004" s="9">
        <v>4010</v>
      </c>
      <c r="D1004" s="272" t="s">
        <v>451</v>
      </c>
      <c r="E1004" s="101">
        <v>665400</v>
      </c>
      <c r="F1004" s="94"/>
      <c r="G1004" s="101">
        <v>722280</v>
      </c>
      <c r="H1004" s="389"/>
      <c r="I1004" s="597"/>
    </row>
    <row r="1005" spans="1:9" ht="18" customHeight="1">
      <c r="A1005" s="73"/>
      <c r="B1005" s="18"/>
      <c r="C1005" s="9">
        <v>4040</v>
      </c>
      <c r="D1005" s="272" t="s">
        <v>452</v>
      </c>
      <c r="E1005" s="44">
        <v>49375</v>
      </c>
      <c r="F1005" s="94"/>
      <c r="G1005" s="44">
        <v>56610</v>
      </c>
      <c r="H1005" s="389"/>
      <c r="I1005" s="597"/>
    </row>
    <row r="1006" spans="1:9" ht="16.5" customHeight="1">
      <c r="A1006" s="73"/>
      <c r="B1006" s="18"/>
      <c r="C1006" s="9">
        <v>4110</v>
      </c>
      <c r="D1006" s="272" t="s">
        <v>496</v>
      </c>
      <c r="E1006" s="44">
        <v>112225</v>
      </c>
      <c r="F1006" s="94"/>
      <c r="G1006" s="44">
        <v>122660</v>
      </c>
      <c r="H1006" s="389"/>
      <c r="I1006" s="597"/>
    </row>
    <row r="1007" spans="1:9" ht="15" customHeight="1">
      <c r="A1007" s="73"/>
      <c r="B1007" s="18"/>
      <c r="C1007" s="9">
        <v>4120</v>
      </c>
      <c r="D1007" s="272" t="s">
        <v>497</v>
      </c>
      <c r="E1007" s="44">
        <v>15680</v>
      </c>
      <c r="F1007" s="94"/>
      <c r="G1007" s="44">
        <v>20020</v>
      </c>
      <c r="H1007" s="389"/>
      <c r="I1007" s="597"/>
    </row>
    <row r="1008" spans="1:9" ht="15" customHeight="1">
      <c r="A1008" s="73"/>
      <c r="B1008" s="18"/>
      <c r="C1008" s="9">
        <v>4210</v>
      </c>
      <c r="D1008" s="272" t="s">
        <v>411</v>
      </c>
      <c r="E1008" s="44">
        <v>2370</v>
      </c>
      <c r="F1008" s="94"/>
      <c r="G1008" s="44">
        <v>2370</v>
      </c>
      <c r="H1008" s="389"/>
      <c r="I1008" s="597"/>
    </row>
    <row r="1009" spans="1:9" ht="23.25" customHeight="1">
      <c r="A1009" s="73"/>
      <c r="B1009" s="18"/>
      <c r="C1009" s="9">
        <v>4240</v>
      </c>
      <c r="D1009" s="272" t="s">
        <v>97</v>
      </c>
      <c r="E1009" s="44">
        <v>158</v>
      </c>
      <c r="F1009" s="94"/>
      <c r="G1009" s="44">
        <v>158</v>
      </c>
      <c r="H1009" s="389"/>
      <c r="I1009" s="597"/>
    </row>
    <row r="1010" spans="1:9" ht="18.75" customHeight="1">
      <c r="A1010" s="73"/>
      <c r="B1010" s="18"/>
      <c r="C1010" s="9">
        <v>4260</v>
      </c>
      <c r="D1010" s="272" t="s">
        <v>511</v>
      </c>
      <c r="E1010" s="99">
        <v>6500</v>
      </c>
      <c r="F1010" s="94"/>
      <c r="G1010" s="99">
        <v>6750</v>
      </c>
      <c r="H1010" s="389"/>
      <c r="I1010" s="597"/>
    </row>
    <row r="1011" spans="1:9" ht="19.5" customHeight="1">
      <c r="A1011" s="73"/>
      <c r="B1011" s="18"/>
      <c r="C1011" s="9">
        <v>4270</v>
      </c>
      <c r="D1011" s="272" t="s">
        <v>412</v>
      </c>
      <c r="E1011" s="99">
        <v>883</v>
      </c>
      <c r="F1011" s="94"/>
      <c r="G1011" s="99">
        <v>883</v>
      </c>
      <c r="H1011" s="389"/>
      <c r="I1011" s="597"/>
    </row>
    <row r="1012" spans="1:9" ht="19.5" customHeight="1">
      <c r="A1012" s="73"/>
      <c r="B1012" s="18"/>
      <c r="C1012" s="9">
        <v>4280</v>
      </c>
      <c r="D1012" s="272" t="s">
        <v>714</v>
      </c>
      <c r="E1012" s="99">
        <v>305</v>
      </c>
      <c r="F1012" s="94"/>
      <c r="G1012" s="99">
        <v>305</v>
      </c>
      <c r="H1012" s="389"/>
      <c r="I1012" s="597"/>
    </row>
    <row r="1013" spans="1:9" ht="18" customHeight="1">
      <c r="A1013" s="73"/>
      <c r="B1013" s="18"/>
      <c r="C1013" s="9">
        <v>4300</v>
      </c>
      <c r="D1013" s="272" t="s">
        <v>408</v>
      </c>
      <c r="E1013" s="99">
        <v>4320</v>
      </c>
      <c r="F1013" s="94"/>
      <c r="G1013" s="99">
        <v>3000</v>
      </c>
      <c r="H1013" s="389"/>
      <c r="I1013" s="597"/>
    </row>
    <row r="1014" spans="1:9" ht="38.25" customHeight="1">
      <c r="A1014" s="73"/>
      <c r="B1014" s="18"/>
      <c r="C1014" s="20">
        <v>4370</v>
      </c>
      <c r="D1014" s="272" t="s">
        <v>3</v>
      </c>
      <c r="E1014" s="99">
        <v>470</v>
      </c>
      <c r="F1014" s="94"/>
      <c r="G1014" s="99">
        <v>470</v>
      </c>
      <c r="H1014" s="389"/>
      <c r="I1014" s="597"/>
    </row>
    <row r="1015" spans="1:9" ht="20.25" customHeight="1">
      <c r="A1015" s="73"/>
      <c r="B1015" s="18"/>
      <c r="C1015" s="9">
        <v>4430</v>
      </c>
      <c r="D1015" s="272" t="s">
        <v>387</v>
      </c>
      <c r="E1015" s="99">
        <v>260</v>
      </c>
      <c r="F1015" s="94"/>
      <c r="G1015" s="99">
        <v>260</v>
      </c>
      <c r="H1015" s="389"/>
      <c r="I1015" s="597"/>
    </row>
    <row r="1016" spans="1:9" ht="28.5" customHeight="1">
      <c r="A1016" s="73"/>
      <c r="B1016" s="18"/>
      <c r="C1016" s="9">
        <v>4440</v>
      </c>
      <c r="D1016" s="272" t="s">
        <v>498</v>
      </c>
      <c r="E1016" s="99">
        <v>29895</v>
      </c>
      <c r="F1016" s="94"/>
      <c r="G1016" s="99">
        <v>40600</v>
      </c>
      <c r="H1016" s="389"/>
      <c r="I1016" s="597"/>
    </row>
    <row r="1017" spans="1:9" ht="28.5" customHeight="1">
      <c r="A1017" s="73"/>
      <c r="B1017" s="18"/>
      <c r="C1017" s="9">
        <v>4520</v>
      </c>
      <c r="D1017" s="272" t="s">
        <v>373</v>
      </c>
      <c r="E1017" s="99">
        <v>180</v>
      </c>
      <c r="F1017" s="94"/>
      <c r="G1017" s="99">
        <v>1500</v>
      </c>
      <c r="H1017" s="389"/>
      <c r="I1017" s="597"/>
    </row>
    <row r="1018" spans="1:25" s="56" customFormat="1" ht="24.75" customHeight="1">
      <c r="A1018" s="91"/>
      <c r="B1018" s="25">
        <v>80145</v>
      </c>
      <c r="C1018" s="28"/>
      <c r="D1018" s="326" t="s">
        <v>17</v>
      </c>
      <c r="E1018" s="153">
        <f>SUM(E1019:E1024)</f>
        <v>7938</v>
      </c>
      <c r="F1018" s="112"/>
      <c r="G1018" s="153">
        <f>SUM(G1019:G1024)</f>
        <v>12300</v>
      </c>
      <c r="H1018" s="1069"/>
      <c r="I1018" s="330">
        <f>G1018/E1018*100</f>
        <v>154.95086923658351</v>
      </c>
      <c r="J1018" s="230"/>
      <c r="K1018" s="230"/>
      <c r="L1018" s="248"/>
      <c r="M1018" s="230"/>
      <c r="N1018" s="230"/>
      <c r="O1018" s="230"/>
      <c r="P1018" s="230"/>
      <c r="Q1018" s="230"/>
      <c r="R1018" s="230"/>
      <c r="S1018" s="230"/>
      <c r="T1018" s="238"/>
      <c r="U1018" s="238"/>
      <c r="V1018" s="238"/>
      <c r="W1018" s="238"/>
      <c r="X1018" s="238"/>
      <c r="Y1018" s="238"/>
    </row>
    <row r="1019" spans="1:9" ht="19.5" customHeight="1">
      <c r="A1019" s="73"/>
      <c r="B1019" s="18"/>
      <c r="C1019" s="9">
        <v>4110</v>
      </c>
      <c r="D1019" s="272" t="s">
        <v>496</v>
      </c>
      <c r="E1019" s="99">
        <v>260</v>
      </c>
      <c r="F1019" s="94"/>
      <c r="G1019" s="99">
        <v>260</v>
      </c>
      <c r="H1019" s="389"/>
      <c r="I1019" s="597"/>
    </row>
    <row r="1020" spans="1:9" ht="15" customHeight="1">
      <c r="A1020" s="73"/>
      <c r="B1020" s="18"/>
      <c r="C1020" s="9">
        <v>4120</v>
      </c>
      <c r="D1020" s="272" t="s">
        <v>497</v>
      </c>
      <c r="E1020" s="99">
        <v>40</v>
      </c>
      <c r="F1020" s="94"/>
      <c r="G1020" s="99">
        <v>40</v>
      </c>
      <c r="H1020" s="389"/>
      <c r="I1020" s="597"/>
    </row>
    <row r="1021" spans="1:9" ht="16.5" customHeight="1">
      <c r="A1021" s="73"/>
      <c r="B1021" s="18"/>
      <c r="C1021" s="3">
        <v>4170</v>
      </c>
      <c r="D1021" s="272" t="s">
        <v>503</v>
      </c>
      <c r="E1021" s="99">
        <v>1500</v>
      </c>
      <c r="F1021" s="94"/>
      <c r="G1021" s="99">
        <v>1500</v>
      </c>
      <c r="H1021" s="389"/>
      <c r="I1021" s="597"/>
    </row>
    <row r="1022" spans="1:9" ht="18.75" customHeight="1">
      <c r="A1022" s="73"/>
      <c r="B1022" s="18"/>
      <c r="C1022" s="9">
        <v>4210</v>
      </c>
      <c r="D1022" s="272" t="s">
        <v>411</v>
      </c>
      <c r="E1022" s="99">
        <v>1256</v>
      </c>
      <c r="F1022" s="94"/>
      <c r="G1022" s="99">
        <v>1700</v>
      </c>
      <c r="H1022" s="389"/>
      <c r="I1022" s="597"/>
    </row>
    <row r="1023" spans="1:9" ht="25.5" customHeight="1">
      <c r="A1023" s="73"/>
      <c r="B1023" s="18"/>
      <c r="C1023" s="9">
        <v>4240</v>
      </c>
      <c r="D1023" s="272" t="s">
        <v>97</v>
      </c>
      <c r="E1023" s="99">
        <v>2300</v>
      </c>
      <c r="F1023" s="94"/>
      <c r="G1023" s="99">
        <v>6800</v>
      </c>
      <c r="H1023" s="389"/>
      <c r="I1023" s="597"/>
    </row>
    <row r="1024" spans="1:9" ht="16.5" customHeight="1">
      <c r="A1024" s="73"/>
      <c r="B1024" s="18"/>
      <c r="C1024" s="9">
        <v>4300</v>
      </c>
      <c r="D1024" s="272" t="s">
        <v>408</v>
      </c>
      <c r="E1024" s="99">
        <v>2582</v>
      </c>
      <c r="F1024" s="94"/>
      <c r="G1024" s="99">
        <v>2000</v>
      </c>
      <c r="H1024" s="389"/>
      <c r="I1024" s="597"/>
    </row>
    <row r="1025" spans="1:9" ht="21.75" customHeight="1">
      <c r="A1025" s="73"/>
      <c r="B1025" s="25">
        <v>80146</v>
      </c>
      <c r="C1025" s="25"/>
      <c r="D1025" s="277" t="s">
        <v>675</v>
      </c>
      <c r="E1025" s="41">
        <f>SUM(E1026:E1045)</f>
        <v>864888</v>
      </c>
      <c r="F1025" s="94"/>
      <c r="G1025" s="41">
        <f>SUM(G1026:G1045)</f>
        <v>917538</v>
      </c>
      <c r="H1025" s="389"/>
      <c r="I1025" s="330">
        <f>G1025/E1025*100</f>
        <v>106.0874934095513</v>
      </c>
    </row>
    <row r="1026" spans="1:9" ht="25.5" customHeight="1">
      <c r="A1026" s="73"/>
      <c r="B1026" s="33"/>
      <c r="C1026" s="20">
        <v>3020</v>
      </c>
      <c r="D1026" s="324" t="s">
        <v>712</v>
      </c>
      <c r="E1026" s="101">
        <v>1298</v>
      </c>
      <c r="F1026" s="94"/>
      <c r="G1026" s="101">
        <v>1040</v>
      </c>
      <c r="H1026" s="389"/>
      <c r="I1026" s="597"/>
    </row>
    <row r="1027" spans="1:9" ht="15" customHeight="1">
      <c r="A1027" s="73"/>
      <c r="B1027" s="33"/>
      <c r="C1027" s="9">
        <v>4010</v>
      </c>
      <c r="D1027" s="272" t="s">
        <v>451</v>
      </c>
      <c r="E1027" s="44">
        <v>248125</v>
      </c>
      <c r="F1027" s="94"/>
      <c r="G1027" s="44">
        <v>268820</v>
      </c>
      <c r="H1027" s="389"/>
      <c r="I1027" s="597"/>
    </row>
    <row r="1028" spans="1:9" ht="15" customHeight="1">
      <c r="A1028" s="73"/>
      <c r="B1028" s="33"/>
      <c r="C1028" s="9">
        <v>4040</v>
      </c>
      <c r="D1028" s="272" t="s">
        <v>452</v>
      </c>
      <c r="E1028" s="44">
        <v>12092</v>
      </c>
      <c r="F1028" s="94"/>
      <c r="G1028" s="44">
        <v>17800</v>
      </c>
      <c r="H1028" s="389"/>
      <c r="I1028" s="597"/>
    </row>
    <row r="1029" spans="1:9" ht="15" customHeight="1">
      <c r="A1029" s="73"/>
      <c r="B1029" s="33"/>
      <c r="C1029" s="9">
        <v>4110</v>
      </c>
      <c r="D1029" s="272" t="s">
        <v>496</v>
      </c>
      <c r="E1029" s="44">
        <v>45555</v>
      </c>
      <c r="F1029" s="94"/>
      <c r="G1029" s="44">
        <v>53527</v>
      </c>
      <c r="H1029" s="389"/>
      <c r="I1029" s="597"/>
    </row>
    <row r="1030" spans="1:9" ht="15" customHeight="1">
      <c r="A1030" s="73"/>
      <c r="B1030" s="33"/>
      <c r="C1030" s="9">
        <v>4120</v>
      </c>
      <c r="D1030" s="272" t="s">
        <v>497</v>
      </c>
      <c r="E1030" s="44">
        <v>4931</v>
      </c>
      <c r="F1030" s="94"/>
      <c r="G1030" s="44">
        <v>7026</v>
      </c>
      <c r="H1030" s="389"/>
      <c r="I1030" s="597"/>
    </row>
    <row r="1031" spans="1:9" ht="15" customHeight="1">
      <c r="A1031" s="73"/>
      <c r="B1031" s="33"/>
      <c r="C1031" s="3">
        <v>4170</v>
      </c>
      <c r="D1031" s="272" t="s">
        <v>503</v>
      </c>
      <c r="E1031" s="44">
        <v>101000</v>
      </c>
      <c r="F1031" s="94"/>
      <c r="G1031" s="44">
        <v>101000</v>
      </c>
      <c r="H1031" s="389"/>
      <c r="I1031" s="597"/>
    </row>
    <row r="1032" spans="1:9" ht="15" customHeight="1">
      <c r="A1032" s="73"/>
      <c r="B1032" s="33"/>
      <c r="C1032" s="9">
        <v>4210</v>
      </c>
      <c r="D1032" s="272" t="s">
        <v>411</v>
      </c>
      <c r="E1032" s="44">
        <v>33632</v>
      </c>
      <c r="F1032" s="94"/>
      <c r="G1032" s="44">
        <v>30200</v>
      </c>
      <c r="H1032" s="389"/>
      <c r="I1032" s="597"/>
    </row>
    <row r="1033" spans="1:9" ht="25.5" customHeight="1">
      <c r="A1033" s="73"/>
      <c r="B1033" s="33"/>
      <c r="C1033" s="9">
        <v>4240</v>
      </c>
      <c r="D1033" s="272" t="s">
        <v>97</v>
      </c>
      <c r="E1033" s="44">
        <v>1000</v>
      </c>
      <c r="F1033" s="94"/>
      <c r="G1033" s="44">
        <v>5000</v>
      </c>
      <c r="H1033" s="389"/>
      <c r="I1033" s="597"/>
    </row>
    <row r="1034" spans="1:9" ht="19.5" customHeight="1">
      <c r="A1034" s="73"/>
      <c r="B1034" s="33"/>
      <c r="C1034" s="9">
        <v>4260</v>
      </c>
      <c r="D1034" s="272" t="s">
        <v>511</v>
      </c>
      <c r="E1034" s="44">
        <v>12000</v>
      </c>
      <c r="F1034" s="94"/>
      <c r="G1034" s="44">
        <v>15080</v>
      </c>
      <c r="H1034" s="389"/>
      <c r="I1034" s="597"/>
    </row>
    <row r="1035" spans="1:9" ht="15" customHeight="1">
      <c r="A1035" s="73"/>
      <c r="B1035" s="33"/>
      <c r="C1035" s="9">
        <v>4270</v>
      </c>
      <c r="D1035" s="272" t="s">
        <v>412</v>
      </c>
      <c r="E1035" s="44">
        <v>15000</v>
      </c>
      <c r="F1035" s="94"/>
      <c r="G1035" s="44">
        <v>2000</v>
      </c>
      <c r="H1035" s="389"/>
      <c r="I1035" s="597"/>
    </row>
    <row r="1036" spans="1:9" ht="15" customHeight="1">
      <c r="A1036" s="73"/>
      <c r="B1036" s="33"/>
      <c r="C1036" s="9">
        <v>4280</v>
      </c>
      <c r="D1036" s="272" t="s">
        <v>714</v>
      </c>
      <c r="E1036" s="44">
        <v>220</v>
      </c>
      <c r="F1036" s="94"/>
      <c r="G1036" s="44">
        <v>400</v>
      </c>
      <c r="H1036" s="389"/>
      <c r="I1036" s="597"/>
    </row>
    <row r="1037" spans="1:9" ht="15" customHeight="1">
      <c r="A1037" s="73"/>
      <c r="B1037" s="18"/>
      <c r="C1037" s="9">
        <v>4300</v>
      </c>
      <c r="D1037" s="272" t="s">
        <v>408</v>
      </c>
      <c r="E1037" s="44">
        <v>174162</v>
      </c>
      <c r="F1037" s="94"/>
      <c r="G1037" s="44">
        <v>203885</v>
      </c>
      <c r="H1037" s="389"/>
      <c r="I1037" s="597"/>
    </row>
    <row r="1038" spans="1:9" ht="15" customHeight="1">
      <c r="A1038" s="73"/>
      <c r="B1038" s="18"/>
      <c r="C1038" s="9">
        <v>4350</v>
      </c>
      <c r="D1038" s="272" t="s">
        <v>506</v>
      </c>
      <c r="E1038" s="44">
        <v>1000</v>
      </c>
      <c r="F1038" s="94"/>
      <c r="G1038" s="44">
        <v>800</v>
      </c>
      <c r="H1038" s="389"/>
      <c r="I1038" s="597"/>
    </row>
    <row r="1039" spans="1:9" ht="39" customHeight="1">
      <c r="A1039" s="73"/>
      <c r="B1039" s="18"/>
      <c r="C1039" s="20">
        <v>4370</v>
      </c>
      <c r="D1039" s="272" t="s">
        <v>3</v>
      </c>
      <c r="E1039" s="44">
        <v>5000</v>
      </c>
      <c r="F1039" s="94"/>
      <c r="G1039" s="44">
        <v>6000</v>
      </c>
      <c r="H1039" s="389"/>
      <c r="I1039" s="597"/>
    </row>
    <row r="1040" spans="1:9" ht="28.5" customHeight="1">
      <c r="A1040" s="73"/>
      <c r="B1040" s="18"/>
      <c r="C1040" s="20">
        <v>4400</v>
      </c>
      <c r="D1040" s="324" t="s">
        <v>620</v>
      </c>
      <c r="E1040" s="44">
        <v>30600</v>
      </c>
      <c r="F1040" s="94"/>
      <c r="G1040" s="44">
        <v>30000</v>
      </c>
      <c r="H1040" s="389"/>
      <c r="I1040" s="597"/>
    </row>
    <row r="1041" spans="1:9" ht="15" customHeight="1">
      <c r="A1041" s="73"/>
      <c r="B1041" s="18"/>
      <c r="C1041" s="9">
        <v>4410</v>
      </c>
      <c r="D1041" s="272" t="s">
        <v>500</v>
      </c>
      <c r="E1041" s="44">
        <v>37186</v>
      </c>
      <c r="F1041" s="94"/>
      <c r="G1041" s="44">
        <v>40816</v>
      </c>
      <c r="H1041" s="389"/>
      <c r="I1041" s="597"/>
    </row>
    <row r="1042" spans="1:9" ht="15" customHeight="1">
      <c r="A1042" s="73"/>
      <c r="B1042" s="18"/>
      <c r="C1042" s="9">
        <v>4430</v>
      </c>
      <c r="D1042" s="272" t="s">
        <v>387</v>
      </c>
      <c r="E1042" s="44">
        <v>2000</v>
      </c>
      <c r="F1042" s="94"/>
      <c r="G1042" s="44">
        <v>1500</v>
      </c>
      <c r="H1042" s="389"/>
      <c r="I1042" s="597"/>
    </row>
    <row r="1043" spans="1:9" ht="26.25" customHeight="1">
      <c r="A1043" s="73"/>
      <c r="B1043" s="18"/>
      <c r="C1043" s="9">
        <v>4440</v>
      </c>
      <c r="D1043" s="272" t="s">
        <v>498</v>
      </c>
      <c r="E1043" s="44">
        <v>8920</v>
      </c>
      <c r="F1043" s="94"/>
      <c r="G1043" s="44">
        <v>9300</v>
      </c>
      <c r="H1043" s="389"/>
      <c r="I1043" s="597"/>
    </row>
    <row r="1044" spans="1:9" ht="30" customHeight="1">
      <c r="A1044" s="73"/>
      <c r="B1044" s="18"/>
      <c r="C1044" s="9">
        <v>4700</v>
      </c>
      <c r="D1044" s="272" t="s">
        <v>374</v>
      </c>
      <c r="E1044" s="44">
        <v>124667</v>
      </c>
      <c r="F1044" s="94"/>
      <c r="G1044" s="44">
        <v>123344</v>
      </c>
      <c r="H1044" s="389"/>
      <c r="I1044" s="597"/>
    </row>
    <row r="1045" spans="1:9" ht="27" customHeight="1">
      <c r="A1045" s="73"/>
      <c r="B1045" s="18"/>
      <c r="C1045" s="3">
        <v>6050</v>
      </c>
      <c r="D1045" s="272" t="s">
        <v>470</v>
      </c>
      <c r="E1045" s="44">
        <v>6500</v>
      </c>
      <c r="F1045" s="94"/>
      <c r="G1045" s="44">
        <v>0</v>
      </c>
      <c r="H1045" s="389"/>
      <c r="I1045" s="597"/>
    </row>
    <row r="1046" spans="1:9" ht="23.25" customHeight="1">
      <c r="A1046" s="73"/>
      <c r="B1046" s="25">
        <v>80148</v>
      </c>
      <c r="C1046" s="25"/>
      <c r="D1046" s="277" t="s">
        <v>548</v>
      </c>
      <c r="E1046" s="41">
        <f>SUM(E1047:E1061)</f>
        <v>520792</v>
      </c>
      <c r="F1046" s="94"/>
      <c r="G1046" s="41">
        <f>SUM(G1047:G1061)</f>
        <v>525886</v>
      </c>
      <c r="H1046" s="389"/>
      <c r="I1046" s="330">
        <f>G1046/E1046*100</f>
        <v>100.97812562404953</v>
      </c>
    </row>
    <row r="1047" spans="1:9" ht="26.25" customHeight="1">
      <c r="A1047" s="73"/>
      <c r="B1047" s="18"/>
      <c r="C1047" s="20">
        <v>3020</v>
      </c>
      <c r="D1047" s="324" t="s">
        <v>712</v>
      </c>
      <c r="E1047" s="101">
        <v>3500</v>
      </c>
      <c r="F1047" s="94"/>
      <c r="G1047" s="101">
        <v>3500</v>
      </c>
      <c r="H1047" s="389"/>
      <c r="I1047" s="597"/>
    </row>
    <row r="1048" spans="1:9" ht="17.25" customHeight="1">
      <c r="A1048" s="73"/>
      <c r="B1048" s="18"/>
      <c r="C1048" s="9">
        <v>4010</v>
      </c>
      <c r="D1048" s="272" t="s">
        <v>451</v>
      </c>
      <c r="E1048" s="44">
        <v>154500</v>
      </c>
      <c r="F1048" s="94"/>
      <c r="G1048" s="44">
        <v>150772</v>
      </c>
      <c r="H1048" s="389"/>
      <c r="I1048" s="597"/>
    </row>
    <row r="1049" spans="1:9" ht="15" customHeight="1">
      <c r="A1049" s="73"/>
      <c r="B1049" s="18"/>
      <c r="C1049" s="9">
        <v>4040</v>
      </c>
      <c r="D1049" s="272" t="s">
        <v>452</v>
      </c>
      <c r="E1049" s="44">
        <v>10516</v>
      </c>
      <c r="F1049" s="94"/>
      <c r="G1049" s="44">
        <v>12286</v>
      </c>
      <c r="H1049" s="389"/>
      <c r="I1049" s="597"/>
    </row>
    <row r="1050" spans="1:9" ht="15" customHeight="1">
      <c r="A1050" s="73"/>
      <c r="B1050" s="18"/>
      <c r="C1050" s="9">
        <v>4110</v>
      </c>
      <c r="D1050" s="272" t="s">
        <v>496</v>
      </c>
      <c r="E1050" s="44">
        <v>25000</v>
      </c>
      <c r="F1050" s="94"/>
      <c r="G1050" s="44">
        <v>27044</v>
      </c>
      <c r="H1050" s="389"/>
      <c r="I1050" s="597"/>
    </row>
    <row r="1051" spans="1:9" ht="15" customHeight="1">
      <c r="A1051" s="73"/>
      <c r="B1051" s="18"/>
      <c r="C1051" s="9">
        <v>4120</v>
      </c>
      <c r="D1051" s="272" t="s">
        <v>497</v>
      </c>
      <c r="E1051" s="44">
        <v>4235</v>
      </c>
      <c r="F1051" s="94"/>
      <c r="G1051" s="44">
        <v>3803</v>
      </c>
      <c r="H1051" s="389"/>
      <c r="I1051" s="597"/>
    </row>
    <row r="1052" spans="1:9" ht="15" customHeight="1">
      <c r="A1052" s="73"/>
      <c r="B1052" s="18"/>
      <c r="C1052" s="9">
        <v>4210</v>
      </c>
      <c r="D1052" s="272" t="s">
        <v>411</v>
      </c>
      <c r="E1052" s="44">
        <v>13500</v>
      </c>
      <c r="F1052" s="94"/>
      <c r="G1052" s="44">
        <v>13500</v>
      </c>
      <c r="H1052" s="389"/>
      <c r="I1052" s="597"/>
    </row>
    <row r="1053" spans="1:9" ht="15" customHeight="1">
      <c r="A1053" s="73"/>
      <c r="B1053" s="18"/>
      <c r="C1053" s="3">
        <v>4220</v>
      </c>
      <c r="D1053" s="272" t="s">
        <v>111</v>
      </c>
      <c r="E1053" s="44">
        <v>204000</v>
      </c>
      <c r="F1053" s="94"/>
      <c r="G1053" s="44">
        <v>205818</v>
      </c>
      <c r="H1053" s="389"/>
      <c r="I1053" s="597"/>
    </row>
    <row r="1054" spans="1:9" ht="15" customHeight="1">
      <c r="A1054" s="73"/>
      <c r="B1054" s="18"/>
      <c r="C1054" s="9">
        <v>4260</v>
      </c>
      <c r="D1054" s="272" t="s">
        <v>511</v>
      </c>
      <c r="E1054" s="44">
        <v>73000</v>
      </c>
      <c r="F1054" s="94"/>
      <c r="G1054" s="44">
        <v>74500</v>
      </c>
      <c r="H1054" s="389"/>
      <c r="I1054" s="597"/>
    </row>
    <row r="1055" spans="1:9" ht="15" customHeight="1">
      <c r="A1055" s="73"/>
      <c r="B1055" s="18"/>
      <c r="C1055" s="9">
        <v>4270</v>
      </c>
      <c r="D1055" s="272" t="s">
        <v>412</v>
      </c>
      <c r="E1055" s="44">
        <v>6000</v>
      </c>
      <c r="F1055" s="94"/>
      <c r="G1055" s="44">
        <v>6000</v>
      </c>
      <c r="H1055" s="389"/>
      <c r="I1055" s="597"/>
    </row>
    <row r="1056" spans="1:9" ht="15" customHeight="1">
      <c r="A1056" s="73"/>
      <c r="B1056" s="18"/>
      <c r="C1056" s="9">
        <v>4280</v>
      </c>
      <c r="D1056" s="272" t="s">
        <v>714</v>
      </c>
      <c r="E1056" s="44">
        <v>400</v>
      </c>
      <c r="F1056" s="94"/>
      <c r="G1056" s="44">
        <v>400</v>
      </c>
      <c r="H1056" s="389"/>
      <c r="I1056" s="597"/>
    </row>
    <row r="1057" spans="1:9" ht="15" customHeight="1">
      <c r="A1057" s="73"/>
      <c r="B1057" s="18"/>
      <c r="C1057" s="9">
        <v>4300</v>
      </c>
      <c r="D1057" s="272" t="s">
        <v>408</v>
      </c>
      <c r="E1057" s="44">
        <v>19200</v>
      </c>
      <c r="F1057" s="94"/>
      <c r="G1057" s="44">
        <v>16900</v>
      </c>
      <c r="H1057" s="389"/>
      <c r="I1057" s="597"/>
    </row>
    <row r="1058" spans="1:9" ht="15" customHeight="1">
      <c r="A1058" s="73"/>
      <c r="B1058" s="18"/>
      <c r="C1058" s="9">
        <v>4410</v>
      </c>
      <c r="D1058" s="272" t="s">
        <v>500</v>
      </c>
      <c r="E1058" s="44">
        <v>200</v>
      </c>
      <c r="F1058" s="94"/>
      <c r="G1058" s="44">
        <v>200</v>
      </c>
      <c r="H1058" s="389"/>
      <c r="I1058" s="597"/>
    </row>
    <row r="1059" spans="1:9" ht="25.5" customHeight="1">
      <c r="A1059" s="73"/>
      <c r="B1059" s="18"/>
      <c r="C1059" s="9">
        <v>4440</v>
      </c>
      <c r="D1059" s="272" t="s">
        <v>498</v>
      </c>
      <c r="E1059" s="44">
        <v>6538</v>
      </c>
      <c r="F1059" s="94"/>
      <c r="G1059" s="44">
        <v>6963</v>
      </c>
      <c r="H1059" s="389"/>
      <c r="I1059" s="597"/>
    </row>
    <row r="1060" spans="1:9" ht="25.5" customHeight="1">
      <c r="A1060" s="73"/>
      <c r="B1060" s="18"/>
      <c r="C1060" s="9">
        <v>4520</v>
      </c>
      <c r="D1060" s="272" t="s">
        <v>373</v>
      </c>
      <c r="E1060" s="44">
        <v>203</v>
      </c>
      <c r="F1060" s="94"/>
      <c r="G1060" s="44">
        <v>3800</v>
      </c>
      <c r="H1060" s="389"/>
      <c r="I1060" s="597"/>
    </row>
    <row r="1061" spans="1:9" ht="25.5" customHeight="1">
      <c r="A1061" s="73"/>
      <c r="B1061" s="18"/>
      <c r="C1061" s="3">
        <v>4700</v>
      </c>
      <c r="D1061" s="272" t="s">
        <v>374</v>
      </c>
      <c r="E1061" s="44">
        <v>0</v>
      </c>
      <c r="F1061" s="94"/>
      <c r="G1061" s="44">
        <v>400</v>
      </c>
      <c r="H1061" s="389"/>
      <c r="I1061" s="597"/>
    </row>
    <row r="1062" spans="1:9" ht="21.75" customHeight="1">
      <c r="A1062" s="73"/>
      <c r="B1062" s="25">
        <v>80195</v>
      </c>
      <c r="C1062" s="25"/>
      <c r="D1062" s="277" t="s">
        <v>143</v>
      </c>
      <c r="E1062" s="29">
        <f>SUM(E1063:E1075)</f>
        <v>899408.12</v>
      </c>
      <c r="F1062" s="94"/>
      <c r="G1062" s="29">
        <f>SUM(G1063:G1075)</f>
        <v>958751.6</v>
      </c>
      <c r="H1062" s="389"/>
      <c r="I1062" s="330">
        <f>G1062/E1062*100</f>
        <v>106.59805917696184</v>
      </c>
    </row>
    <row r="1063" spans="1:9" ht="20.25" customHeight="1">
      <c r="A1063" s="73"/>
      <c r="B1063" s="33"/>
      <c r="C1063" s="9">
        <v>4111</v>
      </c>
      <c r="D1063" s="272" t="s">
        <v>496</v>
      </c>
      <c r="E1063" s="101">
        <v>342</v>
      </c>
      <c r="F1063" s="94"/>
      <c r="G1063" s="101">
        <v>2872</v>
      </c>
      <c r="H1063" s="389"/>
      <c r="I1063" s="597"/>
    </row>
    <row r="1064" spans="1:9" ht="21" customHeight="1">
      <c r="A1064" s="73"/>
      <c r="B1064" s="33"/>
      <c r="C1064" s="9">
        <v>4121</v>
      </c>
      <c r="D1064" s="272" t="s">
        <v>497</v>
      </c>
      <c r="E1064" s="101">
        <v>50</v>
      </c>
      <c r="F1064" s="94"/>
      <c r="G1064" s="101">
        <v>350</v>
      </c>
      <c r="H1064" s="389"/>
      <c r="I1064" s="597"/>
    </row>
    <row r="1065" spans="1:9" ht="21" customHeight="1">
      <c r="A1065" s="73"/>
      <c r="B1065" s="33"/>
      <c r="C1065" s="20">
        <v>4170</v>
      </c>
      <c r="D1065" s="324" t="s">
        <v>503</v>
      </c>
      <c r="E1065" s="101">
        <v>1890</v>
      </c>
      <c r="F1065" s="94"/>
      <c r="G1065" s="101"/>
      <c r="H1065" s="389"/>
      <c r="I1065" s="597"/>
    </row>
    <row r="1066" spans="1:9" ht="16.5" customHeight="1">
      <c r="A1066" s="73"/>
      <c r="B1066" s="33"/>
      <c r="C1066" s="20">
        <v>4171</v>
      </c>
      <c r="D1066" s="324" t="s">
        <v>503</v>
      </c>
      <c r="E1066" s="101">
        <v>2000</v>
      </c>
      <c r="F1066" s="94"/>
      <c r="G1066" s="101">
        <v>16670</v>
      </c>
      <c r="H1066" s="389"/>
      <c r="I1066" s="597"/>
    </row>
    <row r="1067" spans="1:9" ht="15" customHeight="1">
      <c r="A1067" s="73"/>
      <c r="B1067" s="18"/>
      <c r="C1067" s="9">
        <v>4210</v>
      </c>
      <c r="D1067" s="272" t="s">
        <v>729</v>
      </c>
      <c r="E1067" s="44">
        <v>4800</v>
      </c>
      <c r="F1067" s="94"/>
      <c r="G1067" s="44">
        <v>2800</v>
      </c>
      <c r="H1067" s="389"/>
      <c r="I1067" s="597"/>
    </row>
    <row r="1068" spans="1:9" ht="15" customHeight="1">
      <c r="A1068" s="73"/>
      <c r="B1068" s="18"/>
      <c r="C1068" s="9">
        <v>4211</v>
      </c>
      <c r="D1068" s="272" t="s">
        <v>729</v>
      </c>
      <c r="E1068" s="44">
        <v>7818.4</v>
      </c>
      <c r="F1068" s="94"/>
      <c r="G1068" s="44">
        <v>4185.6</v>
      </c>
      <c r="H1068" s="389"/>
      <c r="I1068" s="597"/>
    </row>
    <row r="1069" spans="1:9" ht="26.25" customHeight="1">
      <c r="A1069" s="73"/>
      <c r="B1069" s="18"/>
      <c r="C1069" s="9">
        <v>4241</v>
      </c>
      <c r="D1069" s="272" t="s">
        <v>97</v>
      </c>
      <c r="E1069" s="44">
        <v>3400</v>
      </c>
      <c r="F1069" s="94"/>
      <c r="G1069" s="44">
        <v>0</v>
      </c>
      <c r="H1069" s="389"/>
      <c r="I1069" s="597"/>
    </row>
    <row r="1070" spans="1:9" ht="15" customHeight="1">
      <c r="A1070" s="73"/>
      <c r="B1070" s="18"/>
      <c r="C1070" s="9">
        <v>4300</v>
      </c>
      <c r="D1070" s="272" t="s">
        <v>408</v>
      </c>
      <c r="E1070" s="44">
        <v>42300</v>
      </c>
      <c r="F1070" s="94"/>
      <c r="G1070" s="44">
        <v>800</v>
      </c>
      <c r="H1070" s="389"/>
      <c r="I1070" s="597"/>
    </row>
    <row r="1071" spans="1:9" ht="15" customHeight="1">
      <c r="A1071" s="73"/>
      <c r="B1071" s="18"/>
      <c r="C1071" s="9">
        <v>4301</v>
      </c>
      <c r="D1071" s="272" t="s">
        <v>408</v>
      </c>
      <c r="E1071" s="44">
        <v>185651.2</v>
      </c>
      <c r="F1071" s="94"/>
      <c r="G1071" s="44">
        <v>246374</v>
      </c>
      <c r="H1071" s="389"/>
      <c r="I1071" s="597"/>
    </row>
    <row r="1072" spans="1:9" ht="39.75" customHeight="1">
      <c r="A1072" s="73"/>
      <c r="B1072" s="18"/>
      <c r="C1072" s="9">
        <v>4361</v>
      </c>
      <c r="D1072" s="272" t="s">
        <v>4</v>
      </c>
      <c r="E1072" s="44">
        <v>400</v>
      </c>
      <c r="F1072" s="94"/>
      <c r="G1072" s="44">
        <v>700</v>
      </c>
      <c r="H1072" s="389"/>
      <c r="I1072" s="597"/>
    </row>
    <row r="1073" spans="1:9" ht="15" customHeight="1">
      <c r="A1073" s="73"/>
      <c r="B1073" s="18"/>
      <c r="C1073" s="9">
        <v>4421</v>
      </c>
      <c r="D1073" s="272" t="s">
        <v>508</v>
      </c>
      <c r="E1073" s="44">
        <v>13506.52</v>
      </c>
      <c r="F1073" s="94"/>
      <c r="G1073" s="44">
        <v>10000</v>
      </c>
      <c r="H1073" s="389"/>
      <c r="I1073" s="597"/>
    </row>
    <row r="1074" spans="1:9" ht="15" customHeight="1">
      <c r="A1074" s="73"/>
      <c r="B1074" s="18"/>
      <c r="C1074" s="9">
        <v>4431</v>
      </c>
      <c r="D1074" s="272" t="s">
        <v>387</v>
      </c>
      <c r="E1074" s="44">
        <v>800</v>
      </c>
      <c r="F1074" s="94"/>
      <c r="G1074" s="44">
        <v>4000</v>
      </c>
      <c r="H1074" s="389"/>
      <c r="I1074" s="597"/>
    </row>
    <row r="1075" spans="1:9" ht="22.5" customHeight="1">
      <c r="A1075" s="73"/>
      <c r="B1075" s="18"/>
      <c r="C1075" s="9">
        <v>4440</v>
      </c>
      <c r="D1075" s="272" t="s">
        <v>498</v>
      </c>
      <c r="E1075" s="44">
        <v>636450</v>
      </c>
      <c r="F1075" s="94"/>
      <c r="G1075" s="44">
        <v>670000</v>
      </c>
      <c r="H1075" s="389"/>
      <c r="I1075" s="597"/>
    </row>
    <row r="1076" spans="1:9" ht="22.5" customHeight="1">
      <c r="A1076" s="63">
        <v>852</v>
      </c>
      <c r="B1076" s="62"/>
      <c r="C1076" s="11"/>
      <c r="D1076" s="276" t="s">
        <v>608</v>
      </c>
      <c r="E1076" s="36">
        <f>E1077+E1102+E1128+E1145+E1138+E1147+E1149</f>
        <v>12399152</v>
      </c>
      <c r="F1076" s="36">
        <f>F1077+F1102+F1128+F1138+F1147+F1149</f>
        <v>0</v>
      </c>
      <c r="G1076" s="36">
        <f>G1077+G1102+G1128+G1145+G1138+G1147+G1149</f>
        <v>12277132</v>
      </c>
      <c r="H1076" s="92">
        <f>H1077+H1102+H1128+H1138+H1147+H1149</f>
        <v>0</v>
      </c>
      <c r="I1076" s="330">
        <f>G1076/E1076*100</f>
        <v>99.0159004422238</v>
      </c>
    </row>
    <row r="1077" spans="1:9" ht="24" customHeight="1">
      <c r="A1077" s="63"/>
      <c r="B1077" s="24">
        <v>85201</v>
      </c>
      <c r="C1077" s="25"/>
      <c r="D1077" s="277" t="s">
        <v>609</v>
      </c>
      <c r="E1077" s="42">
        <f>SUM(E1078:E1101)</f>
        <v>2093150</v>
      </c>
      <c r="F1077" s="110"/>
      <c r="G1077" s="42">
        <f>SUM(G1078:G1101)</f>
        <v>2103300</v>
      </c>
      <c r="H1077" s="1068"/>
      <c r="I1077" s="330">
        <f>G1077/E1077*100</f>
        <v>100.48491508014237</v>
      </c>
    </row>
    <row r="1078" spans="1:9" ht="52.5" customHeight="1">
      <c r="A1078" s="73"/>
      <c r="B1078" s="18"/>
      <c r="C1078" s="9">
        <v>2320</v>
      </c>
      <c r="D1078" s="272" t="s">
        <v>422</v>
      </c>
      <c r="E1078" s="101">
        <v>598400</v>
      </c>
      <c r="F1078" s="94"/>
      <c r="G1078" s="101">
        <v>608600</v>
      </c>
      <c r="H1078" s="389"/>
      <c r="I1078" s="597"/>
    </row>
    <row r="1079" spans="1:9" ht="75" customHeight="1">
      <c r="A1079" s="73"/>
      <c r="B1079" s="18"/>
      <c r="C1079" s="3">
        <v>2360</v>
      </c>
      <c r="D1079" s="272" t="s">
        <v>633</v>
      </c>
      <c r="E1079" s="101">
        <v>200000</v>
      </c>
      <c r="F1079" s="94"/>
      <c r="G1079" s="101">
        <v>200000</v>
      </c>
      <c r="H1079" s="389"/>
      <c r="I1079" s="597"/>
    </row>
    <row r="1080" spans="1:9" ht="26.25" customHeight="1">
      <c r="A1080" s="73"/>
      <c r="B1080" s="18"/>
      <c r="C1080" s="9">
        <v>3020</v>
      </c>
      <c r="D1080" s="272" t="s">
        <v>712</v>
      </c>
      <c r="E1080" s="44">
        <v>500</v>
      </c>
      <c r="F1080" s="94"/>
      <c r="G1080" s="44">
        <v>500</v>
      </c>
      <c r="H1080" s="389"/>
      <c r="I1080" s="597"/>
    </row>
    <row r="1081" spans="1:9" ht="15" customHeight="1">
      <c r="A1081" s="73"/>
      <c r="B1081" s="33"/>
      <c r="C1081" s="3">
        <v>3110</v>
      </c>
      <c r="D1081" s="272" t="s">
        <v>460</v>
      </c>
      <c r="E1081" s="44">
        <v>7500</v>
      </c>
      <c r="F1081" s="94"/>
      <c r="G1081" s="44">
        <v>7500</v>
      </c>
      <c r="H1081" s="389"/>
      <c r="I1081" s="597"/>
    </row>
    <row r="1082" spans="1:9" ht="15.75" customHeight="1">
      <c r="A1082" s="73"/>
      <c r="B1082" s="18"/>
      <c r="C1082" s="3">
        <v>4010</v>
      </c>
      <c r="D1082" s="272" t="s">
        <v>451</v>
      </c>
      <c r="E1082" s="44">
        <v>810000</v>
      </c>
      <c r="F1082" s="94"/>
      <c r="G1082" s="44">
        <v>810000</v>
      </c>
      <c r="H1082" s="389"/>
      <c r="I1082" s="597"/>
    </row>
    <row r="1083" spans="1:9" ht="15" customHeight="1">
      <c r="A1083" s="73"/>
      <c r="B1083" s="18"/>
      <c r="C1083" s="3">
        <v>4040</v>
      </c>
      <c r="D1083" s="272" t="s">
        <v>452</v>
      </c>
      <c r="E1083" s="44">
        <v>62802</v>
      </c>
      <c r="F1083" s="94"/>
      <c r="G1083" s="44">
        <v>67000</v>
      </c>
      <c r="H1083" s="389"/>
      <c r="I1083" s="597"/>
    </row>
    <row r="1084" spans="1:9" ht="15" customHeight="1">
      <c r="A1084" s="73"/>
      <c r="B1084" s="18"/>
      <c r="C1084" s="3">
        <v>4110</v>
      </c>
      <c r="D1084" s="272" t="s">
        <v>496</v>
      </c>
      <c r="E1084" s="44">
        <v>143698</v>
      </c>
      <c r="F1084" s="94"/>
      <c r="G1084" s="44">
        <v>145000</v>
      </c>
      <c r="H1084" s="389"/>
      <c r="I1084" s="597"/>
    </row>
    <row r="1085" spans="1:9" ht="15" customHeight="1">
      <c r="A1085" s="73"/>
      <c r="B1085" s="18"/>
      <c r="C1085" s="3">
        <v>4120</v>
      </c>
      <c r="D1085" s="272" t="s">
        <v>497</v>
      </c>
      <c r="E1085" s="44">
        <v>20000</v>
      </c>
      <c r="F1085" s="94"/>
      <c r="G1085" s="44">
        <v>20000</v>
      </c>
      <c r="H1085" s="389"/>
      <c r="I1085" s="597"/>
    </row>
    <row r="1086" spans="1:9" ht="15" customHeight="1">
      <c r="A1086" s="73"/>
      <c r="B1086" s="18"/>
      <c r="C1086" s="3">
        <v>4170</v>
      </c>
      <c r="D1086" s="272" t="s">
        <v>503</v>
      </c>
      <c r="E1086" s="44">
        <v>3600</v>
      </c>
      <c r="F1086" s="94"/>
      <c r="G1086" s="44">
        <v>3600</v>
      </c>
      <c r="H1086" s="389"/>
      <c r="I1086" s="597"/>
    </row>
    <row r="1087" spans="1:9" ht="15" customHeight="1">
      <c r="A1087" s="73"/>
      <c r="B1087" s="18"/>
      <c r="C1087" s="3">
        <v>4210</v>
      </c>
      <c r="D1087" s="272" t="s">
        <v>411</v>
      </c>
      <c r="E1087" s="44">
        <v>27600</v>
      </c>
      <c r="F1087" s="94"/>
      <c r="G1087" s="44">
        <v>23000</v>
      </c>
      <c r="H1087" s="389"/>
      <c r="I1087" s="597"/>
    </row>
    <row r="1088" spans="1:9" ht="15" customHeight="1">
      <c r="A1088" s="73"/>
      <c r="B1088" s="18"/>
      <c r="C1088" s="3">
        <v>4220</v>
      </c>
      <c r="D1088" s="272" t="s">
        <v>111</v>
      </c>
      <c r="E1088" s="44">
        <v>4000</v>
      </c>
      <c r="F1088" s="94"/>
      <c r="G1088" s="44">
        <v>4000</v>
      </c>
      <c r="H1088" s="389"/>
      <c r="I1088" s="597"/>
    </row>
    <row r="1089" spans="1:9" ht="25.5" customHeight="1">
      <c r="A1089" s="73"/>
      <c r="B1089" s="18"/>
      <c r="C1089" s="3">
        <v>4240</v>
      </c>
      <c r="D1089" s="272" t="s">
        <v>97</v>
      </c>
      <c r="E1089" s="44">
        <v>6000</v>
      </c>
      <c r="F1089" s="94"/>
      <c r="G1089" s="44">
        <v>6000</v>
      </c>
      <c r="H1089" s="389"/>
      <c r="I1089" s="597"/>
    </row>
    <row r="1090" spans="1:9" ht="15" customHeight="1">
      <c r="A1090" s="73"/>
      <c r="B1090" s="18"/>
      <c r="C1090" s="3">
        <v>4260</v>
      </c>
      <c r="D1090" s="272" t="s">
        <v>511</v>
      </c>
      <c r="E1090" s="44">
        <v>35000</v>
      </c>
      <c r="F1090" s="94"/>
      <c r="G1090" s="44">
        <v>38000</v>
      </c>
      <c r="H1090" s="389"/>
      <c r="I1090" s="597"/>
    </row>
    <row r="1091" spans="1:9" ht="15" customHeight="1">
      <c r="A1091" s="73"/>
      <c r="B1091" s="18"/>
      <c r="C1091" s="3">
        <v>4270</v>
      </c>
      <c r="D1091" s="272" t="s">
        <v>412</v>
      </c>
      <c r="E1091" s="44">
        <v>22000</v>
      </c>
      <c r="F1091" s="94"/>
      <c r="G1091" s="44">
        <v>20000</v>
      </c>
      <c r="H1091" s="389"/>
      <c r="I1091" s="597"/>
    </row>
    <row r="1092" spans="1:9" ht="15" customHeight="1">
      <c r="A1092" s="73"/>
      <c r="B1092" s="18"/>
      <c r="C1092" s="3">
        <v>4280</v>
      </c>
      <c r="D1092" s="272" t="s">
        <v>714</v>
      </c>
      <c r="E1092" s="44">
        <v>600</v>
      </c>
      <c r="F1092" s="94"/>
      <c r="G1092" s="44">
        <v>800</v>
      </c>
      <c r="H1092" s="389"/>
      <c r="I1092" s="597"/>
    </row>
    <row r="1093" spans="1:9" ht="15" customHeight="1">
      <c r="A1093" s="73"/>
      <c r="B1093" s="18"/>
      <c r="C1093" s="3">
        <v>4300</v>
      </c>
      <c r="D1093" s="272" t="s">
        <v>408</v>
      </c>
      <c r="E1093" s="44">
        <v>92750</v>
      </c>
      <c r="F1093" s="94"/>
      <c r="G1093" s="44">
        <v>97850</v>
      </c>
      <c r="H1093" s="389"/>
      <c r="I1093" s="597"/>
    </row>
    <row r="1094" spans="1:9" ht="15" customHeight="1">
      <c r="A1094" s="73"/>
      <c r="B1094" s="18"/>
      <c r="C1094" s="20">
        <v>4350</v>
      </c>
      <c r="D1094" s="272" t="s">
        <v>506</v>
      </c>
      <c r="E1094" s="44">
        <v>800</v>
      </c>
      <c r="F1094" s="94"/>
      <c r="G1094" s="44">
        <v>800</v>
      </c>
      <c r="H1094" s="389"/>
      <c r="I1094" s="597"/>
    </row>
    <row r="1095" spans="1:9" ht="36" customHeight="1">
      <c r="A1095" s="73"/>
      <c r="B1095" s="18"/>
      <c r="C1095" s="20">
        <v>4370</v>
      </c>
      <c r="D1095" s="272" t="s">
        <v>3</v>
      </c>
      <c r="E1095" s="44">
        <v>5440</v>
      </c>
      <c r="F1095" s="94"/>
      <c r="G1095" s="44">
        <v>6000</v>
      </c>
      <c r="H1095" s="389"/>
      <c r="I1095" s="597"/>
    </row>
    <row r="1096" spans="1:9" ht="15" customHeight="1">
      <c r="A1096" s="73"/>
      <c r="B1096" s="18"/>
      <c r="C1096" s="3">
        <v>4410</v>
      </c>
      <c r="D1096" s="272" t="s">
        <v>500</v>
      </c>
      <c r="E1096" s="44">
        <v>14000</v>
      </c>
      <c r="F1096" s="94"/>
      <c r="G1096" s="44">
        <v>12150</v>
      </c>
      <c r="H1096" s="389"/>
      <c r="I1096" s="597"/>
    </row>
    <row r="1097" spans="1:9" ht="15" customHeight="1">
      <c r="A1097" s="73"/>
      <c r="B1097" s="18"/>
      <c r="C1097" s="3">
        <v>4430</v>
      </c>
      <c r="D1097" s="272" t="s">
        <v>387</v>
      </c>
      <c r="E1097" s="44">
        <v>2600</v>
      </c>
      <c r="F1097" s="94"/>
      <c r="G1097" s="44">
        <v>2000</v>
      </c>
      <c r="H1097" s="389"/>
      <c r="I1097" s="597"/>
    </row>
    <row r="1098" spans="1:9" ht="25.5" customHeight="1">
      <c r="A1098" s="73"/>
      <c r="B1098" s="18"/>
      <c r="C1098" s="3">
        <v>4440</v>
      </c>
      <c r="D1098" s="272" t="s">
        <v>498</v>
      </c>
      <c r="E1098" s="44">
        <v>29500</v>
      </c>
      <c r="F1098" s="94"/>
      <c r="G1098" s="44">
        <v>21700</v>
      </c>
      <c r="H1098" s="389"/>
      <c r="I1098" s="597"/>
    </row>
    <row r="1099" spans="1:9" ht="20.25" customHeight="1">
      <c r="A1099" s="73"/>
      <c r="B1099" s="18"/>
      <c r="C1099" s="9">
        <v>4480</v>
      </c>
      <c r="D1099" s="272" t="s">
        <v>351</v>
      </c>
      <c r="E1099" s="44">
        <v>3100</v>
      </c>
      <c r="F1099" s="94"/>
      <c r="G1099" s="44">
        <v>3300</v>
      </c>
      <c r="H1099" s="389"/>
      <c r="I1099" s="597"/>
    </row>
    <row r="1100" spans="1:9" ht="26.25" customHeight="1">
      <c r="A1100" s="73"/>
      <c r="B1100" s="18"/>
      <c r="C1100" s="9">
        <v>4520</v>
      </c>
      <c r="D1100" s="272" t="s">
        <v>373</v>
      </c>
      <c r="E1100" s="44">
        <v>760</v>
      </c>
      <c r="F1100" s="94"/>
      <c r="G1100" s="44">
        <v>1500</v>
      </c>
      <c r="H1100" s="389"/>
      <c r="I1100" s="597"/>
    </row>
    <row r="1101" spans="1:9" ht="25.5" customHeight="1">
      <c r="A1101" s="73"/>
      <c r="B1101" s="18"/>
      <c r="C1101" s="9">
        <v>4700</v>
      </c>
      <c r="D1101" s="272" t="s">
        <v>374</v>
      </c>
      <c r="E1101" s="44">
        <v>2500</v>
      </c>
      <c r="F1101" s="94"/>
      <c r="G1101" s="44">
        <v>4000</v>
      </c>
      <c r="H1101" s="389"/>
      <c r="I1101" s="597"/>
    </row>
    <row r="1102" spans="1:9" ht="24" customHeight="1">
      <c r="A1102" s="73"/>
      <c r="B1102" s="28">
        <v>85202</v>
      </c>
      <c r="C1102" s="25"/>
      <c r="D1102" s="277" t="s">
        <v>621</v>
      </c>
      <c r="E1102" s="41">
        <f>SUM(E1103:E1127)</f>
        <v>8027839</v>
      </c>
      <c r="F1102" s="94"/>
      <c r="G1102" s="41">
        <f>SUM(G1103:G1127)</f>
        <v>7880000</v>
      </c>
      <c r="H1102" s="389"/>
      <c r="I1102" s="330">
        <f>G1102/E1102*100</f>
        <v>98.15842096484496</v>
      </c>
    </row>
    <row r="1103" spans="1:9" ht="24.75" customHeight="1">
      <c r="A1103" s="73"/>
      <c r="B1103" s="28"/>
      <c r="C1103" s="9">
        <v>3020</v>
      </c>
      <c r="D1103" s="272" t="s">
        <v>712</v>
      </c>
      <c r="E1103" s="101">
        <v>14934</v>
      </c>
      <c r="F1103" s="94"/>
      <c r="G1103" s="101">
        <v>10000</v>
      </c>
      <c r="H1103" s="389"/>
      <c r="I1103" s="597"/>
    </row>
    <row r="1104" spans="1:12" ht="20.25" customHeight="1">
      <c r="A1104" s="73"/>
      <c r="B1104" s="18"/>
      <c r="C1104" s="9">
        <v>4010</v>
      </c>
      <c r="D1104" s="272" t="s">
        <v>451</v>
      </c>
      <c r="E1104" s="44">
        <v>3072830</v>
      </c>
      <c r="F1104" s="94"/>
      <c r="G1104" s="44">
        <v>3200757</v>
      </c>
      <c r="H1104" s="389"/>
      <c r="I1104" s="597"/>
      <c r="L1104" s="252"/>
    </row>
    <row r="1105" spans="1:9" ht="15" customHeight="1">
      <c r="A1105" s="73"/>
      <c r="B1105" s="18"/>
      <c r="C1105" s="9">
        <v>4040</v>
      </c>
      <c r="D1105" s="272" t="s">
        <v>452</v>
      </c>
      <c r="E1105" s="44">
        <v>238411.3</v>
      </c>
      <c r="F1105" s="94"/>
      <c r="G1105" s="44">
        <v>261190</v>
      </c>
      <c r="H1105" s="389"/>
      <c r="I1105" s="597"/>
    </row>
    <row r="1106" spans="1:9" ht="15" customHeight="1">
      <c r="A1106" s="73"/>
      <c r="B1106" s="18"/>
      <c r="C1106" s="9">
        <v>4110</v>
      </c>
      <c r="D1106" s="272" t="s">
        <v>496</v>
      </c>
      <c r="E1106" s="44">
        <v>537702</v>
      </c>
      <c r="F1106" s="94"/>
      <c r="G1106" s="44">
        <v>570440</v>
      </c>
      <c r="H1106" s="389"/>
      <c r="I1106" s="597"/>
    </row>
    <row r="1107" spans="1:9" ht="15" customHeight="1">
      <c r="A1107" s="73"/>
      <c r="B1107" s="18"/>
      <c r="C1107" s="9">
        <v>4120</v>
      </c>
      <c r="D1107" s="272" t="s">
        <v>497</v>
      </c>
      <c r="E1107" s="44">
        <v>58856</v>
      </c>
      <c r="F1107" s="94"/>
      <c r="G1107" s="44">
        <v>58538</v>
      </c>
      <c r="H1107" s="389"/>
      <c r="I1107" s="597"/>
    </row>
    <row r="1108" spans="1:9" ht="15" customHeight="1">
      <c r="A1108" s="73"/>
      <c r="B1108" s="18"/>
      <c r="C1108" s="3">
        <v>4170</v>
      </c>
      <c r="D1108" s="272" t="s">
        <v>503</v>
      </c>
      <c r="E1108" s="44">
        <v>1030</v>
      </c>
      <c r="F1108" s="94"/>
      <c r="G1108" s="44">
        <v>1000</v>
      </c>
      <c r="H1108" s="389"/>
      <c r="I1108" s="597"/>
    </row>
    <row r="1109" spans="1:9" ht="15" customHeight="1">
      <c r="A1109" s="73"/>
      <c r="B1109" s="18"/>
      <c r="C1109" s="9">
        <v>4210</v>
      </c>
      <c r="D1109" s="272" t="s">
        <v>411</v>
      </c>
      <c r="E1109" s="44">
        <v>152161</v>
      </c>
      <c r="F1109" s="94"/>
      <c r="G1109" s="44">
        <v>100268</v>
      </c>
      <c r="H1109" s="389"/>
      <c r="I1109" s="597"/>
    </row>
    <row r="1110" spans="1:9" ht="15" customHeight="1">
      <c r="A1110" s="73"/>
      <c r="B1110" s="18"/>
      <c r="C1110" s="9">
        <v>4220</v>
      </c>
      <c r="D1110" s="272" t="s">
        <v>111</v>
      </c>
      <c r="E1110" s="44">
        <v>419982</v>
      </c>
      <c r="F1110" s="94"/>
      <c r="G1110" s="44">
        <v>380982</v>
      </c>
      <c r="H1110" s="389"/>
      <c r="I1110" s="597"/>
    </row>
    <row r="1111" spans="1:9" ht="25.5" customHeight="1">
      <c r="A1111" s="73"/>
      <c r="B1111" s="18"/>
      <c r="C1111" s="9">
        <v>4230</v>
      </c>
      <c r="D1111" s="272" t="s">
        <v>718</v>
      </c>
      <c r="E1111" s="44">
        <v>40776.5</v>
      </c>
      <c r="F1111" s="94"/>
      <c r="G1111" s="44">
        <v>40776.5</v>
      </c>
      <c r="H1111" s="389"/>
      <c r="I1111" s="597"/>
    </row>
    <row r="1112" spans="1:9" ht="15" customHeight="1">
      <c r="A1112" s="73"/>
      <c r="B1112" s="18"/>
      <c r="C1112" s="9">
        <v>4260</v>
      </c>
      <c r="D1112" s="272" t="s">
        <v>511</v>
      </c>
      <c r="E1112" s="44">
        <v>312504.7</v>
      </c>
      <c r="F1112" s="94"/>
      <c r="G1112" s="44">
        <v>132985</v>
      </c>
      <c r="H1112" s="389"/>
      <c r="I1112" s="597"/>
    </row>
    <row r="1113" spans="1:9" ht="15" customHeight="1">
      <c r="A1113" s="73"/>
      <c r="B1113" s="18"/>
      <c r="C1113" s="9">
        <v>4270</v>
      </c>
      <c r="D1113" s="272" t="s">
        <v>412</v>
      </c>
      <c r="E1113" s="44">
        <v>63700</v>
      </c>
      <c r="F1113" s="94"/>
      <c r="G1113" s="44">
        <v>38700</v>
      </c>
      <c r="H1113" s="389"/>
      <c r="I1113" s="597"/>
    </row>
    <row r="1114" spans="1:9" ht="15" customHeight="1">
      <c r="A1114" s="73"/>
      <c r="B1114" s="18"/>
      <c r="C1114" s="9">
        <v>4280</v>
      </c>
      <c r="D1114" s="272" t="s">
        <v>714</v>
      </c>
      <c r="E1114" s="44">
        <v>44268</v>
      </c>
      <c r="F1114" s="94"/>
      <c r="G1114" s="44">
        <v>44268</v>
      </c>
      <c r="H1114" s="389"/>
      <c r="I1114" s="597"/>
    </row>
    <row r="1115" spans="1:9" ht="16.5" customHeight="1">
      <c r="A1115" s="73"/>
      <c r="B1115" s="18"/>
      <c r="C1115" s="9">
        <v>4300</v>
      </c>
      <c r="D1115" s="272" t="s">
        <v>408</v>
      </c>
      <c r="E1115" s="44">
        <v>1490338</v>
      </c>
      <c r="F1115" s="94"/>
      <c r="G1115" s="44">
        <f>1300000+120338</f>
        <v>1420338</v>
      </c>
      <c r="H1115" s="389"/>
      <c r="I1115" s="597"/>
    </row>
    <row r="1116" spans="1:9" ht="36" customHeight="1">
      <c r="A1116" s="73"/>
      <c r="B1116" s="18"/>
      <c r="C1116" s="9">
        <v>4330</v>
      </c>
      <c r="D1116" s="272" t="s">
        <v>689</v>
      </c>
      <c r="E1116" s="44">
        <v>1353200</v>
      </c>
      <c r="F1116" s="94"/>
      <c r="G1116" s="44">
        <v>1480000</v>
      </c>
      <c r="H1116" s="389"/>
      <c r="I1116" s="597"/>
    </row>
    <row r="1117" spans="1:9" ht="17.25" customHeight="1">
      <c r="A1117" s="73"/>
      <c r="B1117" s="18"/>
      <c r="C1117" s="20">
        <v>4350</v>
      </c>
      <c r="D1117" s="272" t="s">
        <v>506</v>
      </c>
      <c r="E1117" s="44">
        <v>2400</v>
      </c>
      <c r="F1117" s="94"/>
      <c r="G1117" s="44">
        <v>2400</v>
      </c>
      <c r="H1117" s="389"/>
      <c r="I1117" s="597"/>
    </row>
    <row r="1118" spans="1:9" ht="36" customHeight="1">
      <c r="A1118" s="73"/>
      <c r="B1118" s="18"/>
      <c r="C1118" s="20">
        <v>4360</v>
      </c>
      <c r="D1118" s="272" t="s">
        <v>4</v>
      </c>
      <c r="E1118" s="44">
        <v>4120</v>
      </c>
      <c r="F1118" s="94"/>
      <c r="G1118" s="44">
        <v>4120</v>
      </c>
      <c r="H1118" s="389"/>
      <c r="I1118" s="597"/>
    </row>
    <row r="1119" spans="1:9" ht="36" customHeight="1">
      <c r="A1119" s="73"/>
      <c r="B1119" s="18"/>
      <c r="C1119" s="20">
        <v>4370</v>
      </c>
      <c r="D1119" s="272" t="s">
        <v>3</v>
      </c>
      <c r="E1119" s="44">
        <v>8000</v>
      </c>
      <c r="F1119" s="94"/>
      <c r="G1119" s="44">
        <v>8000</v>
      </c>
      <c r="H1119" s="389"/>
      <c r="I1119" s="597"/>
    </row>
    <row r="1120" spans="1:9" ht="15" customHeight="1">
      <c r="A1120" s="73"/>
      <c r="B1120" s="18"/>
      <c r="C1120" s="9">
        <v>4410</v>
      </c>
      <c r="D1120" s="272" t="s">
        <v>500</v>
      </c>
      <c r="E1120" s="44">
        <v>542</v>
      </c>
      <c r="F1120" s="94"/>
      <c r="G1120" s="44">
        <v>542</v>
      </c>
      <c r="H1120" s="389"/>
      <c r="I1120" s="597"/>
    </row>
    <row r="1121" spans="1:9" ht="15" customHeight="1">
      <c r="A1121" s="73"/>
      <c r="B1121" s="18"/>
      <c r="C1121" s="9">
        <v>4430</v>
      </c>
      <c r="D1121" s="272" t="s">
        <v>690</v>
      </c>
      <c r="E1121" s="44">
        <v>8883</v>
      </c>
      <c r="F1121" s="94"/>
      <c r="G1121" s="44">
        <v>8883</v>
      </c>
      <c r="H1121" s="389"/>
      <c r="I1121" s="597"/>
    </row>
    <row r="1122" spans="1:9" ht="26.25" customHeight="1">
      <c r="A1122" s="73"/>
      <c r="B1122" s="18"/>
      <c r="C1122" s="9">
        <v>4440</v>
      </c>
      <c r="D1122" s="272" t="s">
        <v>498</v>
      </c>
      <c r="E1122" s="44">
        <v>107540</v>
      </c>
      <c r="F1122" s="94"/>
      <c r="G1122" s="44">
        <v>105000</v>
      </c>
      <c r="H1122" s="389"/>
      <c r="I1122" s="597"/>
    </row>
    <row r="1123" spans="1:9" ht="15" customHeight="1">
      <c r="A1123" s="73"/>
      <c r="B1123" s="18"/>
      <c r="C1123" s="9">
        <v>4480</v>
      </c>
      <c r="D1123" s="272" t="s">
        <v>351</v>
      </c>
      <c r="E1123" s="44">
        <v>4758</v>
      </c>
      <c r="F1123" s="94"/>
      <c r="G1123" s="44">
        <v>4758</v>
      </c>
      <c r="H1123" s="389"/>
      <c r="I1123" s="597"/>
    </row>
    <row r="1124" spans="1:9" ht="28.5" customHeight="1">
      <c r="A1124" s="73"/>
      <c r="B1124" s="18"/>
      <c r="C1124" s="9">
        <v>4500</v>
      </c>
      <c r="D1124" s="272" t="s">
        <v>598</v>
      </c>
      <c r="E1124" s="44">
        <v>45</v>
      </c>
      <c r="F1124" s="94"/>
      <c r="G1124" s="44">
        <v>45</v>
      </c>
      <c r="H1124" s="389"/>
      <c r="I1124" s="597"/>
    </row>
    <row r="1125" spans="1:9" ht="29.25" customHeight="1">
      <c r="A1125" s="73"/>
      <c r="B1125" s="18"/>
      <c r="C1125" s="9">
        <v>4520</v>
      </c>
      <c r="D1125" s="272" t="s">
        <v>373</v>
      </c>
      <c r="E1125" s="44">
        <v>9.5</v>
      </c>
      <c r="F1125" s="94"/>
      <c r="G1125" s="44">
        <v>9.5</v>
      </c>
      <c r="H1125" s="389"/>
      <c r="I1125" s="597"/>
    </row>
    <row r="1126" spans="1:9" ht="26.25" customHeight="1">
      <c r="A1126" s="73"/>
      <c r="B1126" s="18"/>
      <c r="C1126" s="9">
        <v>4700</v>
      </c>
      <c r="D1126" s="272" t="s">
        <v>374</v>
      </c>
      <c r="E1126" s="44">
        <v>6848</v>
      </c>
      <c r="F1126" s="94"/>
      <c r="G1126" s="44">
        <v>6000</v>
      </c>
      <c r="H1126" s="389"/>
      <c r="I1126" s="597"/>
    </row>
    <row r="1127" spans="1:9" ht="28.5" customHeight="1">
      <c r="A1127" s="73"/>
      <c r="B1127" s="18"/>
      <c r="C1127" s="3">
        <v>6060</v>
      </c>
      <c r="D1127" s="272" t="s">
        <v>516</v>
      </c>
      <c r="E1127" s="44">
        <v>84000</v>
      </c>
      <c r="F1127" s="94"/>
      <c r="G1127" s="44">
        <v>0</v>
      </c>
      <c r="H1127" s="389"/>
      <c r="I1127" s="597"/>
    </row>
    <row r="1128" spans="1:9" ht="27" customHeight="1">
      <c r="A1128" s="73"/>
      <c r="B1128" s="28">
        <v>85204</v>
      </c>
      <c r="C1128" s="24"/>
      <c r="D1128" s="277" t="s">
        <v>601</v>
      </c>
      <c r="E1128" s="41">
        <f>SUM(E1129:E1137)</f>
        <v>2175644</v>
      </c>
      <c r="F1128" s="94"/>
      <c r="G1128" s="41">
        <f>SUM(G1129:G1137)</f>
        <v>2218500</v>
      </c>
      <c r="H1128" s="389"/>
      <c r="I1128" s="330">
        <f>G1128/E1128*100</f>
        <v>101.96980756042808</v>
      </c>
    </row>
    <row r="1129" spans="1:9" ht="51" customHeight="1">
      <c r="A1129" s="76"/>
      <c r="B1129" s="14"/>
      <c r="C1129" s="9">
        <v>2320</v>
      </c>
      <c r="D1129" s="272" t="s">
        <v>422</v>
      </c>
      <c r="E1129" s="101">
        <v>407000</v>
      </c>
      <c r="F1129" s="94"/>
      <c r="G1129" s="101">
        <v>407000</v>
      </c>
      <c r="H1129" s="389"/>
      <c r="I1129" s="597"/>
    </row>
    <row r="1130" spans="1:9" ht="15" customHeight="1">
      <c r="A1130" s="76"/>
      <c r="B1130" s="8"/>
      <c r="C1130" s="9">
        <v>3110</v>
      </c>
      <c r="D1130" s="324" t="s">
        <v>460</v>
      </c>
      <c r="E1130" s="101">
        <v>1471000</v>
      </c>
      <c r="F1130" s="94"/>
      <c r="G1130" s="101">
        <v>1478000</v>
      </c>
      <c r="H1130" s="389"/>
      <c r="I1130" s="597"/>
    </row>
    <row r="1131" spans="1:9" ht="15" customHeight="1">
      <c r="A1131" s="76"/>
      <c r="B1131" s="8"/>
      <c r="C1131" s="9">
        <v>4010</v>
      </c>
      <c r="D1131" s="324" t="s">
        <v>451</v>
      </c>
      <c r="E1131" s="101">
        <v>112708</v>
      </c>
      <c r="F1131" s="94"/>
      <c r="G1131" s="101">
        <v>131160</v>
      </c>
      <c r="H1131" s="389"/>
      <c r="I1131" s="597"/>
    </row>
    <row r="1132" spans="1:9" ht="15" customHeight="1">
      <c r="A1132" s="76"/>
      <c r="B1132" s="8"/>
      <c r="C1132" s="9">
        <v>4040</v>
      </c>
      <c r="D1132" s="272" t="s">
        <v>452</v>
      </c>
      <c r="E1132" s="101">
        <v>8500</v>
      </c>
      <c r="F1132" s="94"/>
      <c r="G1132" s="101">
        <v>9580</v>
      </c>
      <c r="H1132" s="389"/>
      <c r="I1132" s="597"/>
    </row>
    <row r="1133" spans="1:9" ht="15" customHeight="1">
      <c r="A1133" s="76"/>
      <c r="B1133" s="8"/>
      <c r="C1133" s="9">
        <v>4110</v>
      </c>
      <c r="D1133" s="272" t="s">
        <v>496</v>
      </c>
      <c r="E1133" s="44">
        <v>41890</v>
      </c>
      <c r="F1133" s="94"/>
      <c r="G1133" s="44">
        <v>47000</v>
      </c>
      <c r="H1133" s="389"/>
      <c r="I1133" s="597"/>
    </row>
    <row r="1134" spans="1:9" ht="15" customHeight="1">
      <c r="A1134" s="76"/>
      <c r="B1134" s="8"/>
      <c r="C1134" s="9">
        <v>4120</v>
      </c>
      <c r="D1134" s="272" t="s">
        <v>497</v>
      </c>
      <c r="E1134" s="44">
        <v>4046</v>
      </c>
      <c r="F1134" s="94"/>
      <c r="G1134" s="44">
        <v>6200</v>
      </c>
      <c r="H1134" s="389"/>
      <c r="I1134" s="597"/>
    </row>
    <row r="1135" spans="1:9" ht="15" customHeight="1">
      <c r="A1135" s="76"/>
      <c r="B1135" s="8"/>
      <c r="C1135" s="16">
        <v>4170</v>
      </c>
      <c r="D1135" s="274" t="s">
        <v>503</v>
      </c>
      <c r="E1135" s="99">
        <v>127000</v>
      </c>
      <c r="F1135" s="94"/>
      <c r="G1135" s="99">
        <v>130000</v>
      </c>
      <c r="H1135" s="389"/>
      <c r="I1135" s="597"/>
    </row>
    <row r="1136" spans="1:9" ht="15" customHeight="1">
      <c r="A1136" s="76"/>
      <c r="B1136" s="8"/>
      <c r="C1136" s="9">
        <v>4300</v>
      </c>
      <c r="D1136" s="272" t="s">
        <v>408</v>
      </c>
      <c r="E1136" s="99">
        <v>0</v>
      </c>
      <c r="F1136" s="94"/>
      <c r="G1136" s="99">
        <v>6000</v>
      </c>
      <c r="H1136" s="389"/>
      <c r="I1136" s="597"/>
    </row>
    <row r="1137" spans="1:9" ht="24.75" customHeight="1">
      <c r="A1137" s="76"/>
      <c r="B1137" s="2"/>
      <c r="C1137" s="9">
        <v>4440</v>
      </c>
      <c r="D1137" s="272" t="s">
        <v>498</v>
      </c>
      <c r="E1137" s="99">
        <v>3500</v>
      </c>
      <c r="F1137" s="94"/>
      <c r="G1137" s="55">
        <v>3560</v>
      </c>
      <c r="H1137" s="389"/>
      <c r="I1137" s="597"/>
    </row>
    <row r="1138" spans="1:9" ht="24" customHeight="1">
      <c r="A1138" s="73"/>
      <c r="B1138" s="38">
        <v>85218</v>
      </c>
      <c r="C1138" s="25"/>
      <c r="D1138" s="277" t="s">
        <v>691</v>
      </c>
      <c r="E1138" s="104">
        <f>SUM(E1139:E1144)</f>
        <v>85619</v>
      </c>
      <c r="F1138" s="94"/>
      <c r="G1138" s="104">
        <f>SUM(G1139:G1144)</f>
        <v>72232</v>
      </c>
      <c r="H1138" s="389"/>
      <c r="I1138" s="1067">
        <f>G1138/E1138*100</f>
        <v>84.36445181560168</v>
      </c>
    </row>
    <row r="1139" spans="1:9" ht="20.25" customHeight="1">
      <c r="A1139" s="73"/>
      <c r="B1139" s="18"/>
      <c r="C1139" s="2">
        <v>4010</v>
      </c>
      <c r="D1139" s="324" t="s">
        <v>451</v>
      </c>
      <c r="E1139" s="101">
        <v>50470</v>
      </c>
      <c r="F1139" s="94"/>
      <c r="G1139" s="101">
        <v>50470</v>
      </c>
      <c r="H1139" s="389"/>
      <c r="I1139" s="1067"/>
    </row>
    <row r="1140" spans="1:9" ht="15" customHeight="1">
      <c r="A1140" s="73"/>
      <c r="B1140" s="18"/>
      <c r="C1140" s="3">
        <v>4040</v>
      </c>
      <c r="D1140" s="272" t="s">
        <v>452</v>
      </c>
      <c r="E1140" s="44">
        <v>7100</v>
      </c>
      <c r="F1140" s="94"/>
      <c r="G1140" s="44">
        <v>7100</v>
      </c>
      <c r="H1140" s="389"/>
      <c r="I1140" s="597"/>
    </row>
    <row r="1141" spans="1:9" ht="15" customHeight="1">
      <c r="A1141" s="73"/>
      <c r="B1141" s="18"/>
      <c r="C1141" s="3">
        <v>4110</v>
      </c>
      <c r="D1141" s="272" t="s">
        <v>496</v>
      </c>
      <c r="E1141" s="44">
        <v>11362</v>
      </c>
      <c r="F1141" s="94"/>
      <c r="G1141" s="44">
        <v>11362</v>
      </c>
      <c r="H1141" s="389"/>
      <c r="I1141" s="597"/>
    </row>
    <row r="1142" spans="1:9" ht="15" customHeight="1">
      <c r="A1142" s="73"/>
      <c r="B1142" s="18"/>
      <c r="C1142" s="3">
        <v>4120</v>
      </c>
      <c r="D1142" s="272" t="s">
        <v>497</v>
      </c>
      <c r="E1142" s="44">
        <v>1287</v>
      </c>
      <c r="F1142" s="94"/>
      <c r="G1142" s="44">
        <v>900</v>
      </c>
      <c r="H1142" s="389"/>
      <c r="I1142" s="597"/>
    </row>
    <row r="1143" spans="1:9" ht="15" customHeight="1">
      <c r="A1143" s="73"/>
      <c r="B1143" s="18"/>
      <c r="C1143" s="9">
        <v>4300</v>
      </c>
      <c r="D1143" s="272" t="s">
        <v>408</v>
      </c>
      <c r="E1143" s="99">
        <v>13000</v>
      </c>
      <c r="F1143" s="94"/>
      <c r="G1143" s="99"/>
      <c r="H1143" s="389"/>
      <c r="I1143" s="597"/>
    </row>
    <row r="1144" spans="1:9" ht="25.5" customHeight="1">
      <c r="A1144" s="73"/>
      <c r="B1144" s="18"/>
      <c r="C1144" s="14">
        <v>4440</v>
      </c>
      <c r="D1144" s="327" t="s">
        <v>498</v>
      </c>
      <c r="E1144" s="99">
        <v>2400</v>
      </c>
      <c r="F1144" s="94"/>
      <c r="G1144" s="99">
        <v>2400</v>
      </c>
      <c r="H1144" s="389"/>
      <c r="I1144" s="597"/>
    </row>
    <row r="1145" spans="1:9" ht="40.5" customHeight="1">
      <c r="A1145" s="73"/>
      <c r="B1145" s="25">
        <v>85220</v>
      </c>
      <c r="C1145" s="25"/>
      <c r="D1145" s="277" t="s">
        <v>684</v>
      </c>
      <c r="E1145" s="99">
        <f>E1146</f>
        <v>12000</v>
      </c>
      <c r="F1145" s="94"/>
      <c r="G1145" s="99">
        <f>G1146</f>
        <v>0</v>
      </c>
      <c r="H1145" s="389"/>
      <c r="I1145" s="597"/>
    </row>
    <row r="1146" spans="1:9" ht="25.5" customHeight="1">
      <c r="A1146" s="73"/>
      <c r="B1146" s="18"/>
      <c r="C1146" s="2">
        <v>4010</v>
      </c>
      <c r="D1146" s="324" t="s">
        <v>451</v>
      </c>
      <c r="E1146" s="99">
        <v>12000</v>
      </c>
      <c r="F1146" s="94"/>
      <c r="G1146" s="99"/>
      <c r="H1146" s="389"/>
      <c r="I1146" s="597"/>
    </row>
    <row r="1147" spans="1:9" ht="26.25" customHeight="1">
      <c r="A1147" s="73"/>
      <c r="B1147" s="25">
        <v>85233</v>
      </c>
      <c r="C1147" s="3"/>
      <c r="D1147" s="277" t="s">
        <v>675</v>
      </c>
      <c r="E1147" s="41">
        <f>E1148</f>
        <v>1800</v>
      </c>
      <c r="F1147" s="94"/>
      <c r="G1147" s="41">
        <f>G1148</f>
        <v>0</v>
      </c>
      <c r="H1147" s="389"/>
      <c r="I1147" s="597"/>
    </row>
    <row r="1148" spans="1:9" ht="30" customHeight="1">
      <c r="A1148" s="73"/>
      <c r="B1148" s="10"/>
      <c r="C1148" s="8">
        <v>4700</v>
      </c>
      <c r="D1148" s="328" t="s">
        <v>374</v>
      </c>
      <c r="E1148" s="58">
        <v>1800</v>
      </c>
      <c r="F1148" s="94"/>
      <c r="G1148" s="58"/>
      <c r="H1148" s="389"/>
      <c r="I1148" s="598"/>
    </row>
    <row r="1149" spans="1:13" ht="20.25" customHeight="1">
      <c r="A1149" s="73"/>
      <c r="B1149" s="25">
        <v>85295</v>
      </c>
      <c r="C1149" s="25"/>
      <c r="D1149" s="277" t="s">
        <v>143</v>
      </c>
      <c r="E1149" s="41">
        <f>SUM(E1150:E1150)</f>
        <v>3100</v>
      </c>
      <c r="F1149" s="94"/>
      <c r="G1149" s="41">
        <f>SUM(G1150:G1150)</f>
        <v>3100</v>
      </c>
      <c r="H1149" s="389"/>
      <c r="I1149" s="330">
        <f>G1149/E1149*100</f>
        <v>100</v>
      </c>
      <c r="J1149" s="230"/>
      <c r="K1149" s="230"/>
      <c r="L1149" s="248"/>
      <c r="M1149" s="230"/>
    </row>
    <row r="1150" spans="1:9" ht="28.5" customHeight="1">
      <c r="A1150" s="73"/>
      <c r="B1150" s="33"/>
      <c r="C1150" s="9">
        <v>4440</v>
      </c>
      <c r="D1150" s="272" t="s">
        <v>498</v>
      </c>
      <c r="E1150" s="44">
        <v>3100</v>
      </c>
      <c r="F1150" s="94"/>
      <c r="G1150" s="44">
        <v>3100</v>
      </c>
      <c r="H1150" s="389"/>
      <c r="I1150" s="597"/>
    </row>
    <row r="1151" spans="1:9" ht="28.5" customHeight="1">
      <c r="A1151" s="62">
        <v>853</v>
      </c>
      <c r="B1151" s="62"/>
      <c r="C1151" s="12"/>
      <c r="D1151" s="276" t="s">
        <v>401</v>
      </c>
      <c r="E1151" s="36">
        <f>E1152+E1154+E1162+E1164</f>
        <v>3748462.14</v>
      </c>
      <c r="F1151" s="290">
        <f>F1152+F1154+F1162+F1164</f>
        <v>171147</v>
      </c>
      <c r="G1151" s="36">
        <f>G1152+G1154+G1162+G1164</f>
        <v>2583062</v>
      </c>
      <c r="H1151" s="1084">
        <f>H1152+H1154+H1162+H1164</f>
        <v>187707</v>
      </c>
      <c r="I1151" s="330">
        <f>G1151/E1151*100</f>
        <v>68.90991301302032</v>
      </c>
    </row>
    <row r="1152" spans="1:25" s="61" customFormat="1" ht="26.25" customHeight="1">
      <c r="A1152" s="88"/>
      <c r="B1152" s="49">
        <v>85311</v>
      </c>
      <c r="C1152" s="39"/>
      <c r="D1152" s="323" t="s">
        <v>346</v>
      </c>
      <c r="E1152" s="41">
        <f>SUM(E1153:E1153)</f>
        <v>308105</v>
      </c>
      <c r="F1152" s="111"/>
      <c r="G1152" s="41">
        <f>SUM(G1153:G1153)</f>
        <v>308105</v>
      </c>
      <c r="H1152" s="1076"/>
      <c r="I1152" s="330">
        <f>G1152/E1152*100</f>
        <v>100</v>
      </c>
      <c r="J1152" s="226"/>
      <c r="K1152" s="226"/>
      <c r="L1152" s="249"/>
      <c r="M1152" s="226"/>
      <c r="N1152" s="226"/>
      <c r="O1152" s="226"/>
      <c r="P1152" s="226"/>
      <c r="Q1152" s="226"/>
      <c r="R1152" s="226"/>
      <c r="S1152" s="226"/>
      <c r="T1152" s="222"/>
      <c r="U1152" s="222"/>
      <c r="V1152" s="222"/>
      <c r="W1152" s="222"/>
      <c r="X1152" s="222"/>
      <c r="Y1152" s="222"/>
    </row>
    <row r="1153" spans="1:25" s="61" customFormat="1" ht="36.75" customHeight="1">
      <c r="A1153" s="88"/>
      <c r="B1153" s="84"/>
      <c r="C1153" s="20">
        <v>2580</v>
      </c>
      <c r="D1153" s="324" t="s">
        <v>348</v>
      </c>
      <c r="E1153" s="99">
        <v>308105</v>
      </c>
      <c r="F1153" s="94"/>
      <c r="G1153" s="99">
        <v>308105</v>
      </c>
      <c r="H1153" s="389"/>
      <c r="I1153" s="597"/>
      <c r="J1153" s="226"/>
      <c r="K1153" s="226"/>
      <c r="L1153" s="249"/>
      <c r="M1153" s="226"/>
      <c r="N1153" s="226"/>
      <c r="O1153" s="226"/>
      <c r="P1153" s="226"/>
      <c r="Q1153" s="226"/>
      <c r="R1153" s="226"/>
      <c r="S1153" s="226"/>
      <c r="T1153" s="222"/>
      <c r="U1153" s="222"/>
      <c r="V1153" s="222"/>
      <c r="W1153" s="222"/>
      <c r="X1153" s="222"/>
      <c r="Y1153" s="222"/>
    </row>
    <row r="1154" spans="1:11" ht="26.25" customHeight="1">
      <c r="A1154" s="116"/>
      <c r="B1154" s="49">
        <v>85321</v>
      </c>
      <c r="C1154" s="38"/>
      <c r="D1154" s="323" t="s">
        <v>610</v>
      </c>
      <c r="E1154" s="104">
        <f>SUM(E1155:E1161)</f>
        <v>459230</v>
      </c>
      <c r="F1154" s="146">
        <f>SUM(F1155:F1161)</f>
        <v>171147</v>
      </c>
      <c r="G1154" s="104">
        <f>SUM(G1155:G1161)</f>
        <v>503262</v>
      </c>
      <c r="H1154" s="1082">
        <f>SUM(H1155:H1161)</f>
        <v>187707</v>
      </c>
      <c r="I1154" s="330">
        <f>G1154/E1154*100</f>
        <v>109.58822376586896</v>
      </c>
      <c r="K1154" s="242"/>
    </row>
    <row r="1155" spans="1:9" ht="18.75" customHeight="1">
      <c r="A1155" s="88"/>
      <c r="B1155" s="84"/>
      <c r="C1155" s="3">
        <v>4010</v>
      </c>
      <c r="D1155" s="272" t="s">
        <v>451</v>
      </c>
      <c r="E1155" s="55">
        <v>260286.2</v>
      </c>
      <c r="F1155" s="114">
        <v>99481.85</v>
      </c>
      <c r="G1155" s="55">
        <f>108499.7+182404.3</f>
        <v>290904</v>
      </c>
      <c r="H1155" s="144">
        <v>108499.7</v>
      </c>
      <c r="I1155" s="597"/>
    </row>
    <row r="1156" spans="1:9" ht="15" customHeight="1">
      <c r="A1156" s="88"/>
      <c r="B1156" s="89"/>
      <c r="C1156" s="3">
        <v>4040</v>
      </c>
      <c r="D1156" s="272" t="s">
        <v>452</v>
      </c>
      <c r="E1156" s="55">
        <v>25645.7</v>
      </c>
      <c r="F1156" s="114">
        <v>10076.2</v>
      </c>
      <c r="G1156" s="55">
        <f>10573.83+17776.17</f>
        <v>28350</v>
      </c>
      <c r="H1156" s="144">
        <v>10573.83</v>
      </c>
      <c r="I1156" s="597"/>
    </row>
    <row r="1157" spans="1:9" ht="15" customHeight="1">
      <c r="A1157" s="88"/>
      <c r="B1157" s="89"/>
      <c r="C1157" s="3">
        <v>4110</v>
      </c>
      <c r="D1157" s="272" t="s">
        <v>496</v>
      </c>
      <c r="E1157" s="55">
        <v>48357.74</v>
      </c>
      <c r="F1157" s="114">
        <v>18592.09</v>
      </c>
      <c r="G1157" s="55">
        <f>20069.74+33740.26</f>
        <v>53810</v>
      </c>
      <c r="H1157" s="144">
        <v>20069.74</v>
      </c>
      <c r="I1157" s="597"/>
    </row>
    <row r="1158" spans="1:9" ht="15" customHeight="1">
      <c r="A1158" s="88"/>
      <c r="B1158" s="89"/>
      <c r="C1158" s="3">
        <v>4120</v>
      </c>
      <c r="D1158" s="272" t="s">
        <v>497</v>
      </c>
      <c r="E1158" s="55">
        <v>7000</v>
      </c>
      <c r="F1158" s="114">
        <v>2751</v>
      </c>
      <c r="G1158" s="55">
        <f>3696.17+6213.83</f>
        <v>9910</v>
      </c>
      <c r="H1158" s="144">
        <v>3696.17</v>
      </c>
      <c r="I1158" s="597"/>
    </row>
    <row r="1159" spans="1:9" ht="15" customHeight="1">
      <c r="A1159" s="88"/>
      <c r="B1159" s="89"/>
      <c r="C1159" s="3">
        <v>4170</v>
      </c>
      <c r="D1159" s="272" t="s">
        <v>503</v>
      </c>
      <c r="E1159" s="55">
        <v>28045</v>
      </c>
      <c r="F1159" s="114">
        <v>9037</v>
      </c>
      <c r="G1159" s="55">
        <f>10461+17584</f>
        <v>28045</v>
      </c>
      <c r="H1159" s="144">
        <v>10461</v>
      </c>
      <c r="I1159" s="597"/>
    </row>
    <row r="1160" spans="1:9" ht="15" customHeight="1">
      <c r="A1160" s="88"/>
      <c r="B1160" s="89"/>
      <c r="C1160" s="3">
        <v>4300</v>
      </c>
      <c r="D1160" s="272" t="s">
        <v>408</v>
      </c>
      <c r="E1160" s="55">
        <v>79867.67</v>
      </c>
      <c r="F1160" s="114">
        <v>29021</v>
      </c>
      <c r="G1160" s="55">
        <f>29791+50077</f>
        <v>79868</v>
      </c>
      <c r="H1160" s="144">
        <v>29791</v>
      </c>
      <c r="I1160" s="597"/>
    </row>
    <row r="1161" spans="1:9" ht="26.25" customHeight="1">
      <c r="A1161" s="88"/>
      <c r="B1161" s="89"/>
      <c r="C1161" s="14">
        <v>4440</v>
      </c>
      <c r="D1161" s="272" t="s">
        <v>498</v>
      </c>
      <c r="E1161" s="79">
        <v>10027.69</v>
      </c>
      <c r="F1161" s="114">
        <v>2187.86</v>
      </c>
      <c r="G1161" s="79">
        <f>4615.56+7759.44</f>
        <v>12375</v>
      </c>
      <c r="H1161" s="144">
        <v>4615.56</v>
      </c>
      <c r="I1161" s="597"/>
    </row>
    <row r="1162" spans="1:9" ht="26.25" customHeight="1">
      <c r="A1162" s="88"/>
      <c r="B1162" s="134">
        <v>85333</v>
      </c>
      <c r="C1162" s="3"/>
      <c r="D1162" s="329" t="s">
        <v>602</v>
      </c>
      <c r="E1162" s="104">
        <f>E1163</f>
        <v>1150000</v>
      </c>
      <c r="F1162" s="110"/>
      <c r="G1162" s="104">
        <f>G1163</f>
        <v>1080000</v>
      </c>
      <c r="H1162" s="1068"/>
      <c r="I1162" s="330">
        <f>G1162/E1162*100</f>
        <v>93.91304347826087</v>
      </c>
    </row>
    <row r="1163" spans="1:9" ht="51" customHeight="1">
      <c r="A1163" s="88"/>
      <c r="B1163" s="95"/>
      <c r="C1163" s="3">
        <v>2320</v>
      </c>
      <c r="D1163" s="272" t="s">
        <v>422</v>
      </c>
      <c r="E1163" s="58">
        <v>1150000</v>
      </c>
      <c r="F1163" s="110"/>
      <c r="G1163" s="58">
        <v>1080000</v>
      </c>
      <c r="H1163" s="1068"/>
      <c r="I1163" s="597"/>
    </row>
    <row r="1164" spans="1:25" s="56" customFormat="1" ht="21.75" customHeight="1">
      <c r="A1164" s="118"/>
      <c r="B1164" s="49">
        <v>85395</v>
      </c>
      <c r="C1164" s="25"/>
      <c r="D1164" s="277" t="s">
        <v>143</v>
      </c>
      <c r="E1164" s="29">
        <f>SUM(E1165:E1184)</f>
        <v>1831127.1400000001</v>
      </c>
      <c r="F1164" s="112"/>
      <c r="G1164" s="29">
        <f>SUM(G1165:G1184)</f>
        <v>691695</v>
      </c>
      <c r="H1164" s="1069"/>
      <c r="I1164" s="330">
        <f>G1164/E1164*100</f>
        <v>37.77427492009102</v>
      </c>
      <c r="J1164" s="230"/>
      <c r="K1164" s="230"/>
      <c r="L1164" s="248"/>
      <c r="M1164" s="230"/>
      <c r="N1164" s="230"/>
      <c r="O1164" s="230"/>
      <c r="P1164" s="230"/>
      <c r="Q1164" s="230"/>
      <c r="R1164" s="230"/>
      <c r="S1164" s="230"/>
      <c r="T1164" s="238"/>
      <c r="U1164" s="238"/>
      <c r="V1164" s="238"/>
      <c r="W1164" s="238"/>
      <c r="X1164" s="238"/>
      <c r="Y1164" s="238"/>
    </row>
    <row r="1165" spans="1:25" s="56" customFormat="1" ht="77.25" customHeight="1">
      <c r="A1165" s="118"/>
      <c r="B1165" s="116"/>
      <c r="C1165" s="3">
        <v>2360</v>
      </c>
      <c r="D1165" s="272" t="s">
        <v>633</v>
      </c>
      <c r="E1165" s="27">
        <f>1000000-524915</f>
        <v>475085</v>
      </c>
      <c r="F1165" s="112"/>
      <c r="G1165" s="27">
        <v>524915</v>
      </c>
      <c r="H1165" s="1069"/>
      <c r="I1165" s="597"/>
      <c r="J1165" s="230"/>
      <c r="K1165" s="230"/>
      <c r="L1165" s="248"/>
      <c r="M1165" s="230"/>
      <c r="N1165" s="230"/>
      <c r="O1165" s="230"/>
      <c r="P1165" s="230"/>
      <c r="Q1165" s="230"/>
      <c r="R1165" s="230"/>
      <c r="S1165" s="230"/>
      <c r="T1165" s="238"/>
      <c r="U1165" s="238"/>
      <c r="V1165" s="238"/>
      <c r="W1165" s="238"/>
      <c r="X1165" s="238"/>
      <c r="Y1165" s="238"/>
    </row>
    <row r="1166" spans="1:25" s="56" customFormat="1" ht="77.25" customHeight="1">
      <c r="A1166" s="118"/>
      <c r="B1166" s="116"/>
      <c r="C1166" s="3">
        <v>2910</v>
      </c>
      <c r="D1166" s="324" t="s">
        <v>442</v>
      </c>
      <c r="E1166" s="27">
        <v>13981</v>
      </c>
      <c r="F1166" s="112"/>
      <c r="G1166" s="27"/>
      <c r="H1166" s="1069"/>
      <c r="I1166" s="597"/>
      <c r="J1166" s="230"/>
      <c r="K1166" s="230"/>
      <c r="L1166" s="248"/>
      <c r="M1166" s="230"/>
      <c r="N1166" s="230"/>
      <c r="O1166" s="230"/>
      <c r="P1166" s="230"/>
      <c r="Q1166" s="230"/>
      <c r="R1166" s="230"/>
      <c r="S1166" s="230"/>
      <c r="T1166" s="238"/>
      <c r="U1166" s="238"/>
      <c r="V1166" s="238"/>
      <c r="W1166" s="238"/>
      <c r="X1166" s="238"/>
      <c r="Y1166" s="238"/>
    </row>
    <row r="1167" spans="1:9" ht="18.75" customHeight="1">
      <c r="A1167" s="88"/>
      <c r="B1167" s="89"/>
      <c r="C1167" s="3">
        <v>4017</v>
      </c>
      <c r="D1167" s="272" t="s">
        <v>451</v>
      </c>
      <c r="E1167" s="55">
        <v>132530.03</v>
      </c>
      <c r="F1167" s="94"/>
      <c r="G1167" s="55">
        <v>5015</v>
      </c>
      <c r="H1167" s="389"/>
      <c r="I1167" s="597"/>
    </row>
    <row r="1168" spans="1:9" ht="18.75" customHeight="1">
      <c r="A1168" s="88"/>
      <c r="B1168" s="89"/>
      <c r="C1168" s="3">
        <v>4019</v>
      </c>
      <c r="D1168" s="272" t="s">
        <v>451</v>
      </c>
      <c r="E1168" s="55">
        <v>6722.47</v>
      </c>
      <c r="F1168" s="94"/>
      <c r="G1168" s="55">
        <v>1023.96</v>
      </c>
      <c r="H1168" s="389"/>
      <c r="I1168" s="597"/>
    </row>
    <row r="1169" spans="1:9" ht="15.75" customHeight="1">
      <c r="A1169" s="88"/>
      <c r="B1169" s="89"/>
      <c r="C1169" s="3">
        <v>4117</v>
      </c>
      <c r="D1169" s="272" t="s">
        <v>496</v>
      </c>
      <c r="E1169" s="55">
        <v>41227.89</v>
      </c>
      <c r="F1169" s="94"/>
      <c r="G1169" s="55">
        <v>8908.21</v>
      </c>
      <c r="H1169" s="389"/>
      <c r="I1169" s="597"/>
    </row>
    <row r="1170" spans="1:9" ht="17.25" customHeight="1">
      <c r="A1170" s="88"/>
      <c r="B1170" s="89"/>
      <c r="C1170" s="3">
        <v>4119</v>
      </c>
      <c r="D1170" s="272" t="s">
        <v>496</v>
      </c>
      <c r="E1170" s="55">
        <v>1282.94</v>
      </c>
      <c r="F1170" s="94"/>
      <c r="G1170" s="55">
        <v>176.04</v>
      </c>
      <c r="H1170" s="389"/>
      <c r="I1170" s="597"/>
    </row>
    <row r="1171" spans="1:9" ht="17.25" customHeight="1">
      <c r="A1171" s="88"/>
      <c r="B1171" s="89"/>
      <c r="C1171" s="3">
        <v>4127</v>
      </c>
      <c r="D1171" s="272" t="s">
        <v>497</v>
      </c>
      <c r="E1171" s="55">
        <v>4916.99</v>
      </c>
      <c r="F1171" s="94"/>
      <c r="G1171" s="55">
        <v>1269.75</v>
      </c>
      <c r="H1171" s="389"/>
      <c r="I1171" s="597"/>
    </row>
    <row r="1172" spans="1:9" ht="18" customHeight="1">
      <c r="A1172" s="88"/>
      <c r="B1172" s="89"/>
      <c r="C1172" s="3">
        <v>4129</v>
      </c>
      <c r="D1172" s="272" t="s">
        <v>497</v>
      </c>
      <c r="E1172" s="55">
        <v>140.02</v>
      </c>
      <c r="F1172" s="94"/>
      <c r="G1172" s="55"/>
      <c r="H1172" s="389"/>
      <c r="I1172" s="597"/>
    </row>
    <row r="1173" spans="1:9" ht="16.5" customHeight="1">
      <c r="A1173" s="88"/>
      <c r="B1173" s="89"/>
      <c r="C1173" s="3">
        <v>4177</v>
      </c>
      <c r="D1173" s="272" t="s">
        <v>503</v>
      </c>
      <c r="E1173" s="55">
        <v>268179.18</v>
      </c>
      <c r="F1173" s="94"/>
      <c r="G1173" s="55">
        <v>54307.04</v>
      </c>
      <c r="H1173" s="389"/>
      <c r="I1173" s="597"/>
    </row>
    <row r="1174" spans="1:9" ht="18.75" customHeight="1">
      <c r="A1174" s="88"/>
      <c r="B1174" s="89"/>
      <c r="C1174" s="3">
        <v>4179</v>
      </c>
      <c r="D1174" s="272" t="s">
        <v>503</v>
      </c>
      <c r="E1174" s="55">
        <v>23144.1</v>
      </c>
      <c r="F1174" s="94"/>
      <c r="G1174" s="55"/>
      <c r="H1174" s="389"/>
      <c r="I1174" s="597"/>
    </row>
    <row r="1175" spans="1:9" ht="18" customHeight="1">
      <c r="A1175" s="88"/>
      <c r="B1175" s="89"/>
      <c r="C1175" s="3">
        <v>4217</v>
      </c>
      <c r="D1175" s="272" t="s">
        <v>504</v>
      </c>
      <c r="E1175" s="55">
        <v>16842.93</v>
      </c>
      <c r="F1175" s="94"/>
      <c r="G1175" s="55">
        <v>2000</v>
      </c>
      <c r="H1175" s="389"/>
      <c r="I1175" s="597"/>
    </row>
    <row r="1176" spans="1:9" ht="15" customHeight="1">
      <c r="A1176" s="88"/>
      <c r="B1176" s="89"/>
      <c r="C1176" s="3">
        <v>4219</v>
      </c>
      <c r="D1176" s="272" t="s">
        <v>504</v>
      </c>
      <c r="E1176" s="55">
        <v>1841.61</v>
      </c>
      <c r="F1176" s="94"/>
      <c r="G1176" s="55"/>
      <c r="H1176" s="389"/>
      <c r="I1176" s="597"/>
    </row>
    <row r="1177" spans="1:9" ht="24" customHeight="1">
      <c r="A1177" s="88"/>
      <c r="B1177" s="89"/>
      <c r="C1177" s="3">
        <v>4247</v>
      </c>
      <c r="D1177" s="272" t="s">
        <v>97</v>
      </c>
      <c r="E1177" s="55">
        <v>17547.37</v>
      </c>
      <c r="F1177" s="94"/>
      <c r="G1177" s="55"/>
      <c r="H1177" s="389"/>
      <c r="I1177" s="597"/>
    </row>
    <row r="1178" spans="1:9" ht="27" customHeight="1">
      <c r="A1178" s="88"/>
      <c r="B1178" s="89"/>
      <c r="C1178" s="3">
        <v>4249</v>
      </c>
      <c r="D1178" s="272" t="s">
        <v>97</v>
      </c>
      <c r="E1178" s="55">
        <v>1443.42</v>
      </c>
      <c r="F1178" s="94"/>
      <c r="G1178" s="55"/>
      <c r="H1178" s="389"/>
      <c r="I1178" s="597"/>
    </row>
    <row r="1179" spans="1:9" ht="18.75" customHeight="1">
      <c r="A1179" s="88"/>
      <c r="B1179" s="89"/>
      <c r="C1179" s="3">
        <v>4307</v>
      </c>
      <c r="D1179" s="272" t="s">
        <v>727</v>
      </c>
      <c r="E1179" s="55">
        <v>292392.71</v>
      </c>
      <c r="F1179" s="94"/>
      <c r="G1179" s="55">
        <v>94080</v>
      </c>
      <c r="H1179" s="389"/>
      <c r="I1179" s="597"/>
    </row>
    <row r="1180" spans="1:9" ht="19.5" customHeight="1">
      <c r="A1180" s="88"/>
      <c r="B1180" s="89"/>
      <c r="C1180" s="3">
        <v>4309</v>
      </c>
      <c r="D1180" s="272" t="s">
        <v>727</v>
      </c>
      <c r="E1180" s="55">
        <v>11385.48</v>
      </c>
      <c r="F1180" s="94"/>
      <c r="G1180" s="55"/>
      <c r="H1180" s="389"/>
      <c r="I1180" s="597"/>
    </row>
    <row r="1181" spans="1:25" s="56" customFormat="1" ht="27.75" customHeight="1">
      <c r="A1181" s="118"/>
      <c r="B1181" s="116"/>
      <c r="C1181" s="3">
        <v>4407</v>
      </c>
      <c r="D1181" s="272" t="s">
        <v>720</v>
      </c>
      <c r="E1181" s="55">
        <v>4590</v>
      </c>
      <c r="F1181" s="112"/>
      <c r="G1181" s="55"/>
      <c r="H1181" s="1069"/>
      <c r="I1181" s="597"/>
      <c r="J1181" s="230"/>
      <c r="K1181" s="230"/>
      <c r="L1181" s="248"/>
      <c r="M1181" s="230"/>
      <c r="N1181" s="230"/>
      <c r="O1181" s="230"/>
      <c r="P1181" s="230"/>
      <c r="Q1181" s="230"/>
      <c r="R1181" s="230"/>
      <c r="S1181" s="230"/>
      <c r="T1181" s="238"/>
      <c r="U1181" s="238"/>
      <c r="V1181" s="238"/>
      <c r="W1181" s="238"/>
      <c r="X1181" s="238"/>
      <c r="Y1181" s="238"/>
    </row>
    <row r="1182" spans="1:9" ht="26.25" customHeight="1">
      <c r="A1182" s="88"/>
      <c r="B1182" s="89"/>
      <c r="C1182" s="3">
        <v>4409</v>
      </c>
      <c r="D1182" s="272" t="s">
        <v>720</v>
      </c>
      <c r="E1182" s="55">
        <v>810</v>
      </c>
      <c r="F1182" s="94"/>
      <c r="G1182" s="55"/>
      <c r="H1182" s="389"/>
      <c r="I1182" s="597"/>
    </row>
    <row r="1183" spans="1:9" ht="75" customHeight="1">
      <c r="A1183" s="88"/>
      <c r="B1183" s="89"/>
      <c r="C1183" s="3">
        <v>4560</v>
      </c>
      <c r="D1183" s="272" t="s">
        <v>443</v>
      </c>
      <c r="E1183" s="55">
        <v>1644</v>
      </c>
      <c r="F1183" s="94"/>
      <c r="G1183" s="55"/>
      <c r="H1183" s="389"/>
      <c r="I1183" s="597"/>
    </row>
    <row r="1184" spans="1:9" ht="30" customHeight="1">
      <c r="A1184" s="88"/>
      <c r="B1184" s="89"/>
      <c r="C1184" s="3">
        <v>4707</v>
      </c>
      <c r="D1184" s="272" t="s">
        <v>374</v>
      </c>
      <c r="E1184" s="55">
        <v>515420</v>
      </c>
      <c r="F1184" s="94"/>
      <c r="G1184" s="55"/>
      <c r="H1184" s="389"/>
      <c r="I1184" s="597"/>
    </row>
    <row r="1185" spans="1:9" ht="24.75" customHeight="1">
      <c r="A1185" s="62">
        <v>854</v>
      </c>
      <c r="B1185" s="62"/>
      <c r="C1185" s="6" t="s">
        <v>21</v>
      </c>
      <c r="D1185" s="276" t="s">
        <v>611</v>
      </c>
      <c r="E1185" s="36">
        <f>E1186+E1212+E1238+E1259+E1283+E1285+E1287+E1308</f>
        <v>8415921</v>
      </c>
      <c r="F1185" s="114"/>
      <c r="G1185" s="36">
        <f>G1186+G1212+G1238+G1259+G1283+G1285+G1287+G1308</f>
        <v>8680779</v>
      </c>
      <c r="H1185" s="144"/>
      <c r="I1185" s="330">
        <f>G1185/E1185*100</f>
        <v>103.14710653771584</v>
      </c>
    </row>
    <row r="1186" spans="1:9" ht="23.25" customHeight="1">
      <c r="A1186" s="73"/>
      <c r="B1186" s="24">
        <v>85401</v>
      </c>
      <c r="C1186" s="25" t="s">
        <v>21</v>
      </c>
      <c r="D1186" s="277" t="s">
        <v>692</v>
      </c>
      <c r="E1186" s="41">
        <f>SUM(E1187:E1211)</f>
        <v>620538</v>
      </c>
      <c r="F1186" s="110"/>
      <c r="G1186" s="41">
        <f>SUM(G1187:G1211)</f>
        <v>707432</v>
      </c>
      <c r="H1186" s="1068"/>
      <c r="I1186" s="330">
        <f>G1186/E1186*100</f>
        <v>114.00301029107001</v>
      </c>
    </row>
    <row r="1187" spans="1:9" ht="24" customHeight="1">
      <c r="A1187" s="73"/>
      <c r="B1187" s="10"/>
      <c r="C1187" s="3">
        <v>3020</v>
      </c>
      <c r="D1187" s="272" t="s">
        <v>693</v>
      </c>
      <c r="E1187" s="101">
        <v>1612</v>
      </c>
      <c r="F1187" s="94"/>
      <c r="G1187" s="101">
        <v>2175</v>
      </c>
      <c r="H1187" s="389"/>
      <c r="I1187" s="597"/>
    </row>
    <row r="1188" spans="1:9" ht="19.5" customHeight="1">
      <c r="A1188" s="73"/>
      <c r="B1188" s="10"/>
      <c r="C1188" s="3">
        <v>4010</v>
      </c>
      <c r="D1188" s="272" t="s">
        <v>451</v>
      </c>
      <c r="E1188" s="44">
        <v>385404</v>
      </c>
      <c r="F1188" s="94"/>
      <c r="G1188" s="44">
        <v>436351</v>
      </c>
      <c r="H1188" s="389"/>
      <c r="I1188" s="597"/>
    </row>
    <row r="1189" spans="1:9" ht="15" customHeight="1">
      <c r="A1189" s="73"/>
      <c r="B1189" s="10"/>
      <c r="C1189" s="3">
        <v>4040</v>
      </c>
      <c r="D1189" s="272" t="s">
        <v>452</v>
      </c>
      <c r="E1189" s="44">
        <v>27017</v>
      </c>
      <c r="F1189" s="94"/>
      <c r="G1189" s="44">
        <v>32309</v>
      </c>
      <c r="H1189" s="389"/>
      <c r="I1189" s="597"/>
    </row>
    <row r="1190" spans="1:9" ht="15" customHeight="1">
      <c r="A1190" s="73"/>
      <c r="B1190" s="10"/>
      <c r="C1190" s="3">
        <v>4110</v>
      </c>
      <c r="D1190" s="272" t="s">
        <v>496</v>
      </c>
      <c r="E1190" s="44">
        <v>70167</v>
      </c>
      <c r="F1190" s="94"/>
      <c r="G1190" s="44">
        <v>80899</v>
      </c>
      <c r="H1190" s="389"/>
      <c r="I1190" s="597"/>
    </row>
    <row r="1191" spans="1:9" ht="15" customHeight="1">
      <c r="A1191" s="73"/>
      <c r="B1191" s="10"/>
      <c r="C1191" s="3">
        <v>4120</v>
      </c>
      <c r="D1191" s="272" t="s">
        <v>497</v>
      </c>
      <c r="E1191" s="44">
        <v>10184</v>
      </c>
      <c r="F1191" s="94"/>
      <c r="G1191" s="44">
        <v>11491</v>
      </c>
      <c r="H1191" s="389"/>
      <c r="I1191" s="597"/>
    </row>
    <row r="1192" spans="1:9" ht="27" customHeight="1">
      <c r="A1192" s="73"/>
      <c r="B1192" s="10"/>
      <c r="C1192" s="3">
        <v>4140</v>
      </c>
      <c r="D1192" s="272" t="s">
        <v>96</v>
      </c>
      <c r="E1192" s="44">
        <v>6</v>
      </c>
      <c r="F1192" s="94"/>
      <c r="G1192" s="44">
        <v>10</v>
      </c>
      <c r="H1192" s="389"/>
      <c r="I1192" s="597"/>
    </row>
    <row r="1193" spans="1:9" ht="15.75" customHeight="1">
      <c r="A1193" s="73"/>
      <c r="B1193" s="10"/>
      <c r="C1193" s="3">
        <v>4170</v>
      </c>
      <c r="D1193" s="272" t="s">
        <v>503</v>
      </c>
      <c r="E1193" s="44">
        <v>80</v>
      </c>
      <c r="F1193" s="94"/>
      <c r="G1193" s="44">
        <v>80</v>
      </c>
      <c r="H1193" s="389"/>
      <c r="I1193" s="597"/>
    </row>
    <row r="1194" spans="1:9" ht="13.5" customHeight="1">
      <c r="A1194" s="73"/>
      <c r="B1194" s="10"/>
      <c r="C1194" s="3">
        <v>4210</v>
      </c>
      <c r="D1194" s="272" t="s">
        <v>411</v>
      </c>
      <c r="E1194" s="44">
        <v>5632</v>
      </c>
      <c r="F1194" s="94"/>
      <c r="G1194" s="44">
        <v>5240</v>
      </c>
      <c r="H1194" s="389"/>
      <c r="I1194" s="597"/>
    </row>
    <row r="1195" spans="1:9" ht="15.75" customHeight="1">
      <c r="A1195" s="73"/>
      <c r="B1195" s="10"/>
      <c r="C1195" s="3">
        <v>4220</v>
      </c>
      <c r="D1195" s="272" t="s">
        <v>111</v>
      </c>
      <c r="E1195" s="44">
        <v>56500</v>
      </c>
      <c r="F1195" s="94"/>
      <c r="G1195" s="44">
        <v>68349</v>
      </c>
      <c r="H1195" s="389"/>
      <c r="I1195" s="597"/>
    </row>
    <row r="1196" spans="1:9" ht="24" customHeight="1">
      <c r="A1196" s="73"/>
      <c r="B1196" s="10"/>
      <c r="C1196" s="3">
        <v>4240</v>
      </c>
      <c r="D1196" s="272" t="s">
        <v>97</v>
      </c>
      <c r="E1196" s="44">
        <v>325</v>
      </c>
      <c r="F1196" s="94"/>
      <c r="G1196" s="44">
        <v>280</v>
      </c>
      <c r="H1196" s="389"/>
      <c r="I1196" s="597"/>
    </row>
    <row r="1197" spans="1:9" ht="15" customHeight="1">
      <c r="A1197" s="73"/>
      <c r="B1197" s="10"/>
      <c r="C1197" s="3">
        <v>4260</v>
      </c>
      <c r="D1197" s="272" t="s">
        <v>511</v>
      </c>
      <c r="E1197" s="44">
        <v>28131</v>
      </c>
      <c r="F1197" s="94"/>
      <c r="G1197" s="44">
        <v>31075</v>
      </c>
      <c r="H1197" s="389"/>
      <c r="I1197" s="597"/>
    </row>
    <row r="1198" spans="1:9" ht="15" customHeight="1">
      <c r="A1198" s="73"/>
      <c r="B1198" s="10"/>
      <c r="C1198" s="3">
        <v>4270</v>
      </c>
      <c r="D1198" s="272" t="s">
        <v>412</v>
      </c>
      <c r="E1198" s="44">
        <v>2220</v>
      </c>
      <c r="F1198" s="94"/>
      <c r="G1198" s="44">
        <v>2940</v>
      </c>
      <c r="H1198" s="389"/>
      <c r="I1198" s="597"/>
    </row>
    <row r="1199" spans="1:9" ht="15" customHeight="1">
      <c r="A1199" s="73"/>
      <c r="B1199" s="10"/>
      <c r="C1199" s="3">
        <v>4280</v>
      </c>
      <c r="D1199" s="272" t="s">
        <v>714</v>
      </c>
      <c r="E1199" s="44">
        <v>225</v>
      </c>
      <c r="F1199" s="94"/>
      <c r="G1199" s="44">
        <v>245</v>
      </c>
      <c r="H1199" s="389"/>
      <c r="I1199" s="597"/>
    </row>
    <row r="1200" spans="1:9" ht="15" customHeight="1">
      <c r="A1200" s="73"/>
      <c r="B1200" s="10"/>
      <c r="C1200" s="3">
        <v>4300</v>
      </c>
      <c r="D1200" s="272" t="s">
        <v>408</v>
      </c>
      <c r="E1200" s="44">
        <v>5502</v>
      </c>
      <c r="F1200" s="94"/>
      <c r="G1200" s="44">
        <v>5355</v>
      </c>
      <c r="H1200" s="389"/>
      <c r="I1200" s="597"/>
    </row>
    <row r="1201" spans="1:9" ht="15" customHeight="1">
      <c r="A1201" s="73"/>
      <c r="B1201" s="10"/>
      <c r="C1201" s="3">
        <v>4350</v>
      </c>
      <c r="D1201" s="272" t="s">
        <v>506</v>
      </c>
      <c r="E1201" s="44">
        <v>104</v>
      </c>
      <c r="F1201" s="94"/>
      <c r="G1201" s="44">
        <v>110</v>
      </c>
      <c r="H1201" s="389"/>
      <c r="I1201" s="597"/>
    </row>
    <row r="1202" spans="1:9" ht="39" customHeight="1">
      <c r="A1202" s="73"/>
      <c r="B1202" s="10"/>
      <c r="C1202" s="2">
        <v>4360</v>
      </c>
      <c r="D1202" s="272" t="s">
        <v>4</v>
      </c>
      <c r="E1202" s="44">
        <v>4</v>
      </c>
      <c r="F1202" s="94"/>
      <c r="G1202" s="44">
        <v>10</v>
      </c>
      <c r="H1202" s="389"/>
      <c r="I1202" s="597"/>
    </row>
    <row r="1203" spans="1:9" ht="39" customHeight="1">
      <c r="A1203" s="73"/>
      <c r="B1203" s="10"/>
      <c r="C1203" s="2">
        <v>4370</v>
      </c>
      <c r="D1203" s="272" t="s">
        <v>3</v>
      </c>
      <c r="E1203" s="44">
        <v>566</v>
      </c>
      <c r="F1203" s="94"/>
      <c r="G1203" s="44">
        <v>575</v>
      </c>
      <c r="H1203" s="389"/>
      <c r="I1203" s="597"/>
    </row>
    <row r="1204" spans="1:9" ht="27.75" customHeight="1">
      <c r="A1204" s="73"/>
      <c r="B1204" s="10"/>
      <c r="C1204" s="2">
        <v>4390</v>
      </c>
      <c r="D1204" s="324" t="s">
        <v>154</v>
      </c>
      <c r="E1204" s="44">
        <v>5</v>
      </c>
      <c r="F1204" s="94"/>
      <c r="G1204" s="44">
        <v>90</v>
      </c>
      <c r="H1204" s="389"/>
      <c r="I1204" s="597"/>
    </row>
    <row r="1205" spans="1:9" ht="18" customHeight="1">
      <c r="A1205" s="73"/>
      <c r="B1205" s="10"/>
      <c r="C1205" s="3">
        <v>4410</v>
      </c>
      <c r="D1205" s="272" t="s">
        <v>500</v>
      </c>
      <c r="E1205" s="44">
        <v>25</v>
      </c>
      <c r="F1205" s="94"/>
      <c r="G1205" s="44">
        <v>30</v>
      </c>
      <c r="H1205" s="389"/>
      <c r="I1205" s="597"/>
    </row>
    <row r="1206" spans="1:9" ht="18" customHeight="1">
      <c r="A1206" s="73"/>
      <c r="B1206" s="10"/>
      <c r="C1206" s="3">
        <v>4420</v>
      </c>
      <c r="D1206" s="272" t="s">
        <v>111</v>
      </c>
      <c r="E1206" s="44">
        <v>11</v>
      </c>
      <c r="F1206" s="94"/>
      <c r="G1206" s="44">
        <v>10</v>
      </c>
      <c r="H1206" s="389"/>
      <c r="I1206" s="597"/>
    </row>
    <row r="1207" spans="1:9" ht="17.25" customHeight="1">
      <c r="A1207" s="73"/>
      <c r="B1207" s="10"/>
      <c r="C1207" s="3">
        <v>4430</v>
      </c>
      <c r="D1207" s="272" t="s">
        <v>387</v>
      </c>
      <c r="E1207" s="44">
        <v>342</v>
      </c>
      <c r="F1207" s="94"/>
      <c r="G1207" s="44">
        <v>350</v>
      </c>
      <c r="H1207" s="389"/>
      <c r="I1207" s="597"/>
    </row>
    <row r="1208" spans="1:9" ht="26.25" customHeight="1">
      <c r="A1208" s="73"/>
      <c r="B1208" s="10"/>
      <c r="C1208" s="3">
        <v>4440</v>
      </c>
      <c r="D1208" s="272" t="s">
        <v>498</v>
      </c>
      <c r="E1208" s="44">
        <v>26224</v>
      </c>
      <c r="F1208" s="94"/>
      <c r="G1208" s="44">
        <v>28698</v>
      </c>
      <c r="H1208" s="389"/>
      <c r="I1208" s="597"/>
    </row>
    <row r="1209" spans="1:9" ht="21" customHeight="1">
      <c r="A1209" s="73"/>
      <c r="B1209" s="10"/>
      <c r="C1209" s="3">
        <v>4480</v>
      </c>
      <c r="D1209" s="272" t="s">
        <v>351</v>
      </c>
      <c r="E1209" s="44">
        <v>18</v>
      </c>
      <c r="F1209" s="94"/>
      <c r="G1209" s="44">
        <v>20</v>
      </c>
      <c r="H1209" s="389"/>
      <c r="I1209" s="597"/>
    </row>
    <row r="1210" spans="1:9" ht="21" customHeight="1">
      <c r="A1210" s="73"/>
      <c r="B1210" s="10"/>
      <c r="C1210" s="3">
        <v>4520</v>
      </c>
      <c r="D1210" s="272" t="s">
        <v>373</v>
      </c>
      <c r="E1210" s="44">
        <v>214</v>
      </c>
      <c r="F1210" s="94"/>
      <c r="G1210" s="44">
        <v>720</v>
      </c>
      <c r="H1210" s="389"/>
      <c r="I1210" s="597"/>
    </row>
    <row r="1211" spans="1:9" ht="27.75" customHeight="1">
      <c r="A1211" s="73"/>
      <c r="B1211" s="10"/>
      <c r="C1211" s="3">
        <v>4700</v>
      </c>
      <c r="D1211" s="272" t="s">
        <v>374</v>
      </c>
      <c r="E1211" s="44">
        <v>20</v>
      </c>
      <c r="F1211" s="94"/>
      <c r="G1211" s="44">
        <v>20</v>
      </c>
      <c r="H1211" s="389"/>
      <c r="I1211" s="597"/>
    </row>
    <row r="1212" spans="1:9" ht="25.5" customHeight="1">
      <c r="A1212" s="73"/>
      <c r="B1212" s="24">
        <v>85403</v>
      </c>
      <c r="C1212" s="25"/>
      <c r="D1212" s="277" t="s">
        <v>612</v>
      </c>
      <c r="E1212" s="41">
        <f>SUM(E1213:E1237)</f>
        <v>3878916</v>
      </c>
      <c r="F1212" s="94"/>
      <c r="G1212" s="41">
        <f>SUM(G1213:G1237)</f>
        <v>4023015</v>
      </c>
      <c r="H1212" s="389"/>
      <c r="I1212" s="330">
        <f>G1212/E1212*100</f>
        <v>103.7149296349805</v>
      </c>
    </row>
    <row r="1213" spans="1:9" ht="27.75" customHeight="1">
      <c r="A1213" s="73"/>
      <c r="B1213" s="30"/>
      <c r="C1213" s="3">
        <v>2540</v>
      </c>
      <c r="D1213" s="272" t="s">
        <v>717</v>
      </c>
      <c r="E1213" s="101">
        <v>1382336</v>
      </c>
      <c r="F1213" s="94"/>
      <c r="G1213" s="101">
        <v>1450000</v>
      </c>
      <c r="H1213" s="389"/>
      <c r="I1213" s="597"/>
    </row>
    <row r="1214" spans="1:9" ht="26.25" customHeight="1">
      <c r="A1214" s="73"/>
      <c r="B1214" s="10"/>
      <c r="C1214" s="3">
        <v>3020</v>
      </c>
      <c r="D1214" s="272" t="s">
        <v>712</v>
      </c>
      <c r="E1214" s="44">
        <v>5060</v>
      </c>
      <c r="F1214" s="94"/>
      <c r="G1214" s="44">
        <v>5060</v>
      </c>
      <c r="H1214" s="389"/>
      <c r="I1214" s="597"/>
    </row>
    <row r="1215" spans="1:9" ht="15" customHeight="1">
      <c r="A1215" s="73"/>
      <c r="B1215" s="10"/>
      <c r="C1215" s="3">
        <v>3110</v>
      </c>
      <c r="D1215" s="272" t="s">
        <v>460</v>
      </c>
      <c r="E1215" s="44">
        <v>1600</v>
      </c>
      <c r="F1215" s="94"/>
      <c r="G1215" s="44">
        <v>1600</v>
      </c>
      <c r="H1215" s="389"/>
      <c r="I1215" s="597"/>
    </row>
    <row r="1216" spans="1:9" ht="18" customHeight="1">
      <c r="A1216" s="73"/>
      <c r="B1216" s="10"/>
      <c r="C1216" s="3">
        <v>4010</v>
      </c>
      <c r="D1216" s="272" t="s">
        <v>451</v>
      </c>
      <c r="E1216" s="44">
        <v>1647000</v>
      </c>
      <c r="F1216" s="94"/>
      <c r="G1216" s="44">
        <v>1706460</v>
      </c>
      <c r="H1216" s="389"/>
      <c r="I1216" s="597"/>
    </row>
    <row r="1217" spans="1:9" ht="15" customHeight="1">
      <c r="A1217" s="73"/>
      <c r="B1217" s="10"/>
      <c r="C1217" s="3">
        <v>4040</v>
      </c>
      <c r="D1217" s="272" t="s">
        <v>452</v>
      </c>
      <c r="E1217" s="44">
        <v>141645</v>
      </c>
      <c r="F1217" s="94"/>
      <c r="G1217" s="44">
        <v>141690</v>
      </c>
      <c r="H1217" s="389"/>
      <c r="I1217" s="597"/>
    </row>
    <row r="1218" spans="1:9" ht="15" customHeight="1">
      <c r="A1218" s="73"/>
      <c r="B1218" s="10"/>
      <c r="C1218" s="3">
        <v>4110</v>
      </c>
      <c r="D1218" s="272" t="s">
        <v>496</v>
      </c>
      <c r="E1218" s="44">
        <v>322700</v>
      </c>
      <c r="F1218" s="94"/>
      <c r="G1218" s="44">
        <v>308570</v>
      </c>
      <c r="H1218" s="389"/>
      <c r="I1218" s="597"/>
    </row>
    <row r="1219" spans="1:9" ht="15" customHeight="1">
      <c r="A1219" s="73"/>
      <c r="B1219" s="10"/>
      <c r="C1219" s="3">
        <v>4120</v>
      </c>
      <c r="D1219" s="272" t="s">
        <v>497</v>
      </c>
      <c r="E1219" s="44">
        <v>39595</v>
      </c>
      <c r="F1219" s="94"/>
      <c r="G1219" s="44">
        <v>47510</v>
      </c>
      <c r="H1219" s="389"/>
      <c r="I1219" s="597"/>
    </row>
    <row r="1220" spans="1:9" ht="15" customHeight="1">
      <c r="A1220" s="73"/>
      <c r="B1220" s="10"/>
      <c r="C1220" s="3">
        <v>4170</v>
      </c>
      <c r="D1220" s="272" t="s">
        <v>503</v>
      </c>
      <c r="E1220" s="44">
        <v>500</v>
      </c>
      <c r="F1220" s="94"/>
      <c r="G1220" s="44">
        <v>500</v>
      </c>
      <c r="H1220" s="389"/>
      <c r="I1220" s="597"/>
    </row>
    <row r="1221" spans="1:9" ht="15" customHeight="1">
      <c r="A1221" s="73"/>
      <c r="B1221" s="10"/>
      <c r="C1221" s="3">
        <v>4210</v>
      </c>
      <c r="D1221" s="272" t="s">
        <v>411</v>
      </c>
      <c r="E1221" s="44">
        <v>19991</v>
      </c>
      <c r="F1221" s="94"/>
      <c r="G1221" s="44">
        <v>19991</v>
      </c>
      <c r="H1221" s="389"/>
      <c r="I1221" s="597"/>
    </row>
    <row r="1222" spans="1:9" ht="15" customHeight="1">
      <c r="A1222" s="73"/>
      <c r="B1222" s="10"/>
      <c r="C1222" s="3">
        <v>4220</v>
      </c>
      <c r="D1222" s="272" t="s">
        <v>111</v>
      </c>
      <c r="E1222" s="44">
        <v>73580</v>
      </c>
      <c r="F1222" s="94"/>
      <c r="G1222" s="44">
        <v>86522</v>
      </c>
      <c r="H1222" s="389"/>
      <c r="I1222" s="597"/>
    </row>
    <row r="1223" spans="1:9" ht="24.75" customHeight="1">
      <c r="A1223" s="73"/>
      <c r="B1223" s="10"/>
      <c r="C1223" s="3">
        <v>4240</v>
      </c>
      <c r="D1223" s="272" t="s">
        <v>97</v>
      </c>
      <c r="E1223" s="44">
        <v>260</v>
      </c>
      <c r="F1223" s="94"/>
      <c r="G1223" s="44">
        <v>260</v>
      </c>
      <c r="H1223" s="389"/>
      <c r="I1223" s="597"/>
    </row>
    <row r="1224" spans="1:9" ht="15" customHeight="1">
      <c r="A1224" s="73"/>
      <c r="B1224" s="10"/>
      <c r="C1224" s="3">
        <v>4260</v>
      </c>
      <c r="D1224" s="272" t="s">
        <v>511</v>
      </c>
      <c r="E1224" s="44">
        <v>105400</v>
      </c>
      <c r="F1224" s="94"/>
      <c r="G1224" s="44">
        <v>108503</v>
      </c>
      <c r="H1224" s="389"/>
      <c r="I1224" s="597"/>
    </row>
    <row r="1225" spans="1:9" ht="15" customHeight="1">
      <c r="A1225" s="73"/>
      <c r="B1225" s="10"/>
      <c r="C1225" s="3">
        <v>4270</v>
      </c>
      <c r="D1225" s="272" t="s">
        <v>412</v>
      </c>
      <c r="E1225" s="44">
        <v>10980</v>
      </c>
      <c r="F1225" s="94"/>
      <c r="G1225" s="44">
        <v>10980</v>
      </c>
      <c r="H1225" s="389"/>
      <c r="I1225" s="597"/>
    </row>
    <row r="1226" spans="1:9" ht="15" customHeight="1">
      <c r="A1226" s="73"/>
      <c r="B1226" s="10"/>
      <c r="C1226" s="3">
        <v>4280</v>
      </c>
      <c r="D1226" s="272" t="s">
        <v>714</v>
      </c>
      <c r="E1226" s="44">
        <v>3120</v>
      </c>
      <c r="F1226" s="94"/>
      <c r="G1226" s="44">
        <v>3120</v>
      </c>
      <c r="H1226" s="389"/>
      <c r="I1226" s="597"/>
    </row>
    <row r="1227" spans="1:9" ht="15" customHeight="1">
      <c r="A1227" s="73"/>
      <c r="B1227" s="10"/>
      <c r="C1227" s="3">
        <v>4300</v>
      </c>
      <c r="D1227" s="272" t="s">
        <v>408</v>
      </c>
      <c r="E1227" s="44">
        <v>27405</v>
      </c>
      <c r="F1227" s="94"/>
      <c r="G1227" s="44">
        <v>24898</v>
      </c>
      <c r="H1227" s="389"/>
      <c r="I1227" s="597"/>
    </row>
    <row r="1228" spans="1:9" ht="15" customHeight="1">
      <c r="A1228" s="73"/>
      <c r="B1228" s="10"/>
      <c r="C1228" s="3">
        <v>4350</v>
      </c>
      <c r="D1228" s="272" t="s">
        <v>506</v>
      </c>
      <c r="E1228" s="44">
        <v>800</v>
      </c>
      <c r="F1228" s="94"/>
      <c r="G1228" s="44">
        <v>800</v>
      </c>
      <c r="H1228" s="389"/>
      <c r="I1228" s="597"/>
    </row>
    <row r="1229" spans="1:9" ht="40.5" customHeight="1">
      <c r="A1229" s="73"/>
      <c r="B1229" s="10"/>
      <c r="C1229" s="3">
        <v>4370</v>
      </c>
      <c r="D1229" s="272" t="s">
        <v>3</v>
      </c>
      <c r="E1229" s="44">
        <v>1510</v>
      </c>
      <c r="F1229" s="94"/>
      <c r="G1229" s="44">
        <v>1510</v>
      </c>
      <c r="H1229" s="389"/>
      <c r="I1229" s="597"/>
    </row>
    <row r="1230" spans="1:9" ht="27" customHeight="1">
      <c r="A1230" s="73"/>
      <c r="B1230" s="10"/>
      <c r="C1230" s="3">
        <v>4390</v>
      </c>
      <c r="D1230" s="324" t="s">
        <v>154</v>
      </c>
      <c r="E1230" s="44">
        <v>560</v>
      </c>
      <c r="F1230" s="94"/>
      <c r="G1230" s="44">
        <v>560</v>
      </c>
      <c r="H1230" s="389"/>
      <c r="I1230" s="597"/>
    </row>
    <row r="1231" spans="1:9" ht="18" customHeight="1">
      <c r="A1231" s="73"/>
      <c r="B1231" s="10"/>
      <c r="C1231" s="3">
        <v>4410</v>
      </c>
      <c r="D1231" s="272" t="s">
        <v>500</v>
      </c>
      <c r="E1231" s="44">
        <v>500</v>
      </c>
      <c r="F1231" s="94"/>
      <c r="G1231" s="44">
        <v>500</v>
      </c>
      <c r="H1231" s="389"/>
      <c r="I1231" s="597"/>
    </row>
    <row r="1232" spans="1:9" ht="21" customHeight="1">
      <c r="A1232" s="73"/>
      <c r="B1232" s="10"/>
      <c r="C1232" s="3">
        <v>4430</v>
      </c>
      <c r="D1232" s="272" t="s">
        <v>387</v>
      </c>
      <c r="E1232" s="44">
        <v>6190</v>
      </c>
      <c r="F1232" s="94"/>
      <c r="G1232" s="44">
        <v>6190</v>
      </c>
      <c r="H1232" s="389"/>
      <c r="I1232" s="597"/>
    </row>
    <row r="1233" spans="1:9" ht="24" customHeight="1">
      <c r="A1233" s="73"/>
      <c r="B1233" s="10"/>
      <c r="C1233" s="3">
        <v>4440</v>
      </c>
      <c r="D1233" s="272" t="s">
        <v>498</v>
      </c>
      <c r="E1233" s="44">
        <v>85640</v>
      </c>
      <c r="F1233" s="94"/>
      <c r="G1233" s="44">
        <v>81440</v>
      </c>
      <c r="H1233" s="389"/>
      <c r="I1233" s="597"/>
    </row>
    <row r="1234" spans="1:9" ht="24.75" customHeight="1">
      <c r="A1234" s="73"/>
      <c r="B1234" s="10"/>
      <c r="C1234" s="3">
        <v>4480</v>
      </c>
      <c r="D1234" s="272" t="s">
        <v>351</v>
      </c>
      <c r="E1234" s="44">
        <v>124</v>
      </c>
      <c r="F1234" s="94"/>
      <c r="G1234" s="44">
        <v>124</v>
      </c>
      <c r="H1234" s="389"/>
      <c r="I1234" s="597"/>
    </row>
    <row r="1235" spans="1:9" ht="24.75" customHeight="1">
      <c r="A1235" s="73"/>
      <c r="B1235" s="10"/>
      <c r="C1235" s="3">
        <v>4520</v>
      </c>
      <c r="D1235" s="272" t="s">
        <v>373</v>
      </c>
      <c r="E1235" s="44">
        <v>1000</v>
      </c>
      <c r="F1235" s="94"/>
      <c r="G1235" s="44">
        <v>2507</v>
      </c>
      <c r="H1235" s="389"/>
      <c r="I1235" s="597"/>
    </row>
    <row r="1236" spans="1:9" ht="28.5" customHeight="1">
      <c r="A1236" s="73"/>
      <c r="B1236" s="10"/>
      <c r="C1236" s="3">
        <v>4700</v>
      </c>
      <c r="D1236" s="272" t="s">
        <v>374</v>
      </c>
      <c r="E1236" s="44">
        <v>1420</v>
      </c>
      <c r="F1236" s="94"/>
      <c r="G1236" s="44">
        <v>1420</v>
      </c>
      <c r="H1236" s="389"/>
      <c r="I1236" s="597"/>
    </row>
    <row r="1237" spans="1:9" ht="28.5" customHeight="1">
      <c r="A1237" s="73"/>
      <c r="B1237" s="10"/>
      <c r="C1237" s="3">
        <v>6060</v>
      </c>
      <c r="D1237" s="272" t="s">
        <v>516</v>
      </c>
      <c r="E1237" s="44">
        <v>0</v>
      </c>
      <c r="F1237" s="94"/>
      <c r="G1237" s="44">
        <v>12300</v>
      </c>
      <c r="H1237" s="389"/>
      <c r="I1237" s="597"/>
    </row>
    <row r="1238" spans="1:9" ht="30" customHeight="1">
      <c r="A1238" s="73"/>
      <c r="B1238" s="24">
        <v>85406</v>
      </c>
      <c r="C1238" s="25"/>
      <c r="D1238" s="277" t="s">
        <v>694</v>
      </c>
      <c r="E1238" s="41">
        <f>SUM(E1239:E1258)</f>
        <v>1599832</v>
      </c>
      <c r="F1238" s="94"/>
      <c r="G1238" s="41">
        <f>SUM(G1239:G1258)</f>
        <v>1572935</v>
      </c>
      <c r="H1238" s="389"/>
      <c r="I1238" s="330">
        <f>G1238/E1238*100</f>
        <v>98.31876096990185</v>
      </c>
    </row>
    <row r="1239" spans="1:9" ht="25.5" customHeight="1">
      <c r="A1239" s="73"/>
      <c r="B1239" s="10"/>
      <c r="C1239" s="3">
        <v>3020</v>
      </c>
      <c r="D1239" s="272" t="s">
        <v>712</v>
      </c>
      <c r="E1239" s="101">
        <v>5397</v>
      </c>
      <c r="F1239" s="94"/>
      <c r="G1239" s="101">
        <v>5663</v>
      </c>
      <c r="H1239" s="389"/>
      <c r="I1239" s="597"/>
    </row>
    <row r="1240" spans="1:9" ht="20.25" customHeight="1">
      <c r="A1240" s="73"/>
      <c r="B1240" s="10"/>
      <c r="C1240" s="3">
        <v>4010</v>
      </c>
      <c r="D1240" s="272" t="s">
        <v>451</v>
      </c>
      <c r="E1240" s="44">
        <v>1123064</v>
      </c>
      <c r="F1240" s="94"/>
      <c r="G1240" s="44">
        <v>1110703</v>
      </c>
      <c r="H1240" s="389"/>
      <c r="I1240" s="597"/>
    </row>
    <row r="1241" spans="1:9" ht="15" customHeight="1">
      <c r="A1241" s="73"/>
      <c r="B1241" s="10"/>
      <c r="C1241" s="3">
        <v>4040</v>
      </c>
      <c r="D1241" s="272" t="s">
        <v>452</v>
      </c>
      <c r="E1241" s="44">
        <v>98866</v>
      </c>
      <c r="F1241" s="94"/>
      <c r="G1241" s="44">
        <v>91731</v>
      </c>
      <c r="H1241" s="389"/>
      <c r="I1241" s="597"/>
    </row>
    <row r="1242" spans="1:9" ht="15" customHeight="1">
      <c r="A1242" s="73"/>
      <c r="B1242" s="10"/>
      <c r="C1242" s="3">
        <v>4110</v>
      </c>
      <c r="D1242" s="272" t="s">
        <v>496</v>
      </c>
      <c r="E1242" s="44">
        <v>207470</v>
      </c>
      <c r="F1242" s="94"/>
      <c r="G1242" s="44">
        <v>197070</v>
      </c>
      <c r="H1242" s="389"/>
      <c r="I1242" s="597"/>
    </row>
    <row r="1243" spans="1:9" ht="15" customHeight="1">
      <c r="A1243" s="73"/>
      <c r="B1243" s="10"/>
      <c r="C1243" s="3">
        <v>4120</v>
      </c>
      <c r="D1243" s="272" t="s">
        <v>497</v>
      </c>
      <c r="E1243" s="44">
        <v>23500</v>
      </c>
      <c r="F1243" s="94"/>
      <c r="G1243" s="44">
        <v>27168</v>
      </c>
      <c r="H1243" s="389"/>
      <c r="I1243" s="597"/>
    </row>
    <row r="1244" spans="1:9" ht="15" customHeight="1">
      <c r="A1244" s="73"/>
      <c r="B1244" s="10"/>
      <c r="C1244" s="3">
        <v>4170</v>
      </c>
      <c r="D1244" s="272" t="s">
        <v>503</v>
      </c>
      <c r="E1244" s="44">
        <v>4100</v>
      </c>
      <c r="F1244" s="94"/>
      <c r="G1244" s="44">
        <v>4000</v>
      </c>
      <c r="H1244" s="389"/>
      <c r="I1244" s="597"/>
    </row>
    <row r="1245" spans="1:9" ht="15" customHeight="1">
      <c r="A1245" s="73"/>
      <c r="B1245" s="10"/>
      <c r="C1245" s="3">
        <v>4210</v>
      </c>
      <c r="D1245" s="272" t="s">
        <v>411</v>
      </c>
      <c r="E1245" s="44">
        <v>15000</v>
      </c>
      <c r="F1245" s="94"/>
      <c r="G1245" s="44">
        <v>10000</v>
      </c>
      <c r="H1245" s="389"/>
      <c r="I1245" s="597"/>
    </row>
    <row r="1246" spans="1:9" ht="25.5" customHeight="1">
      <c r="A1246" s="73"/>
      <c r="B1246" s="10"/>
      <c r="C1246" s="3">
        <v>4240</v>
      </c>
      <c r="D1246" s="272" t="s">
        <v>97</v>
      </c>
      <c r="E1246" s="44">
        <v>3000</v>
      </c>
      <c r="F1246" s="94"/>
      <c r="G1246" s="44">
        <v>3000</v>
      </c>
      <c r="H1246" s="389"/>
      <c r="I1246" s="597"/>
    </row>
    <row r="1247" spans="1:9" ht="15" customHeight="1">
      <c r="A1247" s="73"/>
      <c r="B1247" s="10"/>
      <c r="C1247" s="3">
        <v>4260</v>
      </c>
      <c r="D1247" s="272" t="s">
        <v>511</v>
      </c>
      <c r="E1247" s="44">
        <v>22500</v>
      </c>
      <c r="F1247" s="94"/>
      <c r="G1247" s="44">
        <v>22500</v>
      </c>
      <c r="H1247" s="389"/>
      <c r="I1247" s="597"/>
    </row>
    <row r="1248" spans="1:9" ht="15" customHeight="1">
      <c r="A1248" s="73"/>
      <c r="B1248" s="10"/>
      <c r="C1248" s="3">
        <v>4270</v>
      </c>
      <c r="D1248" s="272" t="s">
        <v>412</v>
      </c>
      <c r="E1248" s="44">
        <v>7500</v>
      </c>
      <c r="F1248" s="94"/>
      <c r="G1248" s="44">
        <v>8000</v>
      </c>
      <c r="H1248" s="389"/>
      <c r="I1248" s="597"/>
    </row>
    <row r="1249" spans="1:9" ht="15" customHeight="1">
      <c r="A1249" s="73"/>
      <c r="B1249" s="10"/>
      <c r="C1249" s="3">
        <v>4280</v>
      </c>
      <c r="D1249" s="272" t="s">
        <v>714</v>
      </c>
      <c r="E1249" s="44">
        <v>1500</v>
      </c>
      <c r="F1249" s="94"/>
      <c r="G1249" s="44">
        <v>1500</v>
      </c>
      <c r="H1249" s="389"/>
      <c r="I1249" s="597"/>
    </row>
    <row r="1250" spans="1:9" ht="15" customHeight="1">
      <c r="A1250" s="73"/>
      <c r="B1250" s="10"/>
      <c r="C1250" s="3">
        <v>4300</v>
      </c>
      <c r="D1250" s="272" t="s">
        <v>408</v>
      </c>
      <c r="E1250" s="44">
        <v>13745</v>
      </c>
      <c r="F1250" s="94"/>
      <c r="G1250" s="44">
        <v>14500</v>
      </c>
      <c r="H1250" s="389"/>
      <c r="I1250" s="597"/>
    </row>
    <row r="1251" spans="1:9" ht="15" customHeight="1">
      <c r="A1251" s="73"/>
      <c r="B1251" s="10"/>
      <c r="C1251" s="3">
        <v>4350</v>
      </c>
      <c r="D1251" s="272" t="s">
        <v>506</v>
      </c>
      <c r="E1251" s="44">
        <v>800</v>
      </c>
      <c r="F1251" s="94"/>
      <c r="G1251" s="44">
        <v>800</v>
      </c>
      <c r="H1251" s="389"/>
      <c r="I1251" s="597"/>
    </row>
    <row r="1252" spans="1:9" ht="36" customHeight="1">
      <c r="A1252" s="73"/>
      <c r="B1252" s="10"/>
      <c r="C1252" s="3">
        <v>4370</v>
      </c>
      <c r="D1252" s="272" t="s">
        <v>3</v>
      </c>
      <c r="E1252" s="44">
        <v>6090</v>
      </c>
      <c r="F1252" s="94"/>
      <c r="G1252" s="44">
        <v>6100</v>
      </c>
      <c r="H1252" s="389"/>
      <c r="I1252" s="597"/>
    </row>
    <row r="1253" spans="1:9" ht="27.75" customHeight="1">
      <c r="A1253" s="73"/>
      <c r="B1253" s="10"/>
      <c r="C1253" s="3">
        <v>4390</v>
      </c>
      <c r="D1253" s="324" t="s">
        <v>154</v>
      </c>
      <c r="E1253" s="44">
        <v>500</v>
      </c>
      <c r="F1253" s="94"/>
      <c r="G1253" s="44">
        <v>500</v>
      </c>
      <c r="H1253" s="389"/>
      <c r="I1253" s="597"/>
    </row>
    <row r="1254" spans="1:9" ht="15" customHeight="1">
      <c r="A1254" s="73"/>
      <c r="B1254" s="10"/>
      <c r="C1254" s="3">
        <v>4410</v>
      </c>
      <c r="D1254" s="272" t="s">
        <v>500</v>
      </c>
      <c r="E1254" s="44">
        <v>1000</v>
      </c>
      <c r="F1254" s="94"/>
      <c r="G1254" s="44">
        <v>1000</v>
      </c>
      <c r="H1254" s="389"/>
      <c r="I1254" s="597"/>
    </row>
    <row r="1255" spans="1:9" ht="21.75" customHeight="1">
      <c r="A1255" s="73"/>
      <c r="B1255" s="10"/>
      <c r="C1255" s="3">
        <v>4430</v>
      </c>
      <c r="D1255" s="272" t="s">
        <v>387</v>
      </c>
      <c r="E1255" s="44">
        <v>750</v>
      </c>
      <c r="F1255" s="94"/>
      <c r="G1255" s="44">
        <v>1000</v>
      </c>
      <c r="H1255" s="389"/>
      <c r="I1255" s="597"/>
    </row>
    <row r="1256" spans="1:9" ht="27.75" customHeight="1">
      <c r="A1256" s="73"/>
      <c r="B1256" s="10"/>
      <c r="C1256" s="3">
        <v>4440</v>
      </c>
      <c r="D1256" s="272" t="s">
        <v>498</v>
      </c>
      <c r="E1256" s="44">
        <v>62795</v>
      </c>
      <c r="F1256" s="94"/>
      <c r="G1256" s="44">
        <v>65100</v>
      </c>
      <c r="H1256" s="389"/>
      <c r="I1256" s="597"/>
    </row>
    <row r="1257" spans="1:9" ht="27.75" customHeight="1">
      <c r="A1257" s="73"/>
      <c r="B1257" s="10"/>
      <c r="C1257" s="3">
        <v>4520</v>
      </c>
      <c r="D1257" s="272" t="s">
        <v>373</v>
      </c>
      <c r="E1257" s="44">
        <v>755</v>
      </c>
      <c r="F1257" s="94"/>
      <c r="G1257" s="44">
        <v>1600</v>
      </c>
      <c r="H1257" s="389"/>
      <c r="I1257" s="597"/>
    </row>
    <row r="1258" spans="1:9" ht="29.25" customHeight="1">
      <c r="A1258" s="73"/>
      <c r="B1258" s="10"/>
      <c r="C1258" s="3">
        <v>4700</v>
      </c>
      <c r="D1258" s="272" t="s">
        <v>374</v>
      </c>
      <c r="E1258" s="44">
        <v>1500</v>
      </c>
      <c r="F1258" s="94"/>
      <c r="G1258" s="44">
        <v>1000</v>
      </c>
      <c r="H1258" s="389"/>
      <c r="I1258" s="597"/>
    </row>
    <row r="1259" spans="1:9" ht="23.25" customHeight="1">
      <c r="A1259" s="73"/>
      <c r="B1259" s="24">
        <v>85410</v>
      </c>
      <c r="C1259" s="25"/>
      <c r="D1259" s="277" t="s">
        <v>423</v>
      </c>
      <c r="E1259" s="41">
        <f>SUM(E1260:E1282)</f>
        <v>1775552</v>
      </c>
      <c r="F1259" s="94"/>
      <c r="G1259" s="41">
        <f>SUM(G1260:G1282)</f>
        <v>1843300</v>
      </c>
      <c r="H1259" s="389"/>
      <c r="I1259" s="330">
        <f>G1259/E1259*100</f>
        <v>103.8156021338716</v>
      </c>
    </row>
    <row r="1260" spans="1:9" ht="24" customHeight="1">
      <c r="A1260" s="73"/>
      <c r="B1260" s="10"/>
      <c r="C1260" s="3">
        <v>3020</v>
      </c>
      <c r="D1260" s="272" t="s">
        <v>712</v>
      </c>
      <c r="E1260" s="101">
        <v>4500</v>
      </c>
      <c r="F1260" s="94"/>
      <c r="G1260" s="101">
        <v>4500</v>
      </c>
      <c r="H1260" s="389"/>
      <c r="I1260" s="597"/>
    </row>
    <row r="1261" spans="1:9" ht="20.25" customHeight="1">
      <c r="A1261" s="73"/>
      <c r="B1261" s="10"/>
      <c r="C1261" s="3">
        <v>4010</v>
      </c>
      <c r="D1261" s="272" t="s">
        <v>451</v>
      </c>
      <c r="E1261" s="44">
        <v>918000</v>
      </c>
      <c r="F1261" s="94"/>
      <c r="G1261" s="44">
        <v>929000</v>
      </c>
      <c r="H1261" s="389"/>
      <c r="I1261" s="597"/>
    </row>
    <row r="1262" spans="1:9" ht="15" customHeight="1">
      <c r="A1262" s="73"/>
      <c r="B1262" s="10"/>
      <c r="C1262" s="3">
        <v>4040</v>
      </c>
      <c r="D1262" s="272" t="s">
        <v>452</v>
      </c>
      <c r="E1262" s="44">
        <v>73952</v>
      </c>
      <c r="F1262" s="94"/>
      <c r="G1262" s="44">
        <v>82000</v>
      </c>
      <c r="H1262" s="389"/>
      <c r="I1262" s="597"/>
    </row>
    <row r="1263" spans="1:9" ht="15" customHeight="1">
      <c r="A1263" s="73"/>
      <c r="B1263" s="10"/>
      <c r="C1263" s="3">
        <v>4110</v>
      </c>
      <c r="D1263" s="272" t="s">
        <v>496</v>
      </c>
      <c r="E1263" s="44">
        <v>156000</v>
      </c>
      <c r="F1263" s="94"/>
      <c r="G1263" s="44">
        <v>158900</v>
      </c>
      <c r="H1263" s="389"/>
      <c r="I1263" s="597"/>
    </row>
    <row r="1264" spans="1:9" ht="15" customHeight="1">
      <c r="A1264" s="73"/>
      <c r="B1264" s="10"/>
      <c r="C1264" s="3">
        <v>4120</v>
      </c>
      <c r="D1264" s="272" t="s">
        <v>497</v>
      </c>
      <c r="E1264" s="44">
        <v>20500</v>
      </c>
      <c r="F1264" s="94"/>
      <c r="G1264" s="44">
        <v>25700</v>
      </c>
      <c r="H1264" s="389"/>
      <c r="I1264" s="597"/>
    </row>
    <row r="1265" spans="1:9" ht="27" customHeight="1">
      <c r="A1265" s="73"/>
      <c r="B1265" s="10"/>
      <c r="C1265" s="3">
        <v>4140</v>
      </c>
      <c r="D1265" s="272" t="s">
        <v>96</v>
      </c>
      <c r="E1265" s="44">
        <v>10000</v>
      </c>
      <c r="F1265" s="94"/>
      <c r="G1265" s="44">
        <v>11000</v>
      </c>
      <c r="H1265" s="389"/>
      <c r="I1265" s="597"/>
    </row>
    <row r="1266" spans="1:9" ht="15" customHeight="1">
      <c r="A1266" s="73"/>
      <c r="B1266" s="10"/>
      <c r="C1266" s="3">
        <v>4170</v>
      </c>
      <c r="D1266" s="272" t="s">
        <v>503</v>
      </c>
      <c r="E1266" s="44">
        <v>6000</v>
      </c>
      <c r="F1266" s="94"/>
      <c r="G1266" s="44">
        <v>6000</v>
      </c>
      <c r="H1266" s="389"/>
      <c r="I1266" s="597"/>
    </row>
    <row r="1267" spans="1:9" ht="15" customHeight="1">
      <c r="A1267" s="73"/>
      <c r="B1267" s="10"/>
      <c r="C1267" s="3">
        <v>4210</v>
      </c>
      <c r="D1267" s="272" t="s">
        <v>411</v>
      </c>
      <c r="E1267" s="44">
        <v>45896</v>
      </c>
      <c r="F1267" s="94"/>
      <c r="G1267" s="44">
        <v>36000</v>
      </c>
      <c r="H1267" s="389"/>
      <c r="I1267" s="597"/>
    </row>
    <row r="1268" spans="1:9" ht="15" customHeight="1">
      <c r="A1268" s="73"/>
      <c r="B1268" s="10"/>
      <c r="C1268" s="3">
        <v>4220</v>
      </c>
      <c r="D1268" s="272" t="s">
        <v>111</v>
      </c>
      <c r="E1268" s="44">
        <v>280000</v>
      </c>
      <c r="F1268" s="94"/>
      <c r="G1268" s="44">
        <v>320000</v>
      </c>
      <c r="H1268" s="389"/>
      <c r="I1268" s="597"/>
    </row>
    <row r="1269" spans="1:9" ht="15" customHeight="1">
      <c r="A1269" s="73"/>
      <c r="B1269" s="10"/>
      <c r="C1269" s="3">
        <v>4260</v>
      </c>
      <c r="D1269" s="272" t="s">
        <v>511</v>
      </c>
      <c r="E1269" s="44">
        <v>118000</v>
      </c>
      <c r="F1269" s="94"/>
      <c r="G1269" s="44">
        <v>122000</v>
      </c>
      <c r="H1269" s="389"/>
      <c r="I1269" s="597"/>
    </row>
    <row r="1270" spans="1:9" ht="15" customHeight="1">
      <c r="A1270" s="73"/>
      <c r="B1270" s="10"/>
      <c r="C1270" s="3">
        <v>4270</v>
      </c>
      <c r="D1270" s="272" t="s">
        <v>412</v>
      </c>
      <c r="E1270" s="44">
        <v>14000</v>
      </c>
      <c r="F1270" s="94"/>
      <c r="G1270" s="44">
        <v>14000</v>
      </c>
      <c r="H1270" s="389"/>
      <c r="I1270" s="597"/>
    </row>
    <row r="1271" spans="1:9" ht="15" customHeight="1">
      <c r="A1271" s="73"/>
      <c r="B1271" s="10"/>
      <c r="C1271" s="3">
        <v>4280</v>
      </c>
      <c r="D1271" s="272" t="s">
        <v>714</v>
      </c>
      <c r="E1271" s="44">
        <v>1000</v>
      </c>
      <c r="F1271" s="94"/>
      <c r="G1271" s="44">
        <v>1000</v>
      </c>
      <c r="H1271" s="389"/>
      <c r="I1271" s="597"/>
    </row>
    <row r="1272" spans="1:9" ht="15" customHeight="1">
      <c r="A1272" s="73"/>
      <c r="B1272" s="10"/>
      <c r="C1272" s="3">
        <v>4300</v>
      </c>
      <c r="D1272" s="272" t="s">
        <v>408</v>
      </c>
      <c r="E1272" s="44">
        <v>56197</v>
      </c>
      <c r="F1272" s="94"/>
      <c r="G1272" s="44">
        <v>55000</v>
      </c>
      <c r="H1272" s="389"/>
      <c r="I1272" s="597"/>
    </row>
    <row r="1273" spans="1:9" ht="15" customHeight="1">
      <c r="A1273" s="73"/>
      <c r="B1273" s="10"/>
      <c r="C1273" s="3">
        <v>4350</v>
      </c>
      <c r="D1273" s="272" t="s">
        <v>506</v>
      </c>
      <c r="E1273" s="44">
        <v>2104</v>
      </c>
      <c r="F1273" s="94"/>
      <c r="G1273" s="44">
        <v>2200</v>
      </c>
      <c r="H1273" s="389"/>
      <c r="I1273" s="597"/>
    </row>
    <row r="1274" spans="1:9" ht="40.5" customHeight="1">
      <c r="A1274" s="73"/>
      <c r="B1274" s="10"/>
      <c r="C1274" s="3">
        <v>4360</v>
      </c>
      <c r="D1274" s="272" t="s">
        <v>4</v>
      </c>
      <c r="E1274" s="44">
        <v>200</v>
      </c>
      <c r="F1274" s="94"/>
      <c r="G1274" s="44">
        <v>600</v>
      </c>
      <c r="H1274" s="389"/>
      <c r="I1274" s="597"/>
    </row>
    <row r="1275" spans="1:9" ht="38.25" customHeight="1">
      <c r="A1275" s="73"/>
      <c r="B1275" s="10"/>
      <c r="C1275" s="3">
        <v>4370</v>
      </c>
      <c r="D1275" s="272" t="s">
        <v>3</v>
      </c>
      <c r="E1275" s="44">
        <v>1900</v>
      </c>
      <c r="F1275" s="94"/>
      <c r="G1275" s="44">
        <v>1900</v>
      </c>
      <c r="H1275" s="389"/>
      <c r="I1275" s="597"/>
    </row>
    <row r="1276" spans="1:9" ht="24" customHeight="1">
      <c r="A1276" s="73"/>
      <c r="B1276" s="10"/>
      <c r="C1276" s="3">
        <v>4390</v>
      </c>
      <c r="D1276" s="324" t="s">
        <v>154</v>
      </c>
      <c r="E1276" s="44">
        <v>1000</v>
      </c>
      <c r="F1276" s="94"/>
      <c r="G1276" s="44">
        <v>1000</v>
      </c>
      <c r="H1276" s="389"/>
      <c r="I1276" s="597"/>
    </row>
    <row r="1277" spans="1:9" ht="15" customHeight="1">
      <c r="A1277" s="73"/>
      <c r="B1277" s="10"/>
      <c r="C1277" s="3">
        <v>4410</v>
      </c>
      <c r="D1277" s="272" t="s">
        <v>500</v>
      </c>
      <c r="E1277" s="44">
        <v>300</v>
      </c>
      <c r="F1277" s="94"/>
      <c r="G1277" s="44">
        <v>300</v>
      </c>
      <c r="H1277" s="389"/>
      <c r="I1277" s="597"/>
    </row>
    <row r="1278" spans="1:9" ht="15" customHeight="1">
      <c r="A1278" s="73"/>
      <c r="B1278" s="10"/>
      <c r="C1278" s="3">
        <v>4430</v>
      </c>
      <c r="D1278" s="272" t="s">
        <v>387</v>
      </c>
      <c r="E1278" s="44">
        <v>3100</v>
      </c>
      <c r="F1278" s="94"/>
      <c r="G1278" s="44">
        <v>3100</v>
      </c>
      <c r="H1278" s="389"/>
      <c r="I1278" s="597"/>
    </row>
    <row r="1279" spans="1:9" ht="24.75" customHeight="1">
      <c r="A1279" s="73"/>
      <c r="B1279" s="10"/>
      <c r="C1279" s="3">
        <v>4440</v>
      </c>
      <c r="D1279" s="272" t="s">
        <v>498</v>
      </c>
      <c r="E1279" s="44">
        <v>56500</v>
      </c>
      <c r="F1279" s="94"/>
      <c r="G1279" s="44">
        <v>56500</v>
      </c>
      <c r="H1279" s="389"/>
      <c r="I1279" s="597"/>
    </row>
    <row r="1280" spans="1:9" ht="19.5" customHeight="1">
      <c r="A1280" s="73"/>
      <c r="B1280" s="10"/>
      <c r="C1280" s="3">
        <v>4480</v>
      </c>
      <c r="D1280" s="272" t="s">
        <v>351</v>
      </c>
      <c r="E1280" s="44">
        <v>2000</v>
      </c>
      <c r="F1280" s="94"/>
      <c r="G1280" s="44">
        <v>2100</v>
      </c>
      <c r="H1280" s="389"/>
      <c r="I1280" s="597"/>
    </row>
    <row r="1281" spans="1:9" ht="28.5" customHeight="1">
      <c r="A1281" s="73"/>
      <c r="B1281" s="10"/>
      <c r="C1281" s="3">
        <v>4520</v>
      </c>
      <c r="D1281" s="272" t="s">
        <v>373</v>
      </c>
      <c r="E1281" s="44">
        <v>3603</v>
      </c>
      <c r="F1281" s="94"/>
      <c r="G1281" s="44">
        <v>9700</v>
      </c>
      <c r="H1281" s="389"/>
      <c r="I1281" s="597"/>
    </row>
    <row r="1282" spans="1:9" ht="27" customHeight="1">
      <c r="A1282" s="73"/>
      <c r="B1282" s="10"/>
      <c r="C1282" s="3">
        <v>4700</v>
      </c>
      <c r="D1282" s="272" t="s">
        <v>374</v>
      </c>
      <c r="E1282" s="44">
        <v>800</v>
      </c>
      <c r="F1282" s="94"/>
      <c r="G1282" s="44">
        <v>800</v>
      </c>
      <c r="H1282" s="389"/>
      <c r="I1282" s="597"/>
    </row>
    <row r="1283" spans="1:25" s="56" customFormat="1" ht="38.25" customHeight="1">
      <c r="A1283" s="91"/>
      <c r="B1283" s="25">
        <v>85412</v>
      </c>
      <c r="C1283" s="25"/>
      <c r="D1283" s="277" t="s">
        <v>135</v>
      </c>
      <c r="E1283" s="41">
        <f>E1284</f>
        <v>64000</v>
      </c>
      <c r="F1283" s="112"/>
      <c r="G1283" s="41">
        <f>G1284</f>
        <v>72000</v>
      </c>
      <c r="H1283" s="1069"/>
      <c r="I1283" s="330">
        <f>G1283/E1283*100</f>
        <v>112.5</v>
      </c>
      <c r="J1283" s="230"/>
      <c r="K1283" s="230"/>
      <c r="L1283" s="248"/>
      <c r="M1283" s="230"/>
      <c r="N1283" s="230"/>
      <c r="O1283" s="230"/>
      <c r="P1283" s="230"/>
      <c r="Q1283" s="230"/>
      <c r="R1283" s="230"/>
      <c r="S1283" s="230"/>
      <c r="T1283" s="238"/>
      <c r="U1283" s="238"/>
      <c r="V1283" s="238"/>
      <c r="W1283" s="238"/>
      <c r="X1283" s="238"/>
      <c r="Y1283" s="238"/>
    </row>
    <row r="1284" spans="1:9" ht="19.5" customHeight="1">
      <c r="A1284" s="73"/>
      <c r="B1284" s="10"/>
      <c r="C1284" s="3">
        <v>4300</v>
      </c>
      <c r="D1284" s="272" t="s">
        <v>408</v>
      </c>
      <c r="E1284" s="58">
        <v>64000</v>
      </c>
      <c r="F1284" s="94"/>
      <c r="G1284" s="58">
        <v>72000</v>
      </c>
      <c r="H1284" s="389"/>
      <c r="I1284" s="597"/>
    </row>
    <row r="1285" spans="1:9" ht="23.25" customHeight="1">
      <c r="A1285" s="73"/>
      <c r="B1285" s="25">
        <v>85415</v>
      </c>
      <c r="C1285" s="25"/>
      <c r="D1285" s="277" t="s">
        <v>634</v>
      </c>
      <c r="E1285" s="41">
        <f>SUM(E1286:E1286)</f>
        <v>50000</v>
      </c>
      <c r="F1285" s="94"/>
      <c r="G1285" s="41">
        <f>SUM(G1286:G1286)</f>
        <v>50000</v>
      </c>
      <c r="H1285" s="389"/>
      <c r="I1285" s="330">
        <f>G1285/E1285*100</f>
        <v>100</v>
      </c>
    </row>
    <row r="1286" spans="1:9" ht="21" customHeight="1">
      <c r="A1286" s="73"/>
      <c r="B1286" s="10"/>
      <c r="C1286" s="3">
        <v>3240</v>
      </c>
      <c r="D1286" s="272" t="s">
        <v>635</v>
      </c>
      <c r="E1286" s="58">
        <v>50000</v>
      </c>
      <c r="F1286" s="94"/>
      <c r="G1286" s="58">
        <v>50000</v>
      </c>
      <c r="H1286" s="389"/>
      <c r="I1286" s="597"/>
    </row>
    <row r="1287" spans="1:9" ht="20.25" customHeight="1">
      <c r="A1287" s="73"/>
      <c r="B1287" s="24">
        <v>85417</v>
      </c>
      <c r="C1287" s="25"/>
      <c r="D1287" s="277" t="s">
        <v>424</v>
      </c>
      <c r="E1287" s="41">
        <f>SUM(E1288:E1307)</f>
        <v>403175</v>
      </c>
      <c r="F1287" s="94"/>
      <c r="G1287" s="41">
        <f>SUM(G1288:G1307)</f>
        <v>388630</v>
      </c>
      <c r="H1287" s="389"/>
      <c r="I1287" s="330">
        <f>G1287/E1287*100</f>
        <v>96.3923854405655</v>
      </c>
    </row>
    <row r="1288" spans="1:9" ht="24" customHeight="1">
      <c r="A1288" s="73"/>
      <c r="B1288" s="10"/>
      <c r="C1288" s="3">
        <v>3020</v>
      </c>
      <c r="D1288" s="272" t="s">
        <v>712</v>
      </c>
      <c r="E1288" s="101">
        <v>700</v>
      </c>
      <c r="F1288" s="94"/>
      <c r="G1288" s="101">
        <v>700</v>
      </c>
      <c r="H1288" s="389"/>
      <c r="I1288" s="597"/>
    </row>
    <row r="1289" spans="1:9" ht="16.5" customHeight="1">
      <c r="A1289" s="73"/>
      <c r="B1289" s="10"/>
      <c r="C1289" s="3">
        <v>4010</v>
      </c>
      <c r="D1289" s="272" t="s">
        <v>451</v>
      </c>
      <c r="E1289" s="44">
        <v>208000</v>
      </c>
      <c r="F1289" s="94"/>
      <c r="G1289" s="44">
        <v>196004</v>
      </c>
      <c r="H1289" s="389"/>
      <c r="I1289" s="597"/>
    </row>
    <row r="1290" spans="1:9" ht="15" customHeight="1">
      <c r="A1290" s="73"/>
      <c r="B1290" s="10"/>
      <c r="C1290" s="3">
        <v>4040</v>
      </c>
      <c r="D1290" s="272" t="s">
        <v>452</v>
      </c>
      <c r="E1290" s="44">
        <v>14343</v>
      </c>
      <c r="F1290" s="94"/>
      <c r="G1290" s="44">
        <v>15833</v>
      </c>
      <c r="H1290" s="389"/>
      <c r="I1290" s="597"/>
    </row>
    <row r="1291" spans="1:9" ht="15" customHeight="1">
      <c r="A1291" s="73"/>
      <c r="B1291" s="10"/>
      <c r="C1291" s="3">
        <v>4110</v>
      </c>
      <c r="D1291" s="272" t="s">
        <v>496</v>
      </c>
      <c r="E1291" s="44">
        <v>37490</v>
      </c>
      <c r="F1291" s="94"/>
      <c r="G1291" s="44">
        <v>35653</v>
      </c>
      <c r="H1291" s="389"/>
      <c r="I1291" s="597"/>
    </row>
    <row r="1292" spans="1:9" ht="15" customHeight="1">
      <c r="A1292" s="73"/>
      <c r="B1292" s="10"/>
      <c r="C1292" s="3">
        <v>4120</v>
      </c>
      <c r="D1292" s="272" t="s">
        <v>497</v>
      </c>
      <c r="E1292" s="44">
        <v>3600</v>
      </c>
      <c r="F1292" s="94"/>
      <c r="G1292" s="44">
        <v>3500</v>
      </c>
      <c r="H1292" s="389"/>
      <c r="I1292" s="597"/>
    </row>
    <row r="1293" spans="1:9" ht="15" customHeight="1">
      <c r="A1293" s="73"/>
      <c r="B1293" s="10"/>
      <c r="C1293" s="3">
        <v>4170</v>
      </c>
      <c r="D1293" s="272" t="s">
        <v>503</v>
      </c>
      <c r="E1293" s="44">
        <v>13165</v>
      </c>
      <c r="F1293" s="94"/>
      <c r="G1293" s="44">
        <v>14000</v>
      </c>
      <c r="H1293" s="389"/>
      <c r="I1293" s="597"/>
    </row>
    <row r="1294" spans="1:9" ht="15" customHeight="1">
      <c r="A1294" s="73"/>
      <c r="B1294" s="10"/>
      <c r="C1294" s="3">
        <v>4210</v>
      </c>
      <c r="D1294" s="272" t="s">
        <v>411</v>
      </c>
      <c r="E1294" s="44">
        <v>14120</v>
      </c>
      <c r="F1294" s="94"/>
      <c r="G1294" s="44">
        <v>10000</v>
      </c>
      <c r="H1294" s="389"/>
      <c r="I1294" s="597"/>
    </row>
    <row r="1295" spans="1:9" ht="15" customHeight="1">
      <c r="A1295" s="73"/>
      <c r="B1295" s="10"/>
      <c r="C1295" s="3">
        <v>4260</v>
      </c>
      <c r="D1295" s="272" t="s">
        <v>511</v>
      </c>
      <c r="E1295" s="44">
        <v>20000</v>
      </c>
      <c r="F1295" s="94"/>
      <c r="G1295" s="44">
        <v>20000</v>
      </c>
      <c r="H1295" s="389"/>
      <c r="I1295" s="597"/>
    </row>
    <row r="1296" spans="1:9" ht="15" customHeight="1">
      <c r="A1296" s="73"/>
      <c r="B1296" s="10"/>
      <c r="C1296" s="3">
        <v>4270</v>
      </c>
      <c r="D1296" s="272" t="s">
        <v>412</v>
      </c>
      <c r="E1296" s="44">
        <v>12000</v>
      </c>
      <c r="F1296" s="94"/>
      <c r="G1296" s="44">
        <v>15000</v>
      </c>
      <c r="H1296" s="389"/>
      <c r="I1296" s="597"/>
    </row>
    <row r="1297" spans="1:9" ht="15" customHeight="1">
      <c r="A1297" s="73"/>
      <c r="B1297" s="10"/>
      <c r="C1297" s="3">
        <v>4280</v>
      </c>
      <c r="D1297" s="272" t="s">
        <v>714</v>
      </c>
      <c r="E1297" s="44">
        <v>50</v>
      </c>
      <c r="F1297" s="94"/>
      <c r="G1297" s="44">
        <v>500</v>
      </c>
      <c r="H1297" s="389"/>
      <c r="I1297" s="597"/>
    </row>
    <row r="1298" spans="1:9" ht="15" customHeight="1">
      <c r="A1298" s="73"/>
      <c r="B1298" s="10"/>
      <c r="C1298" s="3">
        <v>4300</v>
      </c>
      <c r="D1298" s="272" t="s">
        <v>408</v>
      </c>
      <c r="E1298" s="44">
        <v>55410</v>
      </c>
      <c r="F1298" s="94"/>
      <c r="G1298" s="44">
        <v>45000</v>
      </c>
      <c r="H1298" s="389"/>
      <c r="I1298" s="597"/>
    </row>
    <row r="1299" spans="1:9" ht="15" customHeight="1">
      <c r="A1299" s="73"/>
      <c r="B1299" s="10"/>
      <c r="C1299" s="3">
        <v>4350</v>
      </c>
      <c r="D1299" s="272" t="s">
        <v>506</v>
      </c>
      <c r="E1299" s="44">
        <v>948</v>
      </c>
      <c r="F1299" s="94"/>
      <c r="G1299" s="44">
        <v>708</v>
      </c>
      <c r="H1299" s="389"/>
      <c r="I1299" s="597"/>
    </row>
    <row r="1300" spans="1:9" ht="37.5" customHeight="1">
      <c r="A1300" s="73"/>
      <c r="B1300" s="10"/>
      <c r="C1300" s="3">
        <v>4360</v>
      </c>
      <c r="D1300" s="272" t="s">
        <v>4</v>
      </c>
      <c r="E1300" s="44">
        <v>1150</v>
      </c>
      <c r="F1300" s="94"/>
      <c r="G1300" s="44">
        <v>1000</v>
      </c>
      <c r="H1300" s="389"/>
      <c r="I1300" s="597"/>
    </row>
    <row r="1301" spans="1:9" ht="38.25" customHeight="1">
      <c r="A1301" s="73"/>
      <c r="B1301" s="10"/>
      <c r="C1301" s="3">
        <v>4370</v>
      </c>
      <c r="D1301" s="272" t="s">
        <v>3</v>
      </c>
      <c r="E1301" s="44">
        <v>877</v>
      </c>
      <c r="F1301" s="94"/>
      <c r="G1301" s="44">
        <v>850</v>
      </c>
      <c r="H1301" s="389"/>
      <c r="I1301" s="597"/>
    </row>
    <row r="1302" spans="1:9" ht="15" customHeight="1">
      <c r="A1302" s="73"/>
      <c r="B1302" s="10"/>
      <c r="C1302" s="3">
        <v>4410</v>
      </c>
      <c r="D1302" s="272" t="s">
        <v>500</v>
      </c>
      <c r="E1302" s="44">
        <v>1500</v>
      </c>
      <c r="F1302" s="94"/>
      <c r="G1302" s="44">
        <v>1500</v>
      </c>
      <c r="H1302" s="389"/>
      <c r="I1302" s="597"/>
    </row>
    <row r="1303" spans="1:9" ht="15" customHeight="1">
      <c r="A1303" s="73"/>
      <c r="B1303" s="10"/>
      <c r="C1303" s="3">
        <v>4430</v>
      </c>
      <c r="D1303" s="272" t="s">
        <v>387</v>
      </c>
      <c r="E1303" s="44">
        <v>1060</v>
      </c>
      <c r="F1303" s="94"/>
      <c r="G1303" s="44">
        <v>1000</v>
      </c>
      <c r="H1303" s="389"/>
      <c r="I1303" s="597"/>
    </row>
    <row r="1304" spans="1:9" ht="25.5" customHeight="1">
      <c r="A1304" s="73"/>
      <c r="B1304" s="10"/>
      <c r="C1304" s="3">
        <v>4440</v>
      </c>
      <c r="D1304" s="272" t="s">
        <v>498</v>
      </c>
      <c r="E1304" s="44">
        <v>6382</v>
      </c>
      <c r="F1304" s="94"/>
      <c r="G1304" s="44">
        <v>6382</v>
      </c>
      <c r="H1304" s="389"/>
      <c r="I1304" s="597"/>
    </row>
    <row r="1305" spans="1:9" ht="25.5" customHeight="1">
      <c r="A1305" s="73"/>
      <c r="B1305" s="10"/>
      <c r="C1305" s="3">
        <v>4520</v>
      </c>
      <c r="D1305" s="272" t="s">
        <v>373</v>
      </c>
      <c r="E1305" s="44">
        <v>380</v>
      </c>
      <c r="F1305" s="94"/>
      <c r="G1305" s="44"/>
      <c r="H1305" s="389"/>
      <c r="I1305" s="597"/>
    </row>
    <row r="1306" spans="1:9" ht="19.5" customHeight="1">
      <c r="A1306" s="73"/>
      <c r="B1306" s="10"/>
      <c r="C1306" s="3">
        <v>4530</v>
      </c>
      <c r="D1306" s="272" t="s">
        <v>636</v>
      </c>
      <c r="E1306" s="44">
        <v>11000</v>
      </c>
      <c r="F1306" s="94"/>
      <c r="G1306" s="44">
        <v>20000</v>
      </c>
      <c r="H1306" s="389"/>
      <c r="I1306" s="597"/>
    </row>
    <row r="1307" spans="1:9" ht="29.25" customHeight="1">
      <c r="A1307" s="73"/>
      <c r="B1307" s="10"/>
      <c r="C1307" s="3">
        <v>4700</v>
      </c>
      <c r="D1307" s="272" t="s">
        <v>374</v>
      </c>
      <c r="E1307" s="44">
        <v>1000</v>
      </c>
      <c r="F1307" s="94"/>
      <c r="G1307" s="44">
        <v>1000</v>
      </c>
      <c r="H1307" s="389"/>
      <c r="I1307" s="597"/>
    </row>
    <row r="1308" spans="1:9" ht="18.75" customHeight="1">
      <c r="A1308" s="73"/>
      <c r="B1308" s="25">
        <v>85446</v>
      </c>
      <c r="C1308" s="25"/>
      <c r="D1308" s="277" t="s">
        <v>675</v>
      </c>
      <c r="E1308" s="41">
        <f>SUM(E1309:E1312)</f>
        <v>23908</v>
      </c>
      <c r="F1308" s="94"/>
      <c r="G1308" s="41">
        <f>SUM(G1309:G1312)</f>
        <v>23467</v>
      </c>
      <c r="H1308" s="389"/>
      <c r="I1308" s="330">
        <f>G1308/E1308*100</f>
        <v>98.15542914505605</v>
      </c>
    </row>
    <row r="1309" spans="1:9" ht="14.25" customHeight="1">
      <c r="A1309" s="76"/>
      <c r="B1309" s="8"/>
      <c r="C1309" s="9">
        <v>4210</v>
      </c>
      <c r="D1309" s="272" t="s">
        <v>411</v>
      </c>
      <c r="E1309" s="101">
        <v>823</v>
      </c>
      <c r="F1309" s="94"/>
      <c r="G1309" s="101">
        <v>700</v>
      </c>
      <c r="H1309" s="389"/>
      <c r="I1309" s="597"/>
    </row>
    <row r="1310" spans="1:9" ht="18.75" customHeight="1">
      <c r="A1310" s="76"/>
      <c r="B1310" s="8"/>
      <c r="C1310" s="9">
        <v>4300</v>
      </c>
      <c r="D1310" s="272" t="s">
        <v>408</v>
      </c>
      <c r="E1310" s="44">
        <v>7081</v>
      </c>
      <c r="F1310" s="94"/>
      <c r="G1310" s="44">
        <v>5988</v>
      </c>
      <c r="H1310" s="389"/>
      <c r="I1310" s="597"/>
    </row>
    <row r="1311" spans="1:9" ht="18.75" customHeight="1">
      <c r="A1311" s="76"/>
      <c r="B1311" s="8"/>
      <c r="C1311" s="9">
        <v>4410</v>
      </c>
      <c r="D1311" s="272" t="s">
        <v>500</v>
      </c>
      <c r="E1311" s="44">
        <v>2300</v>
      </c>
      <c r="F1311" s="94"/>
      <c r="G1311" s="44">
        <v>1782</v>
      </c>
      <c r="H1311" s="389"/>
      <c r="I1311" s="597"/>
    </row>
    <row r="1312" spans="1:9" ht="27.75" customHeight="1">
      <c r="A1312" s="76"/>
      <c r="B1312" s="2"/>
      <c r="C1312" s="9">
        <v>4700</v>
      </c>
      <c r="D1312" s="272" t="s">
        <v>374</v>
      </c>
      <c r="E1312" s="44">
        <v>13704</v>
      </c>
      <c r="F1312" s="96"/>
      <c r="G1312" s="44">
        <v>14997</v>
      </c>
      <c r="H1312" s="393"/>
      <c r="I1312" s="597"/>
    </row>
    <row r="1313" spans="1:9" ht="24.75" customHeight="1">
      <c r="A1313" s="63">
        <v>921</v>
      </c>
      <c r="B1313" s="74"/>
      <c r="C1313" s="11"/>
      <c r="D1313" s="276" t="s">
        <v>613</v>
      </c>
      <c r="E1313" s="36">
        <f>E1314</f>
        <v>2618700</v>
      </c>
      <c r="F1313" s="94"/>
      <c r="G1313" s="36">
        <f>G1314</f>
        <v>2574000</v>
      </c>
      <c r="H1313" s="389"/>
      <c r="I1313" s="330">
        <f>G1313/E1313*100</f>
        <v>98.29304616794593</v>
      </c>
    </row>
    <row r="1314" spans="1:9" ht="21.75" customHeight="1">
      <c r="A1314" s="115"/>
      <c r="B1314" s="115">
        <v>92116</v>
      </c>
      <c r="C1314" s="25"/>
      <c r="D1314" s="277" t="s">
        <v>402</v>
      </c>
      <c r="E1314" s="41">
        <f>E1315</f>
        <v>2618700</v>
      </c>
      <c r="F1314" s="110"/>
      <c r="G1314" s="41">
        <f>G1315</f>
        <v>2574000</v>
      </c>
      <c r="H1314" s="1068"/>
      <c r="I1314" s="330">
        <f>G1314/E1314*100</f>
        <v>98.29304616794593</v>
      </c>
    </row>
    <row r="1315" spans="1:9" ht="30" customHeight="1">
      <c r="A1315" s="88"/>
      <c r="B1315" s="84"/>
      <c r="C1315" s="16">
        <v>2480</v>
      </c>
      <c r="D1315" s="274" t="s">
        <v>614</v>
      </c>
      <c r="E1315" s="101">
        <v>2618700</v>
      </c>
      <c r="F1315" s="94"/>
      <c r="G1315" s="101">
        <v>2574000</v>
      </c>
      <c r="H1315" s="389"/>
      <c r="I1315" s="597"/>
    </row>
    <row r="1316" spans="1:9" ht="18" customHeight="1">
      <c r="A1316" s="65">
        <v>926</v>
      </c>
      <c r="B1316" s="62"/>
      <c r="C1316" s="11"/>
      <c r="D1316" s="276" t="s">
        <v>6</v>
      </c>
      <c r="E1316" s="36">
        <f>E1317</f>
        <v>528121</v>
      </c>
      <c r="F1316" s="114"/>
      <c r="G1316" s="36">
        <f>G1317</f>
        <v>1344800</v>
      </c>
      <c r="H1316" s="144"/>
      <c r="I1316" s="330">
        <f>G1316/E1316*100</f>
        <v>254.63861501436224</v>
      </c>
    </row>
    <row r="1317" spans="1:9" ht="20.25" customHeight="1">
      <c r="A1317" s="71"/>
      <c r="B1317" s="25">
        <v>92601</v>
      </c>
      <c r="C1317" s="25"/>
      <c r="D1317" s="277" t="s">
        <v>670</v>
      </c>
      <c r="E1317" s="104">
        <f>E1318</f>
        <v>528121</v>
      </c>
      <c r="F1317" s="110"/>
      <c r="G1317" s="104">
        <f>G1318</f>
        <v>1344800</v>
      </c>
      <c r="H1317" s="1068"/>
      <c r="I1317" s="330">
        <f>G1317/E1317*100</f>
        <v>254.63861501436224</v>
      </c>
    </row>
    <row r="1318" spans="1:9" ht="25.5" customHeight="1">
      <c r="A1318" s="132"/>
      <c r="B1318" s="2"/>
      <c r="C1318" s="9">
        <v>6050</v>
      </c>
      <c r="D1318" s="272" t="s">
        <v>470</v>
      </c>
      <c r="E1318" s="79">
        <v>528121</v>
      </c>
      <c r="F1318" s="94"/>
      <c r="G1318" s="79">
        <v>1344800</v>
      </c>
      <c r="H1318" s="389"/>
      <c r="I1318" s="597"/>
    </row>
    <row r="1319" spans="1:15" ht="23.25" customHeight="1">
      <c r="A1319" s="52" t="s">
        <v>615</v>
      </c>
      <c r="B1319" s="87"/>
      <c r="C1319" s="5"/>
      <c r="D1319" s="316"/>
      <c r="E1319" s="80">
        <f>E677+E686+E696+E703+E731+E757+E800+E809+E1076+E1151+E1185+E1313+E1316</f>
        <v>128743495.63</v>
      </c>
      <c r="F1319" s="190">
        <f>F677+F686+F696+F703+F731+F757+F800+F809+F1076+F1151+F1185+F1313+F1316</f>
        <v>11188743</v>
      </c>
      <c r="G1319" s="80">
        <f>G677+G686+G696+G703+G731+G757+G800+G809+G1076+G1151+G1185+G1313+G1316</f>
        <v>122675674.4</v>
      </c>
      <c r="H1319" s="1085">
        <f>H677+H686+H696+H703+H731+H757+H800+H809+H1076+H1151+H1185+H1313+H1316</f>
        <v>11340808</v>
      </c>
      <c r="I1319" s="343">
        <f>G1319/E1319*100</f>
        <v>95.28689103841137</v>
      </c>
      <c r="J1319" s="243"/>
      <c r="L1319" s="252"/>
      <c r="M1319" s="231"/>
      <c r="O1319" s="243"/>
    </row>
    <row r="1320" spans="1:15" ht="24.75" customHeight="1">
      <c r="A1320" s="151" t="s">
        <v>153</v>
      </c>
      <c r="B1320" s="87"/>
      <c r="C1320" s="5"/>
      <c r="D1320" s="316"/>
      <c r="E1320" s="36">
        <f>E675+E1319</f>
        <v>420012782.59</v>
      </c>
      <c r="F1320" s="170">
        <f>F675+F1319</f>
        <v>33339788.99</v>
      </c>
      <c r="G1320" s="36">
        <f>G675+G1319</f>
        <v>392790719.59000003</v>
      </c>
      <c r="H1320" s="1074">
        <f>H675+H1319</f>
        <v>31449756</v>
      </c>
      <c r="I1320" s="343">
        <f>G1320/E1320*100</f>
        <v>93.51875368360561</v>
      </c>
      <c r="K1320" s="231"/>
      <c r="L1320" s="231"/>
      <c r="M1320" s="231"/>
      <c r="N1320" s="231"/>
      <c r="O1320" s="231"/>
    </row>
    <row r="1321" spans="1:8" ht="12.75">
      <c r="A1321" s="235"/>
      <c r="B1321" s="235"/>
      <c r="C1321" s="239"/>
      <c r="D1321" s="222"/>
      <c r="E1321" s="58"/>
      <c r="F1321" s="59"/>
      <c r="G1321" s="58"/>
      <c r="H1321" s="59"/>
    </row>
    <row r="1322" spans="1:8" ht="12.75">
      <c r="A1322" s="235"/>
      <c r="B1322" s="235"/>
      <c r="C1322" s="239"/>
      <c r="D1322" s="222"/>
      <c r="E1322" s="58"/>
      <c r="F1322" s="59"/>
      <c r="G1322" s="58"/>
      <c r="H1322" s="59"/>
    </row>
    <row r="1323" spans="1:8" ht="12.75">
      <c r="A1323" s="235"/>
      <c r="B1323" s="235"/>
      <c r="C1323" s="239"/>
      <c r="D1323" s="222"/>
      <c r="E1323" s="58"/>
      <c r="F1323" s="59"/>
      <c r="G1323" s="58"/>
      <c r="H1323" s="59"/>
    </row>
    <row r="1324" spans="1:8" ht="12.75">
      <c r="A1324" s="235"/>
      <c r="B1324" s="235"/>
      <c r="C1324" s="239"/>
      <c r="D1324" s="222"/>
      <c r="E1324" s="58"/>
      <c r="F1324" s="59"/>
      <c r="G1324" s="58"/>
      <c r="H1324" s="59"/>
    </row>
    <row r="1325" spans="1:8" ht="12.75">
      <c r="A1325" s="235"/>
      <c r="B1325" s="235"/>
      <c r="C1325" s="239"/>
      <c r="D1325" s="222"/>
      <c r="E1325" s="58"/>
      <c r="F1325" s="59"/>
      <c r="G1325" s="58"/>
      <c r="H1325" s="59"/>
    </row>
    <row r="1326" spans="1:8" ht="12.75">
      <c r="A1326" s="235"/>
      <c r="B1326" s="235"/>
      <c r="C1326" s="239"/>
      <c r="D1326" s="222"/>
      <c r="E1326" s="58"/>
      <c r="F1326" s="59"/>
      <c r="G1326" s="58"/>
      <c r="H1326" s="59"/>
    </row>
    <row r="1327" spans="1:8" ht="12.75">
      <c r="A1327" s="235"/>
      <c r="B1327" s="235"/>
      <c r="C1327" s="239"/>
      <c r="D1327" s="222"/>
      <c r="E1327" s="58"/>
      <c r="F1327" s="59"/>
      <c r="G1327" s="58"/>
      <c r="H1327" s="59"/>
    </row>
    <row r="1328" spans="1:8" ht="12.75">
      <c r="A1328" s="235"/>
      <c r="B1328" s="235"/>
      <c r="C1328" s="239"/>
      <c r="D1328" s="222"/>
      <c r="E1328" s="58"/>
      <c r="F1328" s="59"/>
      <c r="G1328" s="58"/>
      <c r="H1328" s="59"/>
    </row>
    <row r="1329" spans="3:19" s="235" customFormat="1" ht="12.75">
      <c r="C1329" s="239"/>
      <c r="D1329" s="222"/>
      <c r="E1329" s="58"/>
      <c r="F1329" s="59"/>
      <c r="G1329" s="58"/>
      <c r="H1329" s="59"/>
      <c r="I1329" s="58"/>
      <c r="J1329" s="58"/>
      <c r="K1329" s="58"/>
      <c r="L1329" s="247"/>
      <c r="M1329" s="58"/>
      <c r="N1329" s="58"/>
      <c r="O1329" s="58"/>
      <c r="P1329" s="58"/>
      <c r="Q1329" s="58"/>
      <c r="R1329" s="58"/>
      <c r="S1329" s="58"/>
    </row>
    <row r="1330" spans="3:19" s="235" customFormat="1" ht="12.75">
      <c r="C1330" s="239"/>
      <c r="D1330" s="222"/>
      <c r="E1330" s="58"/>
      <c r="F1330" s="59"/>
      <c r="G1330" s="58"/>
      <c r="H1330" s="59"/>
      <c r="I1330" s="58"/>
      <c r="J1330" s="58"/>
      <c r="K1330" s="58"/>
      <c r="L1330" s="247"/>
      <c r="M1330" s="58"/>
      <c r="N1330" s="58"/>
      <c r="O1330" s="58"/>
      <c r="P1330" s="58"/>
      <c r="Q1330" s="58"/>
      <c r="R1330" s="58"/>
      <c r="S1330" s="58"/>
    </row>
    <row r="1331" spans="3:19" s="235" customFormat="1" ht="12.75">
      <c r="C1331" s="239"/>
      <c r="D1331" s="222"/>
      <c r="E1331" s="58"/>
      <c r="F1331" s="59"/>
      <c r="G1331" s="58"/>
      <c r="H1331" s="59"/>
      <c r="I1331" s="58"/>
      <c r="J1331" s="58"/>
      <c r="K1331" s="58"/>
      <c r="L1331" s="247"/>
      <c r="M1331" s="58"/>
      <c r="N1331" s="58"/>
      <c r="O1331" s="58"/>
      <c r="P1331" s="58"/>
      <c r="Q1331" s="58"/>
      <c r="R1331" s="58"/>
      <c r="S1331" s="58"/>
    </row>
    <row r="1332" spans="3:19" s="235" customFormat="1" ht="12.75">
      <c r="C1332" s="239"/>
      <c r="D1332" s="222"/>
      <c r="E1332" s="58"/>
      <c r="F1332" s="59"/>
      <c r="G1332" s="58"/>
      <c r="H1332" s="59"/>
      <c r="I1332" s="58"/>
      <c r="J1332" s="58"/>
      <c r="K1332" s="58"/>
      <c r="L1332" s="247"/>
      <c r="M1332" s="58"/>
      <c r="N1332" s="58"/>
      <c r="O1332" s="58"/>
      <c r="P1332" s="58"/>
      <c r="Q1332" s="58"/>
      <c r="R1332" s="58"/>
      <c r="S1332" s="58"/>
    </row>
    <row r="1333" spans="3:19" s="235" customFormat="1" ht="12.75">
      <c r="C1333" s="239"/>
      <c r="D1333" s="222"/>
      <c r="E1333" s="58"/>
      <c r="F1333" s="59"/>
      <c r="G1333" s="58"/>
      <c r="H1333" s="59"/>
      <c r="I1333" s="58"/>
      <c r="J1333" s="58"/>
      <c r="K1333" s="58"/>
      <c r="L1333" s="247"/>
      <c r="M1333" s="58"/>
      <c r="N1333" s="58"/>
      <c r="O1333" s="58"/>
      <c r="P1333" s="58"/>
      <c r="Q1333" s="58"/>
      <c r="R1333" s="58"/>
      <c r="S1333" s="58"/>
    </row>
    <row r="1334" spans="3:19" s="235" customFormat="1" ht="12.75">
      <c r="C1334" s="239"/>
      <c r="D1334" s="222"/>
      <c r="E1334" s="58"/>
      <c r="F1334" s="59"/>
      <c r="G1334" s="58"/>
      <c r="H1334" s="59"/>
      <c r="I1334" s="58"/>
      <c r="J1334" s="58"/>
      <c r="K1334" s="58"/>
      <c r="L1334" s="247"/>
      <c r="M1334" s="58"/>
      <c r="N1334" s="58"/>
      <c r="O1334" s="58"/>
      <c r="P1334" s="58"/>
      <c r="Q1334" s="58"/>
      <c r="R1334" s="58"/>
      <c r="S1334" s="58"/>
    </row>
    <row r="1335" spans="3:19" s="235" customFormat="1" ht="12.75">
      <c r="C1335" s="239"/>
      <c r="D1335" s="222"/>
      <c r="E1335" s="58"/>
      <c r="F1335" s="59"/>
      <c r="G1335" s="58"/>
      <c r="H1335" s="59"/>
      <c r="I1335" s="58"/>
      <c r="J1335" s="58"/>
      <c r="K1335" s="58"/>
      <c r="L1335" s="247"/>
      <c r="M1335" s="58"/>
      <c r="N1335" s="58"/>
      <c r="O1335" s="58"/>
      <c r="P1335" s="58"/>
      <c r="Q1335" s="58"/>
      <c r="R1335" s="58"/>
      <c r="S1335" s="58"/>
    </row>
    <row r="1336" spans="3:19" s="235" customFormat="1" ht="12.75">
      <c r="C1336" s="239"/>
      <c r="D1336" s="222"/>
      <c r="E1336" s="58"/>
      <c r="F1336" s="59"/>
      <c r="G1336" s="58"/>
      <c r="H1336" s="59"/>
      <c r="I1336" s="58"/>
      <c r="J1336" s="58"/>
      <c r="K1336" s="58"/>
      <c r="L1336" s="247"/>
      <c r="M1336" s="58"/>
      <c r="N1336" s="58"/>
      <c r="O1336" s="58"/>
      <c r="P1336" s="58"/>
      <c r="Q1336" s="58"/>
      <c r="R1336" s="58"/>
      <c r="S1336" s="58"/>
    </row>
    <row r="1337" spans="3:19" s="235" customFormat="1" ht="12.75">
      <c r="C1337" s="239"/>
      <c r="D1337" s="222"/>
      <c r="E1337" s="58"/>
      <c r="F1337" s="59"/>
      <c r="G1337" s="58"/>
      <c r="H1337" s="59"/>
      <c r="I1337" s="58"/>
      <c r="J1337" s="58"/>
      <c r="K1337" s="58"/>
      <c r="L1337" s="247"/>
      <c r="M1337" s="58"/>
      <c r="N1337" s="58"/>
      <c r="O1337" s="58"/>
      <c r="P1337" s="58"/>
      <c r="Q1337" s="58"/>
      <c r="R1337" s="58"/>
      <c r="S1337" s="58"/>
    </row>
    <row r="1338" spans="3:19" s="235" customFormat="1" ht="12.75">
      <c r="C1338" s="239"/>
      <c r="D1338" s="222"/>
      <c r="E1338" s="58"/>
      <c r="F1338" s="59"/>
      <c r="G1338" s="58"/>
      <c r="H1338" s="59"/>
      <c r="I1338" s="58"/>
      <c r="J1338" s="58"/>
      <c r="K1338" s="58"/>
      <c r="L1338" s="247"/>
      <c r="M1338" s="58"/>
      <c r="N1338" s="58"/>
      <c r="O1338" s="58"/>
      <c r="P1338" s="58"/>
      <c r="Q1338" s="58"/>
      <c r="R1338" s="58"/>
      <c r="S1338" s="58"/>
    </row>
    <row r="1339" spans="3:19" s="235" customFormat="1" ht="12.75">
      <c r="C1339" s="239"/>
      <c r="D1339" s="222"/>
      <c r="E1339" s="58"/>
      <c r="F1339" s="59"/>
      <c r="G1339" s="58"/>
      <c r="H1339" s="59"/>
      <c r="I1339" s="58"/>
      <c r="J1339" s="58"/>
      <c r="K1339" s="58"/>
      <c r="L1339" s="247"/>
      <c r="M1339" s="58"/>
      <c r="N1339" s="58"/>
      <c r="O1339" s="58"/>
      <c r="P1339" s="58"/>
      <c r="Q1339" s="58"/>
      <c r="R1339" s="58"/>
      <c r="S1339" s="58"/>
    </row>
    <row r="1340" spans="3:19" s="235" customFormat="1" ht="12.75">
      <c r="C1340" s="239"/>
      <c r="D1340" s="222"/>
      <c r="E1340" s="58"/>
      <c r="F1340" s="59"/>
      <c r="G1340" s="58"/>
      <c r="H1340" s="59"/>
      <c r="I1340" s="58"/>
      <c r="J1340" s="58"/>
      <c r="K1340" s="58"/>
      <c r="L1340" s="247"/>
      <c r="M1340" s="58"/>
      <c r="N1340" s="58"/>
      <c r="O1340" s="58"/>
      <c r="P1340" s="58"/>
      <c r="Q1340" s="58"/>
      <c r="R1340" s="58"/>
      <c r="S1340" s="58"/>
    </row>
    <row r="1341" spans="3:19" s="235" customFormat="1" ht="12.75">
      <c r="C1341" s="239"/>
      <c r="D1341" s="222"/>
      <c r="E1341" s="58"/>
      <c r="F1341" s="59"/>
      <c r="G1341" s="58"/>
      <c r="H1341" s="59"/>
      <c r="I1341" s="58"/>
      <c r="J1341" s="58"/>
      <c r="K1341" s="58"/>
      <c r="L1341" s="247"/>
      <c r="M1341" s="58"/>
      <c r="N1341" s="58"/>
      <c r="O1341" s="58"/>
      <c r="P1341" s="58"/>
      <c r="Q1341" s="58"/>
      <c r="R1341" s="58"/>
      <c r="S1341" s="58"/>
    </row>
    <row r="1342" spans="3:19" s="235" customFormat="1" ht="12.75">
      <c r="C1342" s="239"/>
      <c r="D1342" s="222"/>
      <c r="E1342" s="58"/>
      <c r="F1342" s="59"/>
      <c r="G1342" s="58"/>
      <c r="H1342" s="59"/>
      <c r="I1342" s="58"/>
      <c r="J1342" s="58"/>
      <c r="K1342" s="58"/>
      <c r="L1342" s="247"/>
      <c r="M1342" s="58"/>
      <c r="N1342" s="58"/>
      <c r="O1342" s="58"/>
      <c r="P1342" s="58"/>
      <c r="Q1342" s="58"/>
      <c r="R1342" s="58"/>
      <c r="S1342" s="58"/>
    </row>
    <row r="1343" spans="3:19" s="235" customFormat="1" ht="12.75">
      <c r="C1343" s="239"/>
      <c r="D1343" s="222"/>
      <c r="E1343" s="58"/>
      <c r="F1343" s="59"/>
      <c r="G1343" s="58"/>
      <c r="H1343" s="59"/>
      <c r="I1343" s="58"/>
      <c r="J1343" s="58"/>
      <c r="K1343" s="58"/>
      <c r="L1343" s="247"/>
      <c r="M1343" s="58"/>
      <c r="N1343" s="58"/>
      <c r="O1343" s="58"/>
      <c r="P1343" s="58"/>
      <c r="Q1343" s="58"/>
      <c r="R1343" s="58"/>
      <c r="S1343" s="58"/>
    </row>
    <row r="1344" spans="3:19" s="235" customFormat="1" ht="12.75">
      <c r="C1344" s="239"/>
      <c r="D1344" s="222"/>
      <c r="E1344" s="58"/>
      <c r="F1344" s="59"/>
      <c r="G1344" s="58"/>
      <c r="H1344" s="59"/>
      <c r="I1344" s="58"/>
      <c r="J1344" s="58"/>
      <c r="K1344" s="58"/>
      <c r="L1344" s="247"/>
      <c r="M1344" s="58"/>
      <c r="N1344" s="58"/>
      <c r="O1344" s="58"/>
      <c r="P1344" s="58"/>
      <c r="Q1344" s="58"/>
      <c r="R1344" s="58"/>
      <c r="S1344" s="58"/>
    </row>
    <row r="1345" spans="3:19" s="235" customFormat="1" ht="12.75">
      <c r="C1345" s="239"/>
      <c r="D1345" s="222"/>
      <c r="E1345" s="58"/>
      <c r="F1345" s="59"/>
      <c r="G1345" s="58"/>
      <c r="H1345" s="59"/>
      <c r="I1345" s="58"/>
      <c r="J1345" s="58"/>
      <c r="K1345" s="58"/>
      <c r="L1345" s="247"/>
      <c r="M1345" s="58"/>
      <c r="N1345" s="58"/>
      <c r="O1345" s="58"/>
      <c r="P1345" s="58"/>
      <c r="Q1345" s="58"/>
      <c r="R1345" s="58"/>
      <c r="S1345" s="58"/>
    </row>
    <row r="1346" spans="3:19" s="235" customFormat="1" ht="12.75">
      <c r="C1346" s="239"/>
      <c r="D1346" s="222"/>
      <c r="E1346" s="58"/>
      <c r="F1346" s="59"/>
      <c r="G1346" s="58"/>
      <c r="H1346" s="59"/>
      <c r="I1346" s="58"/>
      <c r="J1346" s="58"/>
      <c r="K1346" s="58"/>
      <c r="L1346" s="247"/>
      <c r="M1346" s="58"/>
      <c r="N1346" s="58"/>
      <c r="O1346" s="58"/>
      <c r="P1346" s="58"/>
      <c r="Q1346" s="58"/>
      <c r="R1346" s="58"/>
      <c r="S1346" s="58"/>
    </row>
    <row r="1347" spans="3:19" s="235" customFormat="1" ht="12.75">
      <c r="C1347" s="239"/>
      <c r="D1347" s="222"/>
      <c r="E1347" s="58"/>
      <c r="F1347" s="59"/>
      <c r="G1347" s="58"/>
      <c r="H1347" s="59"/>
      <c r="I1347" s="58"/>
      <c r="J1347" s="58"/>
      <c r="K1347" s="58"/>
      <c r="L1347" s="247"/>
      <c r="M1347" s="58"/>
      <c r="N1347" s="58"/>
      <c r="O1347" s="58"/>
      <c r="P1347" s="58"/>
      <c r="Q1347" s="58"/>
      <c r="R1347" s="58"/>
      <c r="S1347" s="58"/>
    </row>
    <row r="1348" spans="3:19" s="235" customFormat="1" ht="12.75">
      <c r="C1348" s="239"/>
      <c r="D1348" s="222"/>
      <c r="E1348" s="58"/>
      <c r="F1348" s="59"/>
      <c r="G1348" s="58"/>
      <c r="H1348" s="59"/>
      <c r="I1348" s="58"/>
      <c r="J1348" s="58"/>
      <c r="K1348" s="58"/>
      <c r="L1348" s="247"/>
      <c r="M1348" s="58"/>
      <c r="N1348" s="58"/>
      <c r="O1348" s="58"/>
      <c r="P1348" s="58"/>
      <c r="Q1348" s="58"/>
      <c r="R1348" s="58"/>
      <c r="S1348" s="58"/>
    </row>
    <row r="1349" spans="3:19" s="235" customFormat="1" ht="12.75">
      <c r="C1349" s="239"/>
      <c r="D1349" s="222"/>
      <c r="E1349" s="58"/>
      <c r="F1349" s="59"/>
      <c r="G1349" s="58"/>
      <c r="H1349" s="59"/>
      <c r="I1349" s="58"/>
      <c r="J1349" s="58"/>
      <c r="K1349" s="58"/>
      <c r="L1349" s="247"/>
      <c r="M1349" s="58"/>
      <c r="N1349" s="58"/>
      <c r="O1349" s="58"/>
      <c r="P1349" s="58"/>
      <c r="Q1349" s="58"/>
      <c r="R1349" s="58"/>
      <c r="S1349" s="58"/>
    </row>
    <row r="1350" spans="3:19" s="235" customFormat="1" ht="12.75">
      <c r="C1350" s="239"/>
      <c r="D1350" s="222"/>
      <c r="E1350" s="58"/>
      <c r="F1350" s="59"/>
      <c r="G1350" s="58"/>
      <c r="H1350" s="59"/>
      <c r="I1350" s="58"/>
      <c r="J1350" s="58"/>
      <c r="K1350" s="58"/>
      <c r="L1350" s="247"/>
      <c r="M1350" s="58"/>
      <c r="N1350" s="58"/>
      <c r="O1350" s="58"/>
      <c r="P1350" s="58"/>
      <c r="Q1350" s="58"/>
      <c r="R1350" s="58"/>
      <c r="S1350" s="58"/>
    </row>
    <row r="1351" spans="3:19" s="235" customFormat="1" ht="12.75">
      <c r="C1351" s="239"/>
      <c r="D1351" s="222"/>
      <c r="E1351" s="58"/>
      <c r="F1351" s="59"/>
      <c r="G1351" s="58"/>
      <c r="H1351" s="59"/>
      <c r="I1351" s="58"/>
      <c r="J1351" s="58"/>
      <c r="K1351" s="58"/>
      <c r="L1351" s="247"/>
      <c r="M1351" s="58"/>
      <c r="N1351" s="58"/>
      <c r="O1351" s="58"/>
      <c r="P1351" s="58"/>
      <c r="Q1351" s="58"/>
      <c r="R1351" s="58"/>
      <c r="S1351" s="58"/>
    </row>
    <row r="1352" spans="3:19" s="235" customFormat="1" ht="12.75">
      <c r="C1352" s="239"/>
      <c r="D1352" s="222"/>
      <c r="E1352" s="58"/>
      <c r="F1352" s="59"/>
      <c r="G1352" s="58"/>
      <c r="H1352" s="59"/>
      <c r="I1352" s="58"/>
      <c r="J1352" s="58"/>
      <c r="K1352" s="58"/>
      <c r="L1352" s="247"/>
      <c r="M1352" s="58"/>
      <c r="N1352" s="58"/>
      <c r="O1352" s="58"/>
      <c r="P1352" s="58"/>
      <c r="Q1352" s="58"/>
      <c r="R1352" s="58"/>
      <c r="S1352" s="58"/>
    </row>
    <row r="1353" spans="3:19" s="235" customFormat="1" ht="12.75">
      <c r="C1353" s="239"/>
      <c r="D1353" s="222"/>
      <c r="E1353" s="58"/>
      <c r="F1353" s="59"/>
      <c r="G1353" s="58"/>
      <c r="H1353" s="59"/>
      <c r="I1353" s="58"/>
      <c r="J1353" s="58"/>
      <c r="K1353" s="58"/>
      <c r="L1353" s="247"/>
      <c r="M1353" s="58"/>
      <c r="N1353" s="58"/>
      <c r="O1353" s="58"/>
      <c r="P1353" s="58"/>
      <c r="Q1353" s="58"/>
      <c r="R1353" s="58"/>
      <c r="S1353" s="58"/>
    </row>
    <row r="1354" spans="3:19" s="235" customFormat="1" ht="12.75">
      <c r="C1354" s="239"/>
      <c r="D1354" s="222"/>
      <c r="E1354" s="58"/>
      <c r="F1354" s="59"/>
      <c r="G1354" s="58"/>
      <c r="H1354" s="59"/>
      <c r="I1354" s="58"/>
      <c r="J1354" s="58"/>
      <c r="K1354" s="58"/>
      <c r="L1354" s="247"/>
      <c r="M1354" s="58"/>
      <c r="N1354" s="58"/>
      <c r="O1354" s="58"/>
      <c r="P1354" s="58"/>
      <c r="Q1354" s="58"/>
      <c r="R1354" s="58"/>
      <c r="S1354" s="58"/>
    </row>
    <row r="1355" spans="3:19" s="235" customFormat="1" ht="12.75">
      <c r="C1355" s="239"/>
      <c r="D1355" s="222"/>
      <c r="E1355" s="58"/>
      <c r="F1355" s="59"/>
      <c r="G1355" s="58"/>
      <c r="H1355" s="59"/>
      <c r="I1355" s="58"/>
      <c r="J1355" s="58"/>
      <c r="K1355" s="58"/>
      <c r="L1355" s="247"/>
      <c r="M1355" s="58"/>
      <c r="N1355" s="58"/>
      <c r="O1355" s="58"/>
      <c r="P1355" s="58"/>
      <c r="Q1355" s="58"/>
      <c r="R1355" s="58"/>
      <c r="S1355" s="58"/>
    </row>
    <row r="1356" spans="3:19" s="235" customFormat="1" ht="12.75">
      <c r="C1356" s="239"/>
      <c r="D1356" s="222"/>
      <c r="E1356" s="58"/>
      <c r="F1356" s="59"/>
      <c r="G1356" s="58"/>
      <c r="H1356" s="59"/>
      <c r="I1356" s="58"/>
      <c r="J1356" s="58"/>
      <c r="K1356" s="58"/>
      <c r="L1356" s="247"/>
      <c r="M1356" s="58"/>
      <c r="N1356" s="58"/>
      <c r="O1356" s="58"/>
      <c r="P1356" s="58"/>
      <c r="Q1356" s="58"/>
      <c r="R1356" s="58"/>
      <c r="S1356" s="58"/>
    </row>
    <row r="1357" spans="3:19" s="235" customFormat="1" ht="12.75">
      <c r="C1357" s="239"/>
      <c r="D1357" s="222"/>
      <c r="E1357" s="58"/>
      <c r="F1357" s="59"/>
      <c r="G1357" s="58"/>
      <c r="H1357" s="59"/>
      <c r="I1357" s="58"/>
      <c r="J1357" s="58"/>
      <c r="K1357" s="58"/>
      <c r="L1357" s="247"/>
      <c r="M1357" s="58"/>
      <c r="N1357" s="58"/>
      <c r="O1357" s="58"/>
      <c r="P1357" s="58"/>
      <c r="Q1357" s="58"/>
      <c r="R1357" s="58"/>
      <c r="S1357" s="58"/>
    </row>
    <row r="1358" spans="3:19" s="235" customFormat="1" ht="12.75">
      <c r="C1358" s="239"/>
      <c r="D1358" s="222"/>
      <c r="E1358" s="58"/>
      <c r="F1358" s="59"/>
      <c r="G1358" s="58"/>
      <c r="H1358" s="59"/>
      <c r="I1358" s="58"/>
      <c r="J1358" s="58"/>
      <c r="K1358" s="58"/>
      <c r="L1358" s="247"/>
      <c r="M1358" s="58"/>
      <c r="N1358" s="58"/>
      <c r="O1358" s="58"/>
      <c r="P1358" s="58"/>
      <c r="Q1358" s="58"/>
      <c r="R1358" s="58"/>
      <c r="S1358" s="58"/>
    </row>
    <row r="1359" spans="3:19" s="235" customFormat="1" ht="12.75">
      <c r="C1359" s="239"/>
      <c r="D1359" s="222"/>
      <c r="E1359" s="58"/>
      <c r="F1359" s="59"/>
      <c r="G1359" s="58"/>
      <c r="H1359" s="59"/>
      <c r="I1359" s="58"/>
      <c r="J1359" s="58"/>
      <c r="K1359" s="58"/>
      <c r="L1359" s="247"/>
      <c r="M1359" s="58"/>
      <c r="N1359" s="58"/>
      <c r="O1359" s="58"/>
      <c r="P1359" s="58"/>
      <c r="Q1359" s="58"/>
      <c r="R1359" s="58"/>
      <c r="S1359" s="58"/>
    </row>
    <row r="1360" spans="3:19" s="235" customFormat="1" ht="12.75">
      <c r="C1360" s="239"/>
      <c r="D1360" s="222"/>
      <c r="E1360" s="58"/>
      <c r="F1360" s="59"/>
      <c r="G1360" s="58"/>
      <c r="H1360" s="59"/>
      <c r="I1360" s="58"/>
      <c r="J1360" s="58"/>
      <c r="K1360" s="58"/>
      <c r="L1360" s="247"/>
      <c r="M1360" s="58"/>
      <c r="N1360" s="58"/>
      <c r="O1360" s="58"/>
      <c r="P1360" s="58"/>
      <c r="Q1360" s="58"/>
      <c r="R1360" s="58"/>
      <c r="S1360" s="58"/>
    </row>
    <row r="1361" spans="3:19" s="235" customFormat="1" ht="12.75">
      <c r="C1361" s="239"/>
      <c r="D1361" s="222"/>
      <c r="E1361" s="58"/>
      <c r="F1361" s="59"/>
      <c r="G1361" s="58"/>
      <c r="H1361" s="59"/>
      <c r="I1361" s="58"/>
      <c r="J1361" s="58"/>
      <c r="K1361" s="58"/>
      <c r="L1361" s="247"/>
      <c r="M1361" s="58"/>
      <c r="N1361" s="58"/>
      <c r="O1361" s="58"/>
      <c r="P1361" s="58"/>
      <c r="Q1361" s="58"/>
      <c r="R1361" s="58"/>
      <c r="S1361" s="58"/>
    </row>
    <row r="1362" spans="3:19" s="235" customFormat="1" ht="12.75">
      <c r="C1362" s="239"/>
      <c r="D1362" s="222"/>
      <c r="E1362" s="58"/>
      <c r="F1362" s="59"/>
      <c r="G1362" s="58"/>
      <c r="H1362" s="59"/>
      <c r="I1362" s="58"/>
      <c r="J1362" s="58"/>
      <c r="K1362" s="58"/>
      <c r="L1362" s="247"/>
      <c r="M1362" s="58"/>
      <c r="N1362" s="58"/>
      <c r="O1362" s="58"/>
      <c r="P1362" s="58"/>
      <c r="Q1362" s="58"/>
      <c r="R1362" s="58"/>
      <c r="S1362" s="58"/>
    </row>
    <row r="1363" spans="3:19" s="235" customFormat="1" ht="12.75">
      <c r="C1363" s="239"/>
      <c r="D1363" s="222"/>
      <c r="E1363" s="58"/>
      <c r="F1363" s="59"/>
      <c r="G1363" s="58"/>
      <c r="H1363" s="59"/>
      <c r="I1363" s="58"/>
      <c r="J1363" s="58"/>
      <c r="K1363" s="58"/>
      <c r="L1363" s="247"/>
      <c r="M1363" s="58"/>
      <c r="N1363" s="58"/>
      <c r="O1363" s="58"/>
      <c r="P1363" s="58"/>
      <c r="Q1363" s="58"/>
      <c r="R1363" s="58"/>
      <c r="S1363" s="58"/>
    </row>
    <row r="1364" spans="3:19" s="235" customFormat="1" ht="12.75">
      <c r="C1364" s="239"/>
      <c r="D1364" s="222"/>
      <c r="E1364" s="58"/>
      <c r="F1364" s="59"/>
      <c r="G1364" s="58"/>
      <c r="H1364" s="59"/>
      <c r="I1364" s="58"/>
      <c r="J1364" s="58"/>
      <c r="K1364" s="58"/>
      <c r="L1364" s="247"/>
      <c r="M1364" s="58"/>
      <c r="N1364" s="58"/>
      <c r="O1364" s="58"/>
      <c r="P1364" s="58"/>
      <c r="Q1364" s="58"/>
      <c r="R1364" s="58"/>
      <c r="S1364" s="58"/>
    </row>
    <row r="1365" spans="3:19" s="235" customFormat="1" ht="12.75">
      <c r="C1365" s="239"/>
      <c r="D1365" s="222"/>
      <c r="E1365" s="58"/>
      <c r="F1365" s="59"/>
      <c r="G1365" s="58"/>
      <c r="H1365" s="59"/>
      <c r="I1365" s="58"/>
      <c r="J1365" s="58"/>
      <c r="K1365" s="58"/>
      <c r="L1365" s="247"/>
      <c r="M1365" s="58"/>
      <c r="N1365" s="58"/>
      <c r="O1365" s="58"/>
      <c r="P1365" s="58"/>
      <c r="Q1365" s="58"/>
      <c r="R1365" s="58"/>
      <c r="S1365" s="58"/>
    </row>
    <row r="1366" spans="3:19" s="235" customFormat="1" ht="12.75">
      <c r="C1366" s="239"/>
      <c r="D1366" s="222"/>
      <c r="E1366" s="58"/>
      <c r="F1366" s="59"/>
      <c r="G1366" s="58"/>
      <c r="H1366" s="59"/>
      <c r="I1366" s="58"/>
      <c r="J1366" s="58"/>
      <c r="K1366" s="58"/>
      <c r="L1366" s="247"/>
      <c r="M1366" s="58"/>
      <c r="N1366" s="58"/>
      <c r="O1366" s="58"/>
      <c r="P1366" s="58"/>
      <c r="Q1366" s="58"/>
      <c r="R1366" s="58"/>
      <c r="S1366" s="58"/>
    </row>
    <row r="1367" spans="3:19" s="235" customFormat="1" ht="12.75">
      <c r="C1367" s="239"/>
      <c r="D1367" s="222"/>
      <c r="E1367" s="58"/>
      <c r="F1367" s="59"/>
      <c r="G1367" s="58"/>
      <c r="H1367" s="59"/>
      <c r="I1367" s="58"/>
      <c r="J1367" s="58"/>
      <c r="K1367" s="58"/>
      <c r="L1367" s="247"/>
      <c r="M1367" s="58"/>
      <c r="N1367" s="58"/>
      <c r="O1367" s="58"/>
      <c r="P1367" s="58"/>
      <c r="Q1367" s="58"/>
      <c r="R1367" s="58"/>
      <c r="S1367" s="58"/>
    </row>
    <row r="1368" spans="3:19" s="235" customFormat="1" ht="12.75">
      <c r="C1368" s="239"/>
      <c r="D1368" s="222"/>
      <c r="E1368" s="58"/>
      <c r="F1368" s="59"/>
      <c r="G1368" s="58"/>
      <c r="H1368" s="59"/>
      <c r="I1368" s="58"/>
      <c r="J1368" s="58"/>
      <c r="K1368" s="58"/>
      <c r="L1368" s="247"/>
      <c r="M1368" s="58"/>
      <c r="N1368" s="58"/>
      <c r="O1368" s="58"/>
      <c r="P1368" s="58"/>
      <c r="Q1368" s="58"/>
      <c r="R1368" s="58"/>
      <c r="S1368" s="58"/>
    </row>
    <row r="1369" spans="3:19" s="235" customFormat="1" ht="12.75">
      <c r="C1369" s="239"/>
      <c r="D1369" s="222"/>
      <c r="E1369" s="58"/>
      <c r="F1369" s="59"/>
      <c r="G1369" s="58"/>
      <c r="H1369" s="59"/>
      <c r="I1369" s="58"/>
      <c r="J1369" s="58"/>
      <c r="K1369" s="58"/>
      <c r="L1369" s="247"/>
      <c r="M1369" s="58"/>
      <c r="N1369" s="58"/>
      <c r="O1369" s="58"/>
      <c r="P1369" s="58"/>
      <c r="Q1369" s="58"/>
      <c r="R1369" s="58"/>
      <c r="S1369" s="58"/>
    </row>
    <row r="1370" spans="3:19" s="235" customFormat="1" ht="12.75">
      <c r="C1370" s="239"/>
      <c r="D1370" s="222"/>
      <c r="E1370" s="58"/>
      <c r="F1370" s="59"/>
      <c r="G1370" s="58"/>
      <c r="H1370" s="59"/>
      <c r="I1370" s="58"/>
      <c r="J1370" s="58"/>
      <c r="K1370" s="58"/>
      <c r="L1370" s="247"/>
      <c r="M1370" s="58"/>
      <c r="N1370" s="58"/>
      <c r="O1370" s="58"/>
      <c r="P1370" s="58"/>
      <c r="Q1370" s="58"/>
      <c r="R1370" s="58"/>
      <c r="S1370" s="58"/>
    </row>
    <row r="1371" spans="3:19" s="235" customFormat="1" ht="12.75">
      <c r="C1371" s="239"/>
      <c r="D1371" s="222"/>
      <c r="E1371" s="58"/>
      <c r="F1371" s="59"/>
      <c r="G1371" s="58"/>
      <c r="H1371" s="59"/>
      <c r="I1371" s="58"/>
      <c r="J1371" s="58"/>
      <c r="K1371" s="58"/>
      <c r="L1371" s="247"/>
      <c r="M1371" s="58"/>
      <c r="N1371" s="58"/>
      <c r="O1371" s="58"/>
      <c r="P1371" s="58"/>
      <c r="Q1371" s="58"/>
      <c r="R1371" s="58"/>
      <c r="S1371" s="58"/>
    </row>
    <row r="1372" spans="3:19" s="235" customFormat="1" ht="12.75">
      <c r="C1372" s="239"/>
      <c r="D1372" s="222"/>
      <c r="E1372" s="58"/>
      <c r="F1372" s="59"/>
      <c r="G1372" s="58"/>
      <c r="H1372" s="59"/>
      <c r="I1372" s="58"/>
      <c r="J1372" s="58"/>
      <c r="K1372" s="58"/>
      <c r="L1372" s="247"/>
      <c r="M1372" s="58"/>
      <c r="N1372" s="58"/>
      <c r="O1372" s="58"/>
      <c r="P1372" s="58"/>
      <c r="Q1372" s="58"/>
      <c r="R1372" s="58"/>
      <c r="S1372" s="58"/>
    </row>
    <row r="1373" spans="3:19" s="235" customFormat="1" ht="12.75">
      <c r="C1373" s="239"/>
      <c r="D1373" s="222"/>
      <c r="E1373" s="58"/>
      <c r="F1373" s="59"/>
      <c r="G1373" s="58"/>
      <c r="H1373" s="59"/>
      <c r="I1373" s="58"/>
      <c r="J1373" s="58"/>
      <c r="K1373" s="58"/>
      <c r="L1373" s="247"/>
      <c r="M1373" s="58"/>
      <c r="N1373" s="58"/>
      <c r="O1373" s="58"/>
      <c r="P1373" s="58"/>
      <c r="Q1373" s="58"/>
      <c r="R1373" s="58"/>
      <c r="S1373" s="58"/>
    </row>
    <row r="1374" spans="3:19" s="235" customFormat="1" ht="12.75">
      <c r="C1374" s="239"/>
      <c r="D1374" s="222"/>
      <c r="E1374" s="58"/>
      <c r="F1374" s="59"/>
      <c r="G1374" s="58"/>
      <c r="H1374" s="59"/>
      <c r="I1374" s="58"/>
      <c r="J1374" s="58"/>
      <c r="K1374" s="58"/>
      <c r="L1374" s="247"/>
      <c r="M1374" s="58"/>
      <c r="N1374" s="58"/>
      <c r="O1374" s="58"/>
      <c r="P1374" s="58"/>
      <c r="Q1374" s="58"/>
      <c r="R1374" s="58"/>
      <c r="S1374" s="58"/>
    </row>
    <row r="1375" spans="3:19" s="235" customFormat="1" ht="12.75">
      <c r="C1375" s="239"/>
      <c r="D1375" s="222"/>
      <c r="E1375" s="58"/>
      <c r="F1375" s="59"/>
      <c r="G1375" s="58"/>
      <c r="H1375" s="59"/>
      <c r="I1375" s="58"/>
      <c r="J1375" s="58"/>
      <c r="K1375" s="58"/>
      <c r="L1375" s="247"/>
      <c r="M1375" s="58"/>
      <c r="N1375" s="58"/>
      <c r="O1375" s="58"/>
      <c r="P1375" s="58"/>
      <c r="Q1375" s="58"/>
      <c r="R1375" s="58"/>
      <c r="S1375" s="58"/>
    </row>
    <row r="1376" spans="3:19" s="235" customFormat="1" ht="12.75">
      <c r="C1376" s="239"/>
      <c r="D1376" s="222"/>
      <c r="E1376" s="58"/>
      <c r="F1376" s="59"/>
      <c r="G1376" s="58"/>
      <c r="H1376" s="59"/>
      <c r="I1376" s="58"/>
      <c r="J1376" s="58"/>
      <c r="K1376" s="58"/>
      <c r="L1376" s="247"/>
      <c r="M1376" s="58"/>
      <c r="N1376" s="58"/>
      <c r="O1376" s="58"/>
      <c r="P1376" s="58"/>
      <c r="Q1376" s="58"/>
      <c r="R1376" s="58"/>
      <c r="S1376" s="58"/>
    </row>
    <row r="1377" spans="3:19" s="235" customFormat="1" ht="12.75">
      <c r="C1377" s="239"/>
      <c r="D1377" s="222"/>
      <c r="E1377" s="58"/>
      <c r="F1377" s="59"/>
      <c r="G1377" s="58"/>
      <c r="H1377" s="59"/>
      <c r="I1377" s="58"/>
      <c r="J1377" s="58"/>
      <c r="K1377" s="58"/>
      <c r="L1377" s="247"/>
      <c r="M1377" s="58"/>
      <c r="N1377" s="58"/>
      <c r="O1377" s="58"/>
      <c r="P1377" s="58"/>
      <c r="Q1377" s="58"/>
      <c r="R1377" s="58"/>
      <c r="S1377" s="58"/>
    </row>
    <row r="1378" spans="3:19" s="235" customFormat="1" ht="12.75">
      <c r="C1378" s="239"/>
      <c r="D1378" s="222"/>
      <c r="E1378" s="58"/>
      <c r="F1378" s="59"/>
      <c r="G1378" s="58"/>
      <c r="H1378" s="59"/>
      <c r="I1378" s="58"/>
      <c r="J1378" s="58"/>
      <c r="K1378" s="58"/>
      <c r="L1378" s="247"/>
      <c r="M1378" s="58"/>
      <c r="N1378" s="58"/>
      <c r="O1378" s="58"/>
      <c r="P1378" s="58"/>
      <c r="Q1378" s="58"/>
      <c r="R1378" s="58"/>
      <c r="S1378" s="58"/>
    </row>
    <row r="1379" spans="3:19" s="235" customFormat="1" ht="12.75">
      <c r="C1379" s="239"/>
      <c r="D1379" s="222"/>
      <c r="E1379" s="58"/>
      <c r="F1379" s="59"/>
      <c r="G1379" s="58"/>
      <c r="H1379" s="59"/>
      <c r="I1379" s="58"/>
      <c r="J1379" s="58"/>
      <c r="K1379" s="58"/>
      <c r="L1379" s="247"/>
      <c r="M1379" s="58"/>
      <c r="N1379" s="58"/>
      <c r="O1379" s="58"/>
      <c r="P1379" s="58"/>
      <c r="Q1379" s="58"/>
      <c r="R1379" s="58"/>
      <c r="S1379" s="58"/>
    </row>
    <row r="1380" spans="3:19" s="235" customFormat="1" ht="12.75">
      <c r="C1380" s="239"/>
      <c r="D1380" s="222"/>
      <c r="E1380" s="58"/>
      <c r="F1380" s="59"/>
      <c r="G1380" s="58"/>
      <c r="H1380" s="59"/>
      <c r="I1380" s="58"/>
      <c r="J1380" s="58"/>
      <c r="K1380" s="58"/>
      <c r="L1380" s="247"/>
      <c r="M1380" s="58"/>
      <c r="N1380" s="58"/>
      <c r="O1380" s="58"/>
      <c r="P1380" s="58"/>
      <c r="Q1380" s="58"/>
      <c r="R1380" s="58"/>
      <c r="S1380" s="58"/>
    </row>
    <row r="1381" spans="3:19" s="235" customFormat="1" ht="12.75">
      <c r="C1381" s="239"/>
      <c r="D1381" s="222"/>
      <c r="E1381" s="58"/>
      <c r="F1381" s="59"/>
      <c r="G1381" s="58"/>
      <c r="H1381" s="59"/>
      <c r="I1381" s="58"/>
      <c r="J1381" s="58"/>
      <c r="K1381" s="58"/>
      <c r="L1381" s="247"/>
      <c r="M1381" s="58"/>
      <c r="N1381" s="58"/>
      <c r="O1381" s="58"/>
      <c r="P1381" s="58"/>
      <c r="Q1381" s="58"/>
      <c r="R1381" s="58"/>
      <c r="S1381" s="58"/>
    </row>
    <row r="1382" spans="3:19" s="235" customFormat="1" ht="12.75">
      <c r="C1382" s="239"/>
      <c r="D1382" s="222"/>
      <c r="E1382" s="58"/>
      <c r="F1382" s="59"/>
      <c r="G1382" s="58"/>
      <c r="H1382" s="59"/>
      <c r="I1382" s="58"/>
      <c r="J1382" s="58"/>
      <c r="K1382" s="58"/>
      <c r="L1382" s="247"/>
      <c r="M1382" s="58"/>
      <c r="N1382" s="58"/>
      <c r="O1382" s="58"/>
      <c r="P1382" s="58"/>
      <c r="Q1382" s="58"/>
      <c r="R1382" s="58"/>
      <c r="S1382" s="58"/>
    </row>
    <row r="1383" spans="3:19" s="235" customFormat="1" ht="12.75">
      <c r="C1383" s="239"/>
      <c r="D1383" s="222"/>
      <c r="E1383" s="58"/>
      <c r="F1383" s="59"/>
      <c r="G1383" s="58"/>
      <c r="H1383" s="59"/>
      <c r="I1383" s="58"/>
      <c r="J1383" s="58"/>
      <c r="K1383" s="58"/>
      <c r="L1383" s="247"/>
      <c r="M1383" s="58"/>
      <c r="N1383" s="58"/>
      <c r="O1383" s="58"/>
      <c r="P1383" s="58"/>
      <c r="Q1383" s="58"/>
      <c r="R1383" s="58"/>
      <c r="S1383" s="58"/>
    </row>
    <row r="1384" spans="3:19" s="235" customFormat="1" ht="12.75">
      <c r="C1384" s="239"/>
      <c r="D1384" s="222"/>
      <c r="E1384" s="58"/>
      <c r="F1384" s="59"/>
      <c r="G1384" s="58"/>
      <c r="H1384" s="59"/>
      <c r="I1384" s="58"/>
      <c r="J1384" s="58"/>
      <c r="K1384" s="58"/>
      <c r="L1384" s="247"/>
      <c r="M1384" s="58"/>
      <c r="N1384" s="58"/>
      <c r="O1384" s="58"/>
      <c r="P1384" s="58"/>
      <c r="Q1384" s="58"/>
      <c r="R1384" s="58"/>
      <c r="S1384" s="58"/>
    </row>
    <row r="1385" spans="3:19" s="235" customFormat="1" ht="12.75">
      <c r="C1385" s="239"/>
      <c r="D1385" s="222"/>
      <c r="E1385" s="58"/>
      <c r="F1385" s="59"/>
      <c r="G1385" s="58"/>
      <c r="H1385" s="59"/>
      <c r="I1385" s="58"/>
      <c r="J1385" s="58"/>
      <c r="K1385" s="58"/>
      <c r="L1385" s="247"/>
      <c r="M1385" s="58"/>
      <c r="N1385" s="58"/>
      <c r="O1385" s="58"/>
      <c r="P1385" s="58"/>
      <c r="Q1385" s="58"/>
      <c r="R1385" s="58"/>
      <c r="S1385" s="58"/>
    </row>
    <row r="1386" spans="3:19" s="235" customFormat="1" ht="12.75">
      <c r="C1386" s="239"/>
      <c r="D1386" s="222"/>
      <c r="E1386" s="58"/>
      <c r="F1386" s="59"/>
      <c r="G1386" s="58"/>
      <c r="H1386" s="59"/>
      <c r="I1386" s="58"/>
      <c r="J1386" s="58"/>
      <c r="K1386" s="58"/>
      <c r="L1386" s="247"/>
      <c r="M1386" s="58"/>
      <c r="N1386" s="58"/>
      <c r="O1386" s="58"/>
      <c r="P1386" s="58"/>
      <c r="Q1386" s="58"/>
      <c r="R1386" s="58"/>
      <c r="S1386" s="58"/>
    </row>
    <row r="1387" spans="3:19" s="235" customFormat="1" ht="12.75">
      <c r="C1387" s="239"/>
      <c r="D1387" s="222"/>
      <c r="E1387" s="58"/>
      <c r="F1387" s="59"/>
      <c r="G1387" s="58"/>
      <c r="H1387" s="59"/>
      <c r="I1387" s="58"/>
      <c r="J1387" s="58"/>
      <c r="K1387" s="58"/>
      <c r="L1387" s="247"/>
      <c r="M1387" s="58"/>
      <c r="N1387" s="58"/>
      <c r="O1387" s="58"/>
      <c r="P1387" s="58"/>
      <c r="Q1387" s="58"/>
      <c r="R1387" s="58"/>
      <c r="S1387" s="58"/>
    </row>
    <row r="1388" spans="3:19" s="235" customFormat="1" ht="12.75">
      <c r="C1388" s="239"/>
      <c r="D1388" s="222"/>
      <c r="E1388" s="58"/>
      <c r="F1388" s="59"/>
      <c r="G1388" s="58"/>
      <c r="H1388" s="59"/>
      <c r="I1388" s="58"/>
      <c r="J1388" s="58"/>
      <c r="K1388" s="58"/>
      <c r="L1388" s="247"/>
      <c r="M1388" s="58"/>
      <c r="N1388" s="58"/>
      <c r="O1388" s="58"/>
      <c r="P1388" s="58"/>
      <c r="Q1388" s="58"/>
      <c r="R1388" s="58"/>
      <c r="S1388" s="58"/>
    </row>
    <row r="1389" spans="3:19" s="235" customFormat="1" ht="12.75">
      <c r="C1389" s="239"/>
      <c r="D1389" s="222"/>
      <c r="E1389" s="58"/>
      <c r="F1389" s="59"/>
      <c r="G1389" s="58"/>
      <c r="H1389" s="59"/>
      <c r="I1389" s="58"/>
      <c r="J1389" s="58"/>
      <c r="K1389" s="58"/>
      <c r="L1389" s="247"/>
      <c r="M1389" s="58"/>
      <c r="N1389" s="58"/>
      <c r="O1389" s="58"/>
      <c r="P1389" s="58"/>
      <c r="Q1389" s="58"/>
      <c r="R1389" s="58"/>
      <c r="S1389" s="58"/>
    </row>
    <row r="1390" spans="3:19" s="235" customFormat="1" ht="12.75">
      <c r="C1390" s="239"/>
      <c r="D1390" s="222"/>
      <c r="E1390" s="58"/>
      <c r="F1390" s="59"/>
      <c r="G1390" s="58"/>
      <c r="H1390" s="59"/>
      <c r="I1390" s="58"/>
      <c r="J1390" s="58"/>
      <c r="K1390" s="58"/>
      <c r="L1390" s="247"/>
      <c r="M1390" s="58"/>
      <c r="N1390" s="58"/>
      <c r="O1390" s="58"/>
      <c r="P1390" s="58"/>
      <c r="Q1390" s="58"/>
      <c r="R1390" s="58"/>
      <c r="S1390" s="58"/>
    </row>
    <row r="1391" spans="3:19" s="235" customFormat="1" ht="12.75">
      <c r="C1391" s="239"/>
      <c r="D1391" s="222"/>
      <c r="E1391" s="58"/>
      <c r="F1391" s="59"/>
      <c r="G1391" s="58"/>
      <c r="H1391" s="59"/>
      <c r="I1391" s="58"/>
      <c r="J1391" s="58"/>
      <c r="K1391" s="58"/>
      <c r="L1391" s="247"/>
      <c r="M1391" s="58"/>
      <c r="N1391" s="58"/>
      <c r="O1391" s="58"/>
      <c r="P1391" s="58"/>
      <c r="Q1391" s="58"/>
      <c r="R1391" s="58"/>
      <c r="S1391" s="58"/>
    </row>
    <row r="1392" spans="3:19" s="235" customFormat="1" ht="12.75">
      <c r="C1392" s="239"/>
      <c r="D1392" s="222"/>
      <c r="E1392" s="58"/>
      <c r="F1392" s="59"/>
      <c r="G1392" s="58"/>
      <c r="H1392" s="59"/>
      <c r="I1392" s="58"/>
      <c r="J1392" s="58"/>
      <c r="K1392" s="58"/>
      <c r="L1392" s="247"/>
      <c r="M1392" s="58"/>
      <c r="N1392" s="58"/>
      <c r="O1392" s="58"/>
      <c r="P1392" s="58"/>
      <c r="Q1392" s="58"/>
      <c r="R1392" s="58"/>
      <c r="S1392" s="58"/>
    </row>
    <row r="1393" spans="3:19" s="235" customFormat="1" ht="12.75">
      <c r="C1393" s="239"/>
      <c r="D1393" s="222"/>
      <c r="E1393" s="58"/>
      <c r="F1393" s="59"/>
      <c r="G1393" s="58"/>
      <c r="H1393" s="59"/>
      <c r="I1393" s="58"/>
      <c r="J1393" s="58"/>
      <c r="K1393" s="58"/>
      <c r="L1393" s="247"/>
      <c r="M1393" s="58"/>
      <c r="N1393" s="58"/>
      <c r="O1393" s="58"/>
      <c r="P1393" s="58"/>
      <c r="Q1393" s="58"/>
      <c r="R1393" s="58"/>
      <c r="S1393" s="58"/>
    </row>
    <row r="1394" spans="3:19" s="235" customFormat="1" ht="12.75">
      <c r="C1394" s="239"/>
      <c r="D1394" s="222"/>
      <c r="E1394" s="58"/>
      <c r="F1394" s="59"/>
      <c r="G1394" s="58"/>
      <c r="H1394" s="59"/>
      <c r="I1394" s="58"/>
      <c r="J1394" s="58"/>
      <c r="K1394" s="58"/>
      <c r="L1394" s="247"/>
      <c r="M1394" s="58"/>
      <c r="N1394" s="58"/>
      <c r="O1394" s="58"/>
      <c r="P1394" s="58"/>
      <c r="Q1394" s="58"/>
      <c r="R1394" s="58"/>
      <c r="S1394" s="58"/>
    </row>
    <row r="1395" spans="3:19" s="235" customFormat="1" ht="12.75">
      <c r="C1395" s="239"/>
      <c r="D1395" s="222"/>
      <c r="E1395" s="58"/>
      <c r="F1395" s="59"/>
      <c r="G1395" s="58"/>
      <c r="H1395" s="59"/>
      <c r="I1395" s="58"/>
      <c r="J1395" s="58"/>
      <c r="K1395" s="58"/>
      <c r="L1395" s="247"/>
      <c r="M1395" s="58"/>
      <c r="N1395" s="58"/>
      <c r="O1395" s="58"/>
      <c r="P1395" s="58"/>
      <c r="Q1395" s="58"/>
      <c r="R1395" s="58"/>
      <c r="S1395" s="58"/>
    </row>
    <row r="1396" spans="3:19" s="235" customFormat="1" ht="12.75">
      <c r="C1396" s="239"/>
      <c r="D1396" s="222"/>
      <c r="E1396" s="58"/>
      <c r="F1396" s="59"/>
      <c r="G1396" s="58"/>
      <c r="H1396" s="59"/>
      <c r="I1396" s="58"/>
      <c r="J1396" s="58"/>
      <c r="K1396" s="58"/>
      <c r="L1396" s="247"/>
      <c r="M1396" s="58"/>
      <c r="N1396" s="58"/>
      <c r="O1396" s="58"/>
      <c r="P1396" s="58"/>
      <c r="Q1396" s="58"/>
      <c r="R1396" s="58"/>
      <c r="S1396" s="58"/>
    </row>
    <row r="1397" spans="3:19" s="235" customFormat="1" ht="12.75">
      <c r="C1397" s="239"/>
      <c r="D1397" s="222"/>
      <c r="E1397" s="58"/>
      <c r="F1397" s="59"/>
      <c r="G1397" s="58"/>
      <c r="H1397" s="59"/>
      <c r="I1397" s="58"/>
      <c r="J1397" s="58"/>
      <c r="K1397" s="58"/>
      <c r="L1397" s="247"/>
      <c r="M1397" s="58"/>
      <c r="N1397" s="58"/>
      <c r="O1397" s="58"/>
      <c r="P1397" s="58"/>
      <c r="Q1397" s="58"/>
      <c r="R1397" s="58"/>
      <c r="S1397" s="58"/>
    </row>
    <row r="1398" spans="3:19" s="235" customFormat="1" ht="12.75">
      <c r="C1398" s="239"/>
      <c r="D1398" s="222"/>
      <c r="E1398" s="58"/>
      <c r="F1398" s="59"/>
      <c r="G1398" s="58"/>
      <c r="H1398" s="59"/>
      <c r="I1398" s="58"/>
      <c r="J1398" s="58"/>
      <c r="K1398" s="58"/>
      <c r="L1398" s="247"/>
      <c r="M1398" s="58"/>
      <c r="N1398" s="58"/>
      <c r="O1398" s="58"/>
      <c r="P1398" s="58"/>
      <c r="Q1398" s="58"/>
      <c r="R1398" s="58"/>
      <c r="S1398" s="58"/>
    </row>
    <row r="1399" spans="3:19" s="235" customFormat="1" ht="12.75">
      <c r="C1399" s="239"/>
      <c r="D1399" s="222"/>
      <c r="E1399" s="58"/>
      <c r="F1399" s="59"/>
      <c r="G1399" s="58"/>
      <c r="H1399" s="59"/>
      <c r="I1399" s="58"/>
      <c r="J1399" s="58"/>
      <c r="K1399" s="58"/>
      <c r="L1399" s="247"/>
      <c r="M1399" s="58"/>
      <c r="N1399" s="58"/>
      <c r="O1399" s="58"/>
      <c r="P1399" s="58"/>
      <c r="Q1399" s="58"/>
      <c r="R1399" s="58"/>
      <c r="S1399" s="58"/>
    </row>
    <row r="1400" spans="3:19" s="235" customFormat="1" ht="12.75">
      <c r="C1400" s="239"/>
      <c r="D1400" s="222"/>
      <c r="E1400" s="58"/>
      <c r="F1400" s="59"/>
      <c r="G1400" s="58"/>
      <c r="H1400" s="59"/>
      <c r="I1400" s="58"/>
      <c r="J1400" s="58"/>
      <c r="K1400" s="58"/>
      <c r="L1400" s="247"/>
      <c r="M1400" s="58"/>
      <c r="N1400" s="58"/>
      <c r="O1400" s="58"/>
      <c r="P1400" s="58"/>
      <c r="Q1400" s="58"/>
      <c r="R1400" s="58"/>
      <c r="S1400" s="58"/>
    </row>
    <row r="1401" spans="3:19" s="235" customFormat="1" ht="12.75">
      <c r="C1401" s="239"/>
      <c r="D1401" s="222"/>
      <c r="E1401" s="58"/>
      <c r="F1401" s="59"/>
      <c r="G1401" s="58"/>
      <c r="H1401" s="59"/>
      <c r="I1401" s="58"/>
      <c r="J1401" s="58"/>
      <c r="K1401" s="58"/>
      <c r="L1401" s="247"/>
      <c r="M1401" s="58"/>
      <c r="N1401" s="58"/>
      <c r="O1401" s="58"/>
      <c r="P1401" s="58"/>
      <c r="Q1401" s="58"/>
      <c r="R1401" s="58"/>
      <c r="S1401" s="58"/>
    </row>
    <row r="1402" spans="3:19" s="235" customFormat="1" ht="12.75">
      <c r="C1402" s="239"/>
      <c r="D1402" s="222"/>
      <c r="E1402" s="58"/>
      <c r="F1402" s="59"/>
      <c r="G1402" s="58"/>
      <c r="H1402" s="59"/>
      <c r="I1402" s="58"/>
      <c r="J1402" s="58"/>
      <c r="K1402" s="58"/>
      <c r="L1402" s="247"/>
      <c r="M1402" s="58"/>
      <c r="N1402" s="58"/>
      <c r="O1402" s="58"/>
      <c r="P1402" s="58"/>
      <c r="Q1402" s="58"/>
      <c r="R1402" s="58"/>
      <c r="S1402" s="58"/>
    </row>
    <row r="1403" spans="3:19" s="235" customFormat="1" ht="12.75">
      <c r="C1403" s="239"/>
      <c r="D1403" s="222"/>
      <c r="E1403" s="58"/>
      <c r="F1403" s="59"/>
      <c r="G1403" s="58"/>
      <c r="H1403" s="59"/>
      <c r="I1403" s="58"/>
      <c r="J1403" s="58"/>
      <c r="K1403" s="58"/>
      <c r="L1403" s="247"/>
      <c r="M1403" s="58"/>
      <c r="N1403" s="58"/>
      <c r="O1403" s="58"/>
      <c r="P1403" s="58"/>
      <c r="Q1403" s="58"/>
      <c r="R1403" s="58"/>
      <c r="S1403" s="58"/>
    </row>
    <row r="1404" spans="3:19" s="235" customFormat="1" ht="12.75">
      <c r="C1404" s="239"/>
      <c r="D1404" s="222"/>
      <c r="E1404" s="58"/>
      <c r="F1404" s="59"/>
      <c r="G1404" s="58"/>
      <c r="H1404" s="59"/>
      <c r="I1404" s="58"/>
      <c r="J1404" s="58"/>
      <c r="K1404" s="58"/>
      <c r="L1404" s="247"/>
      <c r="M1404" s="58"/>
      <c r="N1404" s="58"/>
      <c r="O1404" s="58"/>
      <c r="P1404" s="58"/>
      <c r="Q1404" s="58"/>
      <c r="R1404" s="58"/>
      <c r="S1404" s="58"/>
    </row>
    <row r="1405" spans="3:19" s="235" customFormat="1" ht="12.75">
      <c r="C1405" s="239"/>
      <c r="D1405" s="222"/>
      <c r="E1405" s="58"/>
      <c r="F1405" s="59"/>
      <c r="G1405" s="58"/>
      <c r="H1405" s="59"/>
      <c r="I1405" s="58"/>
      <c r="J1405" s="58"/>
      <c r="K1405" s="58"/>
      <c r="L1405" s="247"/>
      <c r="M1405" s="58"/>
      <c r="N1405" s="58"/>
      <c r="O1405" s="58"/>
      <c r="P1405" s="58"/>
      <c r="Q1405" s="58"/>
      <c r="R1405" s="58"/>
      <c r="S1405" s="58"/>
    </row>
    <row r="1406" spans="3:19" s="235" customFormat="1" ht="12.75">
      <c r="C1406" s="239"/>
      <c r="D1406" s="222"/>
      <c r="E1406" s="58"/>
      <c r="F1406" s="59"/>
      <c r="G1406" s="58"/>
      <c r="H1406" s="59"/>
      <c r="I1406" s="58"/>
      <c r="J1406" s="58"/>
      <c r="K1406" s="58"/>
      <c r="L1406" s="247"/>
      <c r="M1406" s="58"/>
      <c r="N1406" s="58"/>
      <c r="O1406" s="58"/>
      <c r="P1406" s="58"/>
      <c r="Q1406" s="58"/>
      <c r="R1406" s="58"/>
      <c r="S1406" s="58"/>
    </row>
    <row r="1407" spans="3:19" s="235" customFormat="1" ht="12.75">
      <c r="C1407" s="239"/>
      <c r="D1407" s="222"/>
      <c r="E1407" s="58"/>
      <c r="F1407" s="59"/>
      <c r="G1407" s="58"/>
      <c r="H1407" s="59"/>
      <c r="I1407" s="58"/>
      <c r="J1407" s="58"/>
      <c r="K1407" s="58"/>
      <c r="L1407" s="247"/>
      <c r="M1407" s="58"/>
      <c r="N1407" s="58"/>
      <c r="O1407" s="58"/>
      <c r="P1407" s="58"/>
      <c r="Q1407" s="58"/>
      <c r="R1407" s="58"/>
      <c r="S1407" s="58"/>
    </row>
    <row r="1408" spans="3:19" s="235" customFormat="1" ht="12.75">
      <c r="C1408" s="239"/>
      <c r="D1408" s="222"/>
      <c r="E1408" s="58"/>
      <c r="F1408" s="59"/>
      <c r="G1408" s="58"/>
      <c r="H1408" s="59"/>
      <c r="I1408" s="58"/>
      <c r="J1408" s="58"/>
      <c r="K1408" s="58"/>
      <c r="L1408" s="247"/>
      <c r="M1408" s="58"/>
      <c r="N1408" s="58"/>
      <c r="O1408" s="58"/>
      <c r="P1408" s="58"/>
      <c r="Q1408" s="58"/>
      <c r="R1408" s="58"/>
      <c r="S1408" s="58"/>
    </row>
    <row r="1409" spans="3:19" s="235" customFormat="1" ht="12.75">
      <c r="C1409" s="239"/>
      <c r="D1409" s="222"/>
      <c r="E1409" s="58"/>
      <c r="F1409" s="59"/>
      <c r="G1409" s="58"/>
      <c r="H1409" s="59"/>
      <c r="I1409" s="58"/>
      <c r="J1409" s="58"/>
      <c r="K1409" s="58"/>
      <c r="L1409" s="247"/>
      <c r="M1409" s="58"/>
      <c r="N1409" s="58"/>
      <c r="O1409" s="58"/>
      <c r="P1409" s="58"/>
      <c r="Q1409" s="58"/>
      <c r="R1409" s="58"/>
      <c r="S1409" s="58"/>
    </row>
    <row r="1410" spans="3:19" s="235" customFormat="1" ht="12.75">
      <c r="C1410" s="239"/>
      <c r="D1410" s="222"/>
      <c r="E1410" s="58"/>
      <c r="F1410" s="59"/>
      <c r="G1410" s="58"/>
      <c r="H1410" s="59"/>
      <c r="I1410" s="58"/>
      <c r="J1410" s="58"/>
      <c r="K1410" s="58"/>
      <c r="L1410" s="247"/>
      <c r="M1410" s="58"/>
      <c r="N1410" s="58"/>
      <c r="O1410" s="58"/>
      <c r="P1410" s="58"/>
      <c r="Q1410" s="58"/>
      <c r="R1410" s="58"/>
      <c r="S1410" s="58"/>
    </row>
    <row r="1411" spans="3:19" s="235" customFormat="1" ht="12.75">
      <c r="C1411" s="239"/>
      <c r="D1411" s="222"/>
      <c r="E1411" s="58"/>
      <c r="F1411" s="59"/>
      <c r="G1411" s="58"/>
      <c r="H1411" s="59"/>
      <c r="I1411" s="58"/>
      <c r="J1411" s="58"/>
      <c r="K1411" s="58"/>
      <c r="L1411" s="247"/>
      <c r="M1411" s="58"/>
      <c r="N1411" s="58"/>
      <c r="O1411" s="58"/>
      <c r="P1411" s="58"/>
      <c r="Q1411" s="58"/>
      <c r="R1411" s="58"/>
      <c r="S1411" s="58"/>
    </row>
    <row r="1412" spans="3:19" s="235" customFormat="1" ht="12.75">
      <c r="C1412" s="239"/>
      <c r="D1412" s="222"/>
      <c r="E1412" s="58"/>
      <c r="F1412" s="59"/>
      <c r="G1412" s="58"/>
      <c r="H1412" s="59"/>
      <c r="I1412" s="58"/>
      <c r="J1412" s="58"/>
      <c r="K1412" s="58"/>
      <c r="L1412" s="247"/>
      <c r="M1412" s="58"/>
      <c r="N1412" s="58"/>
      <c r="O1412" s="58"/>
      <c r="P1412" s="58"/>
      <c r="Q1412" s="58"/>
      <c r="R1412" s="58"/>
      <c r="S1412" s="58"/>
    </row>
    <row r="1413" spans="3:19" s="235" customFormat="1" ht="12.75">
      <c r="C1413" s="239"/>
      <c r="D1413" s="222"/>
      <c r="E1413" s="58"/>
      <c r="F1413" s="59"/>
      <c r="G1413" s="58"/>
      <c r="H1413" s="59"/>
      <c r="I1413" s="58"/>
      <c r="J1413" s="58"/>
      <c r="K1413" s="58"/>
      <c r="L1413" s="247"/>
      <c r="M1413" s="58"/>
      <c r="N1413" s="58"/>
      <c r="O1413" s="58"/>
      <c r="P1413" s="58"/>
      <c r="Q1413" s="58"/>
      <c r="R1413" s="58"/>
      <c r="S1413" s="58"/>
    </row>
    <row r="1414" spans="3:19" s="235" customFormat="1" ht="12.75">
      <c r="C1414" s="239"/>
      <c r="D1414" s="222"/>
      <c r="E1414" s="58"/>
      <c r="F1414" s="59"/>
      <c r="G1414" s="58"/>
      <c r="H1414" s="59"/>
      <c r="I1414" s="58"/>
      <c r="J1414" s="58"/>
      <c r="K1414" s="58"/>
      <c r="L1414" s="247"/>
      <c r="M1414" s="58"/>
      <c r="N1414" s="58"/>
      <c r="O1414" s="58"/>
      <c r="P1414" s="58"/>
      <c r="Q1414" s="58"/>
      <c r="R1414" s="58"/>
      <c r="S1414" s="58"/>
    </row>
    <row r="1415" spans="3:19" s="235" customFormat="1" ht="12.75">
      <c r="C1415" s="239"/>
      <c r="D1415" s="222"/>
      <c r="E1415" s="58"/>
      <c r="F1415" s="59"/>
      <c r="G1415" s="58"/>
      <c r="H1415" s="59"/>
      <c r="I1415" s="58"/>
      <c r="J1415" s="58"/>
      <c r="K1415" s="58"/>
      <c r="L1415" s="247"/>
      <c r="M1415" s="58"/>
      <c r="N1415" s="58"/>
      <c r="O1415" s="58"/>
      <c r="P1415" s="58"/>
      <c r="Q1415" s="58"/>
      <c r="R1415" s="58"/>
      <c r="S1415" s="58"/>
    </row>
    <row r="1416" spans="3:19" s="235" customFormat="1" ht="12.75">
      <c r="C1416" s="239"/>
      <c r="D1416" s="222"/>
      <c r="E1416" s="58"/>
      <c r="F1416" s="59"/>
      <c r="G1416" s="58"/>
      <c r="H1416" s="59"/>
      <c r="I1416" s="58"/>
      <c r="J1416" s="58"/>
      <c r="K1416" s="58"/>
      <c r="L1416" s="247"/>
      <c r="M1416" s="58"/>
      <c r="N1416" s="58"/>
      <c r="O1416" s="58"/>
      <c r="P1416" s="58"/>
      <c r="Q1416" s="58"/>
      <c r="R1416" s="58"/>
      <c r="S1416" s="58"/>
    </row>
    <row r="1417" spans="3:19" s="235" customFormat="1" ht="12.75">
      <c r="C1417" s="239"/>
      <c r="D1417" s="222"/>
      <c r="E1417" s="58"/>
      <c r="F1417" s="59"/>
      <c r="G1417" s="58"/>
      <c r="H1417" s="59"/>
      <c r="I1417" s="58"/>
      <c r="J1417" s="58"/>
      <c r="K1417" s="58"/>
      <c r="L1417" s="247"/>
      <c r="M1417" s="58"/>
      <c r="N1417" s="58"/>
      <c r="O1417" s="58"/>
      <c r="P1417" s="58"/>
      <c r="Q1417" s="58"/>
      <c r="R1417" s="58"/>
      <c r="S1417" s="58"/>
    </row>
    <row r="1418" spans="3:19" s="235" customFormat="1" ht="12.75">
      <c r="C1418" s="239"/>
      <c r="D1418" s="222"/>
      <c r="E1418" s="58"/>
      <c r="F1418" s="59"/>
      <c r="G1418" s="58"/>
      <c r="H1418" s="59"/>
      <c r="I1418" s="58"/>
      <c r="J1418" s="58"/>
      <c r="K1418" s="58"/>
      <c r="L1418" s="247"/>
      <c r="M1418" s="58"/>
      <c r="N1418" s="58"/>
      <c r="O1418" s="58"/>
      <c r="P1418" s="58"/>
      <c r="Q1418" s="58"/>
      <c r="R1418" s="58"/>
      <c r="S1418" s="58"/>
    </row>
    <row r="1419" spans="3:19" s="235" customFormat="1" ht="12.75">
      <c r="C1419" s="239"/>
      <c r="D1419" s="222"/>
      <c r="E1419" s="58"/>
      <c r="F1419" s="59"/>
      <c r="G1419" s="58"/>
      <c r="H1419" s="59"/>
      <c r="I1419" s="58"/>
      <c r="J1419" s="58"/>
      <c r="K1419" s="58"/>
      <c r="L1419" s="247"/>
      <c r="M1419" s="58"/>
      <c r="N1419" s="58"/>
      <c r="O1419" s="58"/>
      <c r="P1419" s="58"/>
      <c r="Q1419" s="58"/>
      <c r="R1419" s="58"/>
      <c r="S1419" s="58"/>
    </row>
    <row r="1420" spans="3:19" s="235" customFormat="1" ht="12.75">
      <c r="C1420" s="239"/>
      <c r="D1420" s="222"/>
      <c r="E1420" s="58"/>
      <c r="F1420" s="59"/>
      <c r="G1420" s="58"/>
      <c r="H1420" s="59"/>
      <c r="I1420" s="58"/>
      <c r="J1420" s="58"/>
      <c r="K1420" s="58"/>
      <c r="L1420" s="247"/>
      <c r="M1420" s="58"/>
      <c r="N1420" s="58"/>
      <c r="O1420" s="58"/>
      <c r="P1420" s="58"/>
      <c r="Q1420" s="58"/>
      <c r="R1420" s="58"/>
      <c r="S1420" s="58"/>
    </row>
    <row r="1421" spans="3:19" s="235" customFormat="1" ht="12.75">
      <c r="C1421" s="239"/>
      <c r="D1421" s="222"/>
      <c r="E1421" s="58"/>
      <c r="F1421" s="59"/>
      <c r="G1421" s="58"/>
      <c r="H1421" s="59"/>
      <c r="I1421" s="58"/>
      <c r="J1421" s="58"/>
      <c r="K1421" s="58"/>
      <c r="L1421" s="247"/>
      <c r="M1421" s="58"/>
      <c r="N1421" s="58"/>
      <c r="O1421" s="58"/>
      <c r="P1421" s="58"/>
      <c r="Q1421" s="58"/>
      <c r="R1421" s="58"/>
      <c r="S1421" s="58"/>
    </row>
    <row r="1422" spans="3:19" s="235" customFormat="1" ht="12.75">
      <c r="C1422" s="239"/>
      <c r="D1422" s="222"/>
      <c r="E1422" s="58"/>
      <c r="F1422" s="59"/>
      <c r="G1422" s="58"/>
      <c r="H1422" s="59"/>
      <c r="I1422" s="58"/>
      <c r="J1422" s="58"/>
      <c r="K1422" s="58"/>
      <c r="L1422" s="247"/>
      <c r="M1422" s="58"/>
      <c r="N1422" s="58"/>
      <c r="O1422" s="58"/>
      <c r="P1422" s="58"/>
      <c r="Q1422" s="58"/>
      <c r="R1422" s="58"/>
      <c r="S1422" s="58"/>
    </row>
    <row r="1423" spans="3:19" s="235" customFormat="1" ht="12.75">
      <c r="C1423" s="239"/>
      <c r="D1423" s="222"/>
      <c r="E1423" s="58"/>
      <c r="F1423" s="59"/>
      <c r="G1423" s="58"/>
      <c r="H1423" s="59"/>
      <c r="I1423" s="58"/>
      <c r="J1423" s="58"/>
      <c r="K1423" s="58"/>
      <c r="L1423" s="247"/>
      <c r="M1423" s="58"/>
      <c r="N1423" s="58"/>
      <c r="O1423" s="58"/>
      <c r="P1423" s="58"/>
      <c r="Q1423" s="58"/>
      <c r="R1423" s="58"/>
      <c r="S1423" s="58"/>
    </row>
    <row r="1424" spans="3:19" s="235" customFormat="1" ht="12.75">
      <c r="C1424" s="239"/>
      <c r="D1424" s="222"/>
      <c r="E1424" s="58"/>
      <c r="F1424" s="59"/>
      <c r="G1424" s="58"/>
      <c r="H1424" s="59"/>
      <c r="I1424" s="58"/>
      <c r="J1424" s="58"/>
      <c r="K1424" s="58"/>
      <c r="L1424" s="247"/>
      <c r="M1424" s="58"/>
      <c r="N1424" s="58"/>
      <c r="O1424" s="58"/>
      <c r="P1424" s="58"/>
      <c r="Q1424" s="58"/>
      <c r="R1424" s="58"/>
      <c r="S1424" s="58"/>
    </row>
    <row r="1425" spans="3:19" s="235" customFormat="1" ht="12.75">
      <c r="C1425" s="239"/>
      <c r="D1425" s="222"/>
      <c r="E1425" s="58"/>
      <c r="F1425" s="59"/>
      <c r="G1425" s="58"/>
      <c r="H1425" s="59"/>
      <c r="I1425" s="58"/>
      <c r="J1425" s="58"/>
      <c r="K1425" s="58"/>
      <c r="L1425" s="247"/>
      <c r="M1425" s="58"/>
      <c r="N1425" s="58"/>
      <c r="O1425" s="58"/>
      <c r="P1425" s="58"/>
      <c r="Q1425" s="58"/>
      <c r="R1425" s="58"/>
      <c r="S1425" s="58"/>
    </row>
    <row r="1426" spans="3:19" s="235" customFormat="1" ht="12.75">
      <c r="C1426" s="239"/>
      <c r="D1426" s="222"/>
      <c r="E1426" s="58"/>
      <c r="F1426" s="59"/>
      <c r="G1426" s="58"/>
      <c r="H1426" s="59"/>
      <c r="I1426" s="58"/>
      <c r="J1426" s="58"/>
      <c r="K1426" s="58"/>
      <c r="L1426" s="247"/>
      <c r="M1426" s="58"/>
      <c r="N1426" s="58"/>
      <c r="O1426" s="58"/>
      <c r="P1426" s="58"/>
      <c r="Q1426" s="58"/>
      <c r="R1426" s="58"/>
      <c r="S1426" s="58"/>
    </row>
    <row r="1427" spans="3:19" s="235" customFormat="1" ht="12.75">
      <c r="C1427" s="239"/>
      <c r="D1427" s="222"/>
      <c r="E1427" s="58"/>
      <c r="F1427" s="59"/>
      <c r="G1427" s="58"/>
      <c r="H1427" s="59"/>
      <c r="I1427" s="58"/>
      <c r="J1427" s="58"/>
      <c r="K1427" s="58"/>
      <c r="L1427" s="247"/>
      <c r="M1427" s="58"/>
      <c r="N1427" s="58"/>
      <c r="O1427" s="58"/>
      <c r="P1427" s="58"/>
      <c r="Q1427" s="58"/>
      <c r="R1427" s="58"/>
      <c r="S1427" s="58"/>
    </row>
    <row r="1428" spans="3:19" s="235" customFormat="1" ht="12.75">
      <c r="C1428" s="239"/>
      <c r="D1428" s="222"/>
      <c r="E1428" s="58"/>
      <c r="F1428" s="59"/>
      <c r="G1428" s="58"/>
      <c r="H1428" s="59"/>
      <c r="I1428" s="58"/>
      <c r="J1428" s="58"/>
      <c r="K1428" s="58"/>
      <c r="L1428" s="247"/>
      <c r="M1428" s="58"/>
      <c r="N1428" s="58"/>
      <c r="O1428" s="58"/>
      <c r="P1428" s="58"/>
      <c r="Q1428" s="58"/>
      <c r="R1428" s="58"/>
      <c r="S1428" s="58"/>
    </row>
    <row r="1429" spans="3:19" s="235" customFormat="1" ht="12.75">
      <c r="C1429" s="239"/>
      <c r="D1429" s="222"/>
      <c r="E1429" s="58"/>
      <c r="F1429" s="59"/>
      <c r="G1429" s="58"/>
      <c r="H1429" s="59"/>
      <c r="I1429" s="58"/>
      <c r="J1429" s="58"/>
      <c r="K1429" s="58"/>
      <c r="L1429" s="247"/>
      <c r="M1429" s="58"/>
      <c r="N1429" s="58"/>
      <c r="O1429" s="58"/>
      <c r="P1429" s="58"/>
      <c r="Q1429" s="58"/>
      <c r="R1429" s="58"/>
      <c r="S1429" s="58"/>
    </row>
    <row r="1430" spans="3:19" s="235" customFormat="1" ht="12.75">
      <c r="C1430" s="239"/>
      <c r="D1430" s="222"/>
      <c r="E1430" s="58"/>
      <c r="F1430" s="59"/>
      <c r="G1430" s="58"/>
      <c r="H1430" s="59"/>
      <c r="I1430" s="58"/>
      <c r="J1430" s="58"/>
      <c r="K1430" s="58"/>
      <c r="L1430" s="247"/>
      <c r="M1430" s="58"/>
      <c r="N1430" s="58"/>
      <c r="O1430" s="58"/>
      <c r="P1430" s="58"/>
      <c r="Q1430" s="58"/>
      <c r="R1430" s="58"/>
      <c r="S1430" s="58"/>
    </row>
    <row r="1431" spans="3:19" s="235" customFormat="1" ht="12.75">
      <c r="C1431" s="239"/>
      <c r="D1431" s="222"/>
      <c r="E1431" s="58"/>
      <c r="F1431" s="59"/>
      <c r="G1431" s="58"/>
      <c r="H1431" s="59"/>
      <c r="I1431" s="58"/>
      <c r="J1431" s="58"/>
      <c r="K1431" s="58"/>
      <c r="L1431" s="247"/>
      <c r="M1431" s="58"/>
      <c r="N1431" s="58"/>
      <c r="O1431" s="58"/>
      <c r="P1431" s="58"/>
      <c r="Q1431" s="58"/>
      <c r="R1431" s="58"/>
      <c r="S1431" s="58"/>
    </row>
    <row r="1432" spans="3:19" s="235" customFormat="1" ht="12.75">
      <c r="C1432" s="239"/>
      <c r="D1432" s="222"/>
      <c r="E1432" s="58"/>
      <c r="F1432" s="59"/>
      <c r="G1432" s="58"/>
      <c r="H1432" s="59"/>
      <c r="I1432" s="58"/>
      <c r="J1432" s="58"/>
      <c r="K1432" s="58"/>
      <c r="L1432" s="247"/>
      <c r="M1432" s="58"/>
      <c r="N1432" s="58"/>
      <c r="O1432" s="58"/>
      <c r="P1432" s="58"/>
      <c r="Q1432" s="58"/>
      <c r="R1432" s="58"/>
      <c r="S1432" s="58"/>
    </row>
    <row r="1433" spans="3:19" s="235" customFormat="1" ht="12.75">
      <c r="C1433" s="239"/>
      <c r="D1433" s="222"/>
      <c r="E1433" s="58"/>
      <c r="F1433" s="59"/>
      <c r="G1433" s="58"/>
      <c r="H1433" s="59"/>
      <c r="I1433" s="58"/>
      <c r="J1433" s="58"/>
      <c r="K1433" s="58"/>
      <c r="L1433" s="247"/>
      <c r="M1433" s="58"/>
      <c r="N1433" s="58"/>
      <c r="O1433" s="58"/>
      <c r="P1433" s="58"/>
      <c r="Q1433" s="58"/>
      <c r="R1433" s="58"/>
      <c r="S1433" s="58"/>
    </row>
    <row r="1434" spans="3:19" s="235" customFormat="1" ht="12.75">
      <c r="C1434" s="239"/>
      <c r="D1434" s="222"/>
      <c r="E1434" s="58"/>
      <c r="F1434" s="59"/>
      <c r="G1434" s="58"/>
      <c r="H1434" s="59"/>
      <c r="I1434" s="58"/>
      <c r="J1434" s="58"/>
      <c r="K1434" s="58"/>
      <c r="L1434" s="247"/>
      <c r="M1434" s="58"/>
      <c r="N1434" s="58"/>
      <c r="O1434" s="58"/>
      <c r="P1434" s="58"/>
      <c r="Q1434" s="58"/>
      <c r="R1434" s="58"/>
      <c r="S1434" s="58"/>
    </row>
    <row r="1435" spans="3:19" s="235" customFormat="1" ht="12.75">
      <c r="C1435" s="239"/>
      <c r="D1435" s="222"/>
      <c r="E1435" s="58"/>
      <c r="F1435" s="59"/>
      <c r="G1435" s="58"/>
      <c r="H1435" s="59"/>
      <c r="I1435" s="58"/>
      <c r="J1435" s="58"/>
      <c r="K1435" s="58"/>
      <c r="L1435" s="247"/>
      <c r="M1435" s="58"/>
      <c r="N1435" s="58"/>
      <c r="O1435" s="58"/>
      <c r="P1435" s="58"/>
      <c r="Q1435" s="58"/>
      <c r="R1435" s="58"/>
      <c r="S1435" s="58"/>
    </row>
    <row r="1436" spans="3:19" s="235" customFormat="1" ht="12.75">
      <c r="C1436" s="239"/>
      <c r="D1436" s="222"/>
      <c r="E1436" s="58"/>
      <c r="F1436" s="59"/>
      <c r="G1436" s="58"/>
      <c r="H1436" s="59"/>
      <c r="I1436" s="58"/>
      <c r="J1436" s="58"/>
      <c r="K1436" s="58"/>
      <c r="L1436" s="247"/>
      <c r="M1436" s="58"/>
      <c r="N1436" s="58"/>
      <c r="O1436" s="58"/>
      <c r="P1436" s="58"/>
      <c r="Q1436" s="58"/>
      <c r="R1436" s="58"/>
      <c r="S1436" s="58"/>
    </row>
    <row r="1437" spans="3:19" s="235" customFormat="1" ht="12.75">
      <c r="C1437" s="239"/>
      <c r="D1437" s="222"/>
      <c r="E1437" s="58"/>
      <c r="F1437" s="59"/>
      <c r="G1437" s="58"/>
      <c r="H1437" s="59"/>
      <c r="I1437" s="58"/>
      <c r="J1437" s="58"/>
      <c r="K1437" s="58"/>
      <c r="L1437" s="247"/>
      <c r="M1437" s="58"/>
      <c r="N1437" s="58"/>
      <c r="O1437" s="58"/>
      <c r="P1437" s="58"/>
      <c r="Q1437" s="58"/>
      <c r="R1437" s="58"/>
      <c r="S1437" s="58"/>
    </row>
    <row r="1438" spans="3:19" s="235" customFormat="1" ht="12.75">
      <c r="C1438" s="239"/>
      <c r="D1438" s="222"/>
      <c r="E1438" s="58"/>
      <c r="F1438" s="59"/>
      <c r="G1438" s="58"/>
      <c r="H1438" s="59"/>
      <c r="I1438" s="58"/>
      <c r="J1438" s="58"/>
      <c r="K1438" s="58"/>
      <c r="L1438" s="247"/>
      <c r="M1438" s="58"/>
      <c r="N1438" s="58"/>
      <c r="O1438" s="58"/>
      <c r="P1438" s="58"/>
      <c r="Q1438" s="58"/>
      <c r="R1438" s="58"/>
      <c r="S1438" s="58"/>
    </row>
    <row r="1439" spans="3:19" s="235" customFormat="1" ht="12.75">
      <c r="C1439" s="239"/>
      <c r="D1439" s="222"/>
      <c r="E1439" s="58"/>
      <c r="F1439" s="59"/>
      <c r="G1439" s="58"/>
      <c r="H1439" s="59"/>
      <c r="I1439" s="58"/>
      <c r="J1439" s="58"/>
      <c r="K1439" s="58"/>
      <c r="L1439" s="247"/>
      <c r="M1439" s="58"/>
      <c r="N1439" s="58"/>
      <c r="O1439" s="58"/>
      <c r="P1439" s="58"/>
      <c r="Q1439" s="58"/>
      <c r="R1439" s="58"/>
      <c r="S1439" s="58"/>
    </row>
    <row r="1440" spans="3:19" s="235" customFormat="1" ht="12.75">
      <c r="C1440" s="239"/>
      <c r="D1440" s="222"/>
      <c r="E1440" s="58"/>
      <c r="F1440" s="59"/>
      <c r="G1440" s="58"/>
      <c r="H1440" s="59"/>
      <c r="I1440" s="58"/>
      <c r="J1440" s="58"/>
      <c r="K1440" s="58"/>
      <c r="L1440" s="247"/>
      <c r="M1440" s="58"/>
      <c r="N1440" s="58"/>
      <c r="O1440" s="58"/>
      <c r="P1440" s="58"/>
      <c r="Q1440" s="58"/>
      <c r="R1440" s="58"/>
      <c r="S1440" s="58"/>
    </row>
    <row r="1441" spans="3:19" s="235" customFormat="1" ht="12.75">
      <c r="C1441" s="239"/>
      <c r="D1441" s="222"/>
      <c r="E1441" s="58"/>
      <c r="F1441" s="59"/>
      <c r="G1441" s="58"/>
      <c r="H1441" s="59"/>
      <c r="I1441" s="58"/>
      <c r="J1441" s="58"/>
      <c r="K1441" s="58"/>
      <c r="L1441" s="247"/>
      <c r="M1441" s="58"/>
      <c r="N1441" s="58"/>
      <c r="O1441" s="58"/>
      <c r="P1441" s="58"/>
      <c r="Q1441" s="58"/>
      <c r="R1441" s="58"/>
      <c r="S1441" s="58"/>
    </row>
    <row r="1442" spans="3:19" s="235" customFormat="1" ht="12.75">
      <c r="C1442" s="239"/>
      <c r="D1442" s="222"/>
      <c r="E1442" s="58"/>
      <c r="F1442" s="59"/>
      <c r="G1442" s="58"/>
      <c r="H1442" s="59"/>
      <c r="I1442" s="58"/>
      <c r="J1442" s="58"/>
      <c r="K1442" s="58"/>
      <c r="L1442" s="247"/>
      <c r="M1442" s="58"/>
      <c r="N1442" s="58"/>
      <c r="O1442" s="58"/>
      <c r="P1442" s="58"/>
      <c r="Q1442" s="58"/>
      <c r="R1442" s="58"/>
      <c r="S1442" s="58"/>
    </row>
    <row r="1443" spans="3:19" s="235" customFormat="1" ht="12.75">
      <c r="C1443" s="239"/>
      <c r="D1443" s="222"/>
      <c r="E1443" s="58"/>
      <c r="F1443" s="59"/>
      <c r="G1443" s="58"/>
      <c r="H1443" s="59"/>
      <c r="I1443" s="58"/>
      <c r="J1443" s="58"/>
      <c r="K1443" s="58"/>
      <c r="L1443" s="247"/>
      <c r="M1443" s="58"/>
      <c r="N1443" s="58"/>
      <c r="O1443" s="58"/>
      <c r="P1443" s="58"/>
      <c r="Q1443" s="58"/>
      <c r="R1443" s="58"/>
      <c r="S1443" s="58"/>
    </row>
    <row r="1444" spans="3:19" s="235" customFormat="1" ht="12.75">
      <c r="C1444" s="239"/>
      <c r="D1444" s="222"/>
      <c r="E1444" s="58"/>
      <c r="F1444" s="59"/>
      <c r="G1444" s="58"/>
      <c r="H1444" s="59"/>
      <c r="I1444" s="58"/>
      <c r="J1444" s="58"/>
      <c r="K1444" s="58"/>
      <c r="L1444" s="247"/>
      <c r="M1444" s="58"/>
      <c r="N1444" s="58"/>
      <c r="O1444" s="58"/>
      <c r="P1444" s="58"/>
      <c r="Q1444" s="58"/>
      <c r="R1444" s="58"/>
      <c r="S1444" s="58"/>
    </row>
    <row r="1445" spans="3:19" s="235" customFormat="1" ht="12.75">
      <c r="C1445" s="239"/>
      <c r="D1445" s="222"/>
      <c r="E1445" s="58"/>
      <c r="F1445" s="59"/>
      <c r="G1445" s="58"/>
      <c r="H1445" s="59"/>
      <c r="I1445" s="58"/>
      <c r="J1445" s="58"/>
      <c r="K1445" s="58"/>
      <c r="L1445" s="247"/>
      <c r="M1445" s="58"/>
      <c r="N1445" s="58"/>
      <c r="O1445" s="58"/>
      <c r="P1445" s="58"/>
      <c r="Q1445" s="58"/>
      <c r="R1445" s="58"/>
      <c r="S1445" s="58"/>
    </row>
    <row r="1446" spans="3:19" s="235" customFormat="1" ht="12.75">
      <c r="C1446" s="239"/>
      <c r="D1446" s="222"/>
      <c r="E1446" s="58"/>
      <c r="F1446" s="59"/>
      <c r="G1446" s="58"/>
      <c r="H1446" s="59"/>
      <c r="I1446" s="58"/>
      <c r="J1446" s="58"/>
      <c r="K1446" s="58"/>
      <c r="L1446" s="247"/>
      <c r="M1446" s="58"/>
      <c r="N1446" s="58"/>
      <c r="O1446" s="58"/>
      <c r="P1446" s="58"/>
      <c r="Q1446" s="58"/>
      <c r="R1446" s="58"/>
      <c r="S1446" s="58"/>
    </row>
    <row r="1447" spans="3:19" s="235" customFormat="1" ht="12.75">
      <c r="C1447" s="239"/>
      <c r="D1447" s="222"/>
      <c r="E1447" s="58"/>
      <c r="F1447" s="59"/>
      <c r="G1447" s="58"/>
      <c r="H1447" s="59"/>
      <c r="I1447" s="58"/>
      <c r="J1447" s="58"/>
      <c r="K1447" s="58"/>
      <c r="L1447" s="247"/>
      <c r="M1447" s="58"/>
      <c r="N1447" s="58"/>
      <c r="O1447" s="58"/>
      <c r="P1447" s="58"/>
      <c r="Q1447" s="58"/>
      <c r="R1447" s="58"/>
      <c r="S1447" s="58"/>
    </row>
    <row r="1448" spans="3:19" s="235" customFormat="1" ht="12.75">
      <c r="C1448" s="239"/>
      <c r="D1448" s="222"/>
      <c r="E1448" s="58"/>
      <c r="F1448" s="59"/>
      <c r="G1448" s="58"/>
      <c r="H1448" s="59"/>
      <c r="I1448" s="58"/>
      <c r="J1448" s="58"/>
      <c r="K1448" s="58"/>
      <c r="L1448" s="247"/>
      <c r="M1448" s="58"/>
      <c r="N1448" s="58"/>
      <c r="O1448" s="58"/>
      <c r="P1448" s="58"/>
      <c r="Q1448" s="58"/>
      <c r="R1448" s="58"/>
      <c r="S1448" s="58"/>
    </row>
    <row r="1449" spans="3:19" s="235" customFormat="1" ht="12.75">
      <c r="C1449" s="239"/>
      <c r="D1449" s="222"/>
      <c r="E1449" s="58"/>
      <c r="F1449" s="59"/>
      <c r="G1449" s="58"/>
      <c r="H1449" s="59"/>
      <c r="I1449" s="58"/>
      <c r="J1449" s="58"/>
      <c r="K1449" s="58"/>
      <c r="L1449" s="247"/>
      <c r="M1449" s="58"/>
      <c r="N1449" s="58"/>
      <c r="O1449" s="58"/>
      <c r="P1449" s="58"/>
      <c r="Q1449" s="58"/>
      <c r="R1449" s="58"/>
      <c r="S1449" s="58"/>
    </row>
    <row r="1450" spans="3:19" s="235" customFormat="1" ht="12.75">
      <c r="C1450" s="239"/>
      <c r="D1450" s="222"/>
      <c r="E1450" s="58"/>
      <c r="F1450" s="59"/>
      <c r="G1450" s="58"/>
      <c r="H1450" s="59"/>
      <c r="I1450" s="58"/>
      <c r="J1450" s="58"/>
      <c r="K1450" s="58"/>
      <c r="L1450" s="247"/>
      <c r="M1450" s="58"/>
      <c r="N1450" s="58"/>
      <c r="O1450" s="58"/>
      <c r="P1450" s="58"/>
      <c r="Q1450" s="58"/>
      <c r="R1450" s="58"/>
      <c r="S1450" s="58"/>
    </row>
    <row r="1451" spans="3:19" s="235" customFormat="1" ht="12.75">
      <c r="C1451" s="239"/>
      <c r="D1451" s="222"/>
      <c r="E1451" s="58"/>
      <c r="F1451" s="59"/>
      <c r="G1451" s="58"/>
      <c r="H1451" s="59"/>
      <c r="I1451" s="58"/>
      <c r="J1451" s="58"/>
      <c r="K1451" s="58"/>
      <c r="L1451" s="247"/>
      <c r="M1451" s="58"/>
      <c r="N1451" s="58"/>
      <c r="O1451" s="58"/>
      <c r="P1451" s="58"/>
      <c r="Q1451" s="58"/>
      <c r="R1451" s="58"/>
      <c r="S1451" s="58"/>
    </row>
    <row r="1452" spans="3:19" s="235" customFormat="1" ht="12.75">
      <c r="C1452" s="239"/>
      <c r="D1452" s="222"/>
      <c r="E1452" s="58"/>
      <c r="F1452" s="59"/>
      <c r="G1452" s="58"/>
      <c r="H1452" s="59"/>
      <c r="I1452" s="58"/>
      <c r="J1452" s="58"/>
      <c r="K1452" s="58"/>
      <c r="L1452" s="247"/>
      <c r="M1452" s="58"/>
      <c r="N1452" s="58"/>
      <c r="O1452" s="58"/>
      <c r="P1452" s="58"/>
      <c r="Q1452" s="58"/>
      <c r="R1452" s="58"/>
      <c r="S1452" s="58"/>
    </row>
    <row r="1453" spans="3:19" s="235" customFormat="1" ht="12.75">
      <c r="C1453" s="239"/>
      <c r="D1453" s="222"/>
      <c r="E1453" s="58"/>
      <c r="F1453" s="59"/>
      <c r="G1453" s="58"/>
      <c r="H1453" s="59"/>
      <c r="I1453" s="58"/>
      <c r="J1453" s="58"/>
      <c r="K1453" s="58"/>
      <c r="L1453" s="247"/>
      <c r="M1453" s="58"/>
      <c r="N1453" s="58"/>
      <c r="O1453" s="58"/>
      <c r="P1453" s="58"/>
      <c r="Q1453" s="58"/>
      <c r="R1453" s="58"/>
      <c r="S1453" s="58"/>
    </row>
    <row r="1454" spans="3:19" s="235" customFormat="1" ht="12.75">
      <c r="C1454" s="239"/>
      <c r="D1454" s="222"/>
      <c r="E1454" s="58"/>
      <c r="F1454" s="59"/>
      <c r="G1454" s="58"/>
      <c r="H1454" s="59"/>
      <c r="I1454" s="58"/>
      <c r="J1454" s="58"/>
      <c r="K1454" s="58"/>
      <c r="L1454" s="247"/>
      <c r="M1454" s="58"/>
      <c r="N1454" s="58"/>
      <c r="O1454" s="58"/>
      <c r="P1454" s="58"/>
      <c r="Q1454" s="58"/>
      <c r="R1454" s="58"/>
      <c r="S1454" s="58"/>
    </row>
    <row r="1455" spans="3:19" s="235" customFormat="1" ht="12.75">
      <c r="C1455" s="239"/>
      <c r="D1455" s="222"/>
      <c r="E1455" s="58"/>
      <c r="F1455" s="59"/>
      <c r="G1455" s="58"/>
      <c r="H1455" s="59"/>
      <c r="I1455" s="58"/>
      <c r="J1455" s="58"/>
      <c r="K1455" s="58"/>
      <c r="L1455" s="247"/>
      <c r="M1455" s="58"/>
      <c r="N1455" s="58"/>
      <c r="O1455" s="58"/>
      <c r="P1455" s="58"/>
      <c r="Q1455" s="58"/>
      <c r="R1455" s="58"/>
      <c r="S1455" s="58"/>
    </row>
    <row r="1456" spans="3:19" s="235" customFormat="1" ht="12.75">
      <c r="C1456" s="239"/>
      <c r="D1456" s="222"/>
      <c r="E1456" s="58"/>
      <c r="F1456" s="59"/>
      <c r="G1456" s="58"/>
      <c r="H1456" s="59"/>
      <c r="I1456" s="58"/>
      <c r="J1456" s="58"/>
      <c r="K1456" s="58"/>
      <c r="L1456" s="247"/>
      <c r="M1456" s="58"/>
      <c r="N1456" s="58"/>
      <c r="O1456" s="58"/>
      <c r="P1456" s="58"/>
      <c r="Q1456" s="58"/>
      <c r="R1456" s="58"/>
      <c r="S1456" s="58"/>
    </row>
    <row r="1457" spans="3:19" s="235" customFormat="1" ht="12.75">
      <c r="C1457" s="239"/>
      <c r="D1457" s="222"/>
      <c r="E1457" s="58"/>
      <c r="F1457" s="59"/>
      <c r="G1457" s="58"/>
      <c r="H1457" s="59"/>
      <c r="I1457" s="58"/>
      <c r="J1457" s="58"/>
      <c r="K1457" s="58"/>
      <c r="L1457" s="247"/>
      <c r="M1457" s="58"/>
      <c r="N1457" s="58"/>
      <c r="O1457" s="58"/>
      <c r="P1457" s="58"/>
      <c r="Q1457" s="58"/>
      <c r="R1457" s="58"/>
      <c r="S1457" s="58"/>
    </row>
    <row r="1458" spans="3:19" s="235" customFormat="1" ht="12.75">
      <c r="C1458" s="239"/>
      <c r="D1458" s="222"/>
      <c r="E1458" s="58"/>
      <c r="F1458" s="59"/>
      <c r="G1458" s="58"/>
      <c r="H1458" s="59"/>
      <c r="I1458" s="58"/>
      <c r="J1458" s="58"/>
      <c r="K1458" s="58"/>
      <c r="L1458" s="247"/>
      <c r="M1458" s="58"/>
      <c r="N1458" s="58"/>
      <c r="O1458" s="58"/>
      <c r="P1458" s="58"/>
      <c r="Q1458" s="58"/>
      <c r="R1458" s="58"/>
      <c r="S1458" s="58"/>
    </row>
    <row r="1459" spans="3:19" s="235" customFormat="1" ht="12.75">
      <c r="C1459" s="239"/>
      <c r="D1459" s="222"/>
      <c r="E1459" s="58"/>
      <c r="F1459" s="59"/>
      <c r="G1459" s="58"/>
      <c r="H1459" s="59"/>
      <c r="I1459" s="58"/>
      <c r="J1459" s="58"/>
      <c r="K1459" s="58"/>
      <c r="L1459" s="247"/>
      <c r="M1459" s="58"/>
      <c r="N1459" s="58"/>
      <c r="O1459" s="58"/>
      <c r="P1459" s="58"/>
      <c r="Q1459" s="58"/>
      <c r="R1459" s="58"/>
      <c r="S1459" s="58"/>
    </row>
    <row r="1460" spans="3:19" s="235" customFormat="1" ht="12.75">
      <c r="C1460" s="239"/>
      <c r="D1460" s="222"/>
      <c r="E1460" s="58"/>
      <c r="F1460" s="59"/>
      <c r="G1460" s="58"/>
      <c r="H1460" s="59"/>
      <c r="I1460" s="58"/>
      <c r="J1460" s="58"/>
      <c r="K1460" s="58"/>
      <c r="L1460" s="247"/>
      <c r="M1460" s="58"/>
      <c r="N1460" s="58"/>
      <c r="O1460" s="58"/>
      <c r="P1460" s="58"/>
      <c r="Q1460" s="58"/>
      <c r="R1460" s="58"/>
      <c r="S1460" s="58"/>
    </row>
    <row r="1461" spans="3:19" s="235" customFormat="1" ht="12.75">
      <c r="C1461" s="239"/>
      <c r="D1461" s="222"/>
      <c r="E1461" s="58"/>
      <c r="F1461" s="59"/>
      <c r="G1461" s="58"/>
      <c r="H1461" s="59"/>
      <c r="I1461" s="58"/>
      <c r="J1461" s="58"/>
      <c r="K1461" s="58"/>
      <c r="L1461" s="247"/>
      <c r="M1461" s="58"/>
      <c r="N1461" s="58"/>
      <c r="O1461" s="58"/>
      <c r="P1461" s="58"/>
      <c r="Q1461" s="58"/>
      <c r="R1461" s="58"/>
      <c r="S1461" s="58"/>
    </row>
    <row r="1462" spans="3:19" s="235" customFormat="1" ht="12.75">
      <c r="C1462" s="239"/>
      <c r="D1462" s="222"/>
      <c r="E1462" s="58"/>
      <c r="F1462" s="59"/>
      <c r="G1462" s="58"/>
      <c r="H1462" s="59"/>
      <c r="I1462" s="58"/>
      <c r="J1462" s="58"/>
      <c r="K1462" s="58"/>
      <c r="L1462" s="247"/>
      <c r="M1462" s="58"/>
      <c r="N1462" s="58"/>
      <c r="O1462" s="58"/>
      <c r="P1462" s="58"/>
      <c r="Q1462" s="58"/>
      <c r="R1462" s="58"/>
      <c r="S1462" s="58"/>
    </row>
    <row r="1463" spans="3:19" s="235" customFormat="1" ht="12.75">
      <c r="C1463" s="239"/>
      <c r="D1463" s="222"/>
      <c r="E1463" s="58"/>
      <c r="F1463" s="59"/>
      <c r="G1463" s="58"/>
      <c r="H1463" s="59"/>
      <c r="I1463" s="58"/>
      <c r="J1463" s="58"/>
      <c r="K1463" s="58"/>
      <c r="L1463" s="247"/>
      <c r="M1463" s="58"/>
      <c r="N1463" s="58"/>
      <c r="O1463" s="58"/>
      <c r="P1463" s="58"/>
      <c r="Q1463" s="58"/>
      <c r="R1463" s="58"/>
      <c r="S1463" s="58"/>
    </row>
    <row r="1464" spans="3:19" s="235" customFormat="1" ht="12.75">
      <c r="C1464" s="239"/>
      <c r="D1464" s="222"/>
      <c r="E1464" s="58"/>
      <c r="F1464" s="59"/>
      <c r="G1464" s="58"/>
      <c r="H1464" s="59"/>
      <c r="I1464" s="58"/>
      <c r="J1464" s="58"/>
      <c r="K1464" s="58"/>
      <c r="L1464" s="247"/>
      <c r="M1464" s="58"/>
      <c r="N1464" s="58"/>
      <c r="O1464" s="58"/>
      <c r="P1464" s="58"/>
      <c r="Q1464" s="58"/>
      <c r="R1464" s="58"/>
      <c r="S1464" s="58"/>
    </row>
    <row r="1465" spans="3:19" s="235" customFormat="1" ht="12.75">
      <c r="C1465" s="239"/>
      <c r="D1465" s="222"/>
      <c r="E1465" s="58"/>
      <c r="F1465" s="59"/>
      <c r="G1465" s="58"/>
      <c r="H1465" s="59"/>
      <c r="I1465" s="58"/>
      <c r="J1465" s="58"/>
      <c r="K1465" s="58"/>
      <c r="L1465" s="247"/>
      <c r="M1465" s="58"/>
      <c r="N1465" s="58"/>
      <c r="O1465" s="58"/>
      <c r="P1465" s="58"/>
      <c r="Q1465" s="58"/>
      <c r="R1465" s="58"/>
      <c r="S1465" s="58"/>
    </row>
    <row r="1466" spans="3:19" s="235" customFormat="1" ht="12.75">
      <c r="C1466" s="239"/>
      <c r="D1466" s="222"/>
      <c r="E1466" s="58"/>
      <c r="F1466" s="59"/>
      <c r="G1466" s="58"/>
      <c r="H1466" s="59"/>
      <c r="I1466" s="58"/>
      <c r="J1466" s="58"/>
      <c r="K1466" s="58"/>
      <c r="L1466" s="247"/>
      <c r="M1466" s="58"/>
      <c r="N1466" s="58"/>
      <c r="O1466" s="58"/>
      <c r="P1466" s="58"/>
      <c r="Q1466" s="58"/>
      <c r="R1466" s="58"/>
      <c r="S1466" s="58"/>
    </row>
    <row r="1467" spans="3:19" s="235" customFormat="1" ht="12.75">
      <c r="C1467" s="239"/>
      <c r="D1467" s="222"/>
      <c r="E1467" s="58"/>
      <c r="F1467" s="59"/>
      <c r="G1467" s="58"/>
      <c r="H1467" s="59"/>
      <c r="I1467" s="58"/>
      <c r="J1467" s="58"/>
      <c r="K1467" s="58"/>
      <c r="L1467" s="247"/>
      <c r="M1467" s="58"/>
      <c r="N1467" s="58"/>
      <c r="O1467" s="58"/>
      <c r="P1467" s="58"/>
      <c r="Q1467" s="58"/>
      <c r="R1467" s="58"/>
      <c r="S1467" s="58"/>
    </row>
    <row r="1468" spans="3:19" s="235" customFormat="1" ht="12.75">
      <c r="C1468" s="239"/>
      <c r="D1468" s="222"/>
      <c r="E1468" s="58"/>
      <c r="F1468" s="59"/>
      <c r="G1468" s="58"/>
      <c r="H1468" s="59"/>
      <c r="I1468" s="58"/>
      <c r="J1468" s="58"/>
      <c r="K1468" s="58"/>
      <c r="L1468" s="247"/>
      <c r="M1468" s="58"/>
      <c r="N1468" s="58"/>
      <c r="O1468" s="58"/>
      <c r="P1468" s="58"/>
      <c r="Q1468" s="58"/>
      <c r="R1468" s="58"/>
      <c r="S1468" s="58"/>
    </row>
    <row r="1469" spans="3:19" s="235" customFormat="1" ht="12.75">
      <c r="C1469" s="239"/>
      <c r="D1469" s="222"/>
      <c r="E1469" s="58"/>
      <c r="F1469" s="59"/>
      <c r="G1469" s="58"/>
      <c r="H1469" s="59"/>
      <c r="I1469" s="58"/>
      <c r="J1469" s="58"/>
      <c r="K1469" s="58"/>
      <c r="L1469" s="247"/>
      <c r="M1469" s="58"/>
      <c r="N1469" s="58"/>
      <c r="O1469" s="58"/>
      <c r="P1469" s="58"/>
      <c r="Q1469" s="58"/>
      <c r="R1469" s="58"/>
      <c r="S1469" s="58"/>
    </row>
    <row r="1470" spans="3:19" s="235" customFormat="1" ht="12.75">
      <c r="C1470" s="239"/>
      <c r="D1470" s="222"/>
      <c r="E1470" s="58"/>
      <c r="F1470" s="59"/>
      <c r="G1470" s="58"/>
      <c r="H1470" s="59"/>
      <c r="I1470" s="58"/>
      <c r="J1470" s="58"/>
      <c r="K1470" s="58"/>
      <c r="L1470" s="247"/>
      <c r="M1470" s="58"/>
      <c r="N1470" s="58"/>
      <c r="O1470" s="58"/>
      <c r="P1470" s="58"/>
      <c r="Q1470" s="58"/>
      <c r="R1470" s="58"/>
      <c r="S1470" s="58"/>
    </row>
    <row r="1471" spans="3:19" s="235" customFormat="1" ht="12.75">
      <c r="C1471" s="239"/>
      <c r="D1471" s="222"/>
      <c r="E1471" s="58"/>
      <c r="F1471" s="59"/>
      <c r="G1471" s="58"/>
      <c r="H1471" s="59"/>
      <c r="I1471" s="58"/>
      <c r="J1471" s="58"/>
      <c r="K1471" s="58"/>
      <c r="L1471" s="247"/>
      <c r="M1471" s="58"/>
      <c r="N1471" s="58"/>
      <c r="O1471" s="58"/>
      <c r="P1471" s="58"/>
      <c r="Q1471" s="58"/>
      <c r="R1471" s="58"/>
      <c r="S1471" s="58"/>
    </row>
    <row r="1472" spans="3:19" s="235" customFormat="1" ht="12.75">
      <c r="C1472" s="239"/>
      <c r="D1472" s="222"/>
      <c r="E1472" s="58"/>
      <c r="F1472" s="59"/>
      <c r="G1472" s="58"/>
      <c r="H1472" s="59"/>
      <c r="I1472" s="58"/>
      <c r="J1472" s="58"/>
      <c r="K1472" s="58"/>
      <c r="L1472" s="247"/>
      <c r="M1472" s="58"/>
      <c r="N1472" s="58"/>
      <c r="O1472" s="58"/>
      <c r="P1472" s="58"/>
      <c r="Q1472" s="58"/>
      <c r="R1472" s="58"/>
      <c r="S1472" s="58"/>
    </row>
    <row r="1473" spans="3:19" s="235" customFormat="1" ht="12.75">
      <c r="C1473" s="239"/>
      <c r="D1473" s="222"/>
      <c r="E1473" s="58"/>
      <c r="F1473" s="59"/>
      <c r="G1473" s="58"/>
      <c r="H1473" s="59"/>
      <c r="I1473" s="58"/>
      <c r="J1473" s="58"/>
      <c r="K1473" s="58"/>
      <c r="L1473" s="247"/>
      <c r="M1473" s="58"/>
      <c r="N1473" s="58"/>
      <c r="O1473" s="58"/>
      <c r="P1473" s="58"/>
      <c r="Q1473" s="58"/>
      <c r="R1473" s="58"/>
      <c r="S1473" s="58"/>
    </row>
    <row r="1474" spans="3:19" s="235" customFormat="1" ht="12.75">
      <c r="C1474" s="239"/>
      <c r="D1474" s="222"/>
      <c r="E1474" s="58"/>
      <c r="F1474" s="59"/>
      <c r="G1474" s="58"/>
      <c r="H1474" s="59"/>
      <c r="I1474" s="58"/>
      <c r="J1474" s="58"/>
      <c r="K1474" s="58"/>
      <c r="L1474" s="247"/>
      <c r="M1474" s="58"/>
      <c r="N1474" s="58"/>
      <c r="O1474" s="58"/>
      <c r="P1474" s="58"/>
      <c r="Q1474" s="58"/>
      <c r="R1474" s="58"/>
      <c r="S1474" s="58"/>
    </row>
    <row r="1475" spans="3:19" s="235" customFormat="1" ht="12.75">
      <c r="C1475" s="239"/>
      <c r="D1475" s="222"/>
      <c r="E1475" s="58"/>
      <c r="F1475" s="59"/>
      <c r="G1475" s="58"/>
      <c r="H1475" s="59"/>
      <c r="I1475" s="58"/>
      <c r="J1475" s="58"/>
      <c r="K1475" s="58"/>
      <c r="L1475" s="247"/>
      <c r="M1475" s="58"/>
      <c r="N1475" s="58"/>
      <c r="O1475" s="58"/>
      <c r="P1475" s="58"/>
      <c r="Q1475" s="58"/>
      <c r="R1475" s="58"/>
      <c r="S1475" s="58"/>
    </row>
    <row r="1476" spans="3:19" s="235" customFormat="1" ht="12.75">
      <c r="C1476" s="239"/>
      <c r="D1476" s="222"/>
      <c r="E1476" s="58"/>
      <c r="F1476" s="59"/>
      <c r="G1476" s="58"/>
      <c r="H1476" s="59"/>
      <c r="I1476" s="58"/>
      <c r="J1476" s="58"/>
      <c r="K1476" s="58"/>
      <c r="L1476" s="247"/>
      <c r="M1476" s="58"/>
      <c r="N1476" s="58"/>
      <c r="O1476" s="58"/>
      <c r="P1476" s="58"/>
      <c r="Q1476" s="58"/>
      <c r="R1476" s="58"/>
      <c r="S1476" s="58"/>
    </row>
    <row r="1477" spans="3:19" s="235" customFormat="1" ht="12.75">
      <c r="C1477" s="239"/>
      <c r="D1477" s="222"/>
      <c r="E1477" s="58"/>
      <c r="F1477" s="59"/>
      <c r="G1477" s="58"/>
      <c r="H1477" s="59"/>
      <c r="I1477" s="58"/>
      <c r="J1477" s="58"/>
      <c r="K1477" s="58"/>
      <c r="L1477" s="247"/>
      <c r="M1477" s="58"/>
      <c r="N1477" s="58"/>
      <c r="O1477" s="58"/>
      <c r="P1477" s="58"/>
      <c r="Q1477" s="58"/>
      <c r="R1477" s="58"/>
      <c r="S1477" s="58"/>
    </row>
    <row r="1478" spans="3:19" s="235" customFormat="1" ht="12.75">
      <c r="C1478" s="239"/>
      <c r="D1478" s="222"/>
      <c r="E1478" s="58"/>
      <c r="F1478" s="59"/>
      <c r="G1478" s="58"/>
      <c r="H1478" s="59"/>
      <c r="I1478" s="58"/>
      <c r="J1478" s="58"/>
      <c r="K1478" s="58"/>
      <c r="L1478" s="247"/>
      <c r="M1478" s="58"/>
      <c r="N1478" s="58"/>
      <c r="O1478" s="58"/>
      <c r="P1478" s="58"/>
      <c r="Q1478" s="58"/>
      <c r="R1478" s="58"/>
      <c r="S1478" s="58"/>
    </row>
    <row r="1479" spans="3:19" s="235" customFormat="1" ht="12.75">
      <c r="C1479" s="239"/>
      <c r="D1479" s="222"/>
      <c r="E1479" s="58"/>
      <c r="F1479" s="59"/>
      <c r="G1479" s="58"/>
      <c r="H1479" s="59"/>
      <c r="I1479" s="58"/>
      <c r="J1479" s="58"/>
      <c r="K1479" s="58"/>
      <c r="L1479" s="247"/>
      <c r="M1479" s="58"/>
      <c r="N1479" s="58"/>
      <c r="O1479" s="58"/>
      <c r="P1479" s="58"/>
      <c r="Q1479" s="58"/>
      <c r="R1479" s="58"/>
      <c r="S1479" s="58"/>
    </row>
    <row r="1480" spans="3:19" s="235" customFormat="1" ht="12.75">
      <c r="C1480" s="239"/>
      <c r="D1480" s="222"/>
      <c r="E1480" s="58"/>
      <c r="F1480" s="59"/>
      <c r="G1480" s="58"/>
      <c r="H1480" s="59"/>
      <c r="I1480" s="58"/>
      <c r="J1480" s="58"/>
      <c r="K1480" s="58"/>
      <c r="L1480" s="247"/>
      <c r="M1480" s="58"/>
      <c r="N1480" s="58"/>
      <c r="O1480" s="58"/>
      <c r="P1480" s="58"/>
      <c r="Q1480" s="58"/>
      <c r="R1480" s="58"/>
      <c r="S1480" s="58"/>
    </row>
    <row r="1481" spans="3:19" s="235" customFormat="1" ht="12.75">
      <c r="C1481" s="239"/>
      <c r="D1481" s="222"/>
      <c r="E1481" s="58"/>
      <c r="F1481" s="59"/>
      <c r="G1481" s="58"/>
      <c r="H1481" s="59"/>
      <c r="I1481" s="58"/>
      <c r="J1481" s="58"/>
      <c r="K1481" s="58"/>
      <c r="L1481" s="247"/>
      <c r="M1481" s="58"/>
      <c r="N1481" s="58"/>
      <c r="O1481" s="58"/>
      <c r="P1481" s="58"/>
      <c r="Q1481" s="58"/>
      <c r="R1481" s="58"/>
      <c r="S1481" s="58"/>
    </row>
    <row r="1482" spans="3:19" s="235" customFormat="1" ht="12.75">
      <c r="C1482" s="239"/>
      <c r="D1482" s="222"/>
      <c r="E1482" s="58"/>
      <c r="F1482" s="59"/>
      <c r="G1482" s="58"/>
      <c r="H1482" s="59"/>
      <c r="I1482" s="58"/>
      <c r="J1482" s="58"/>
      <c r="K1482" s="58"/>
      <c r="L1482" s="247"/>
      <c r="M1482" s="58"/>
      <c r="N1482" s="58"/>
      <c r="O1482" s="58"/>
      <c r="P1482" s="58"/>
      <c r="Q1482" s="58"/>
      <c r="R1482" s="58"/>
      <c r="S1482" s="58"/>
    </row>
    <row r="1483" spans="3:19" s="235" customFormat="1" ht="12.75">
      <c r="C1483" s="239"/>
      <c r="D1483" s="222"/>
      <c r="E1483" s="58"/>
      <c r="F1483" s="59"/>
      <c r="G1483" s="58"/>
      <c r="H1483" s="59"/>
      <c r="I1483" s="58"/>
      <c r="J1483" s="58"/>
      <c r="K1483" s="58"/>
      <c r="L1483" s="247"/>
      <c r="M1483" s="58"/>
      <c r="N1483" s="58"/>
      <c r="O1483" s="58"/>
      <c r="P1483" s="58"/>
      <c r="Q1483" s="58"/>
      <c r="R1483" s="58"/>
      <c r="S1483" s="58"/>
    </row>
    <row r="1484" spans="3:19" s="235" customFormat="1" ht="12.75">
      <c r="C1484" s="239"/>
      <c r="D1484" s="222"/>
      <c r="E1484" s="58"/>
      <c r="F1484" s="59"/>
      <c r="G1484" s="58"/>
      <c r="H1484" s="59"/>
      <c r="I1484" s="58"/>
      <c r="J1484" s="58"/>
      <c r="K1484" s="58"/>
      <c r="L1484" s="247"/>
      <c r="M1484" s="58"/>
      <c r="N1484" s="58"/>
      <c r="O1484" s="58"/>
      <c r="P1484" s="58"/>
      <c r="Q1484" s="58"/>
      <c r="R1484" s="58"/>
      <c r="S1484" s="58"/>
    </row>
    <row r="1485" spans="3:19" s="235" customFormat="1" ht="12.75">
      <c r="C1485" s="239"/>
      <c r="D1485" s="222"/>
      <c r="E1485" s="58"/>
      <c r="F1485" s="59"/>
      <c r="G1485" s="58"/>
      <c r="H1485" s="59"/>
      <c r="I1485" s="58"/>
      <c r="J1485" s="58"/>
      <c r="K1485" s="58"/>
      <c r="L1485" s="247"/>
      <c r="M1485" s="58"/>
      <c r="N1485" s="58"/>
      <c r="O1485" s="58"/>
      <c r="P1485" s="58"/>
      <c r="Q1485" s="58"/>
      <c r="R1485" s="58"/>
      <c r="S1485" s="58"/>
    </row>
    <row r="1486" spans="3:19" s="235" customFormat="1" ht="12.75">
      <c r="C1486" s="239"/>
      <c r="D1486" s="222"/>
      <c r="E1486" s="58"/>
      <c r="F1486" s="59"/>
      <c r="G1486" s="58"/>
      <c r="H1486" s="59"/>
      <c r="I1486" s="58"/>
      <c r="J1486" s="58"/>
      <c r="K1486" s="58"/>
      <c r="L1486" s="247"/>
      <c r="M1486" s="58"/>
      <c r="N1486" s="58"/>
      <c r="O1486" s="58"/>
      <c r="P1486" s="58"/>
      <c r="Q1486" s="58"/>
      <c r="R1486" s="58"/>
      <c r="S1486" s="58"/>
    </row>
    <row r="1487" spans="3:19" s="235" customFormat="1" ht="12.75">
      <c r="C1487" s="239"/>
      <c r="D1487" s="222"/>
      <c r="E1487" s="58"/>
      <c r="F1487" s="59"/>
      <c r="G1487" s="58"/>
      <c r="H1487" s="59"/>
      <c r="I1487" s="58"/>
      <c r="J1487" s="58"/>
      <c r="K1487" s="58"/>
      <c r="L1487" s="247"/>
      <c r="M1487" s="58"/>
      <c r="N1487" s="58"/>
      <c r="O1487" s="58"/>
      <c r="P1487" s="58"/>
      <c r="Q1487" s="58"/>
      <c r="R1487" s="58"/>
      <c r="S1487" s="58"/>
    </row>
    <row r="1488" spans="3:19" s="235" customFormat="1" ht="12.75">
      <c r="C1488" s="239"/>
      <c r="D1488" s="222"/>
      <c r="E1488" s="58"/>
      <c r="F1488" s="59"/>
      <c r="G1488" s="58"/>
      <c r="H1488" s="59"/>
      <c r="I1488" s="58"/>
      <c r="J1488" s="58"/>
      <c r="K1488" s="58"/>
      <c r="L1488" s="247"/>
      <c r="M1488" s="58"/>
      <c r="N1488" s="58"/>
      <c r="O1488" s="58"/>
      <c r="P1488" s="58"/>
      <c r="Q1488" s="58"/>
      <c r="R1488" s="58"/>
      <c r="S1488" s="58"/>
    </row>
    <row r="1489" spans="3:19" s="235" customFormat="1" ht="12.75">
      <c r="C1489" s="239"/>
      <c r="D1489" s="222"/>
      <c r="E1489" s="58"/>
      <c r="F1489" s="59"/>
      <c r="G1489" s="58"/>
      <c r="H1489" s="59"/>
      <c r="I1489" s="58"/>
      <c r="J1489" s="58"/>
      <c r="K1489" s="58"/>
      <c r="L1489" s="247"/>
      <c r="M1489" s="58"/>
      <c r="N1489" s="58"/>
      <c r="O1489" s="58"/>
      <c r="P1489" s="58"/>
      <c r="Q1489" s="58"/>
      <c r="R1489" s="58"/>
      <c r="S1489" s="58"/>
    </row>
    <row r="1490" spans="3:19" s="235" customFormat="1" ht="12.75">
      <c r="C1490" s="239"/>
      <c r="D1490" s="222"/>
      <c r="E1490" s="58"/>
      <c r="F1490" s="59"/>
      <c r="G1490" s="58"/>
      <c r="H1490" s="59"/>
      <c r="I1490" s="58"/>
      <c r="J1490" s="58"/>
      <c r="K1490" s="58"/>
      <c r="L1490" s="247"/>
      <c r="M1490" s="58"/>
      <c r="N1490" s="58"/>
      <c r="O1490" s="58"/>
      <c r="P1490" s="58"/>
      <c r="Q1490" s="58"/>
      <c r="R1490" s="58"/>
      <c r="S1490" s="58"/>
    </row>
    <row r="1491" spans="3:19" s="235" customFormat="1" ht="12.75">
      <c r="C1491" s="239"/>
      <c r="D1491" s="222"/>
      <c r="E1491" s="58"/>
      <c r="F1491" s="59"/>
      <c r="G1491" s="58"/>
      <c r="H1491" s="59"/>
      <c r="I1491" s="58"/>
      <c r="J1491" s="58"/>
      <c r="K1491" s="58"/>
      <c r="L1491" s="247"/>
      <c r="M1491" s="58"/>
      <c r="N1491" s="58"/>
      <c r="O1491" s="58"/>
      <c r="P1491" s="58"/>
      <c r="Q1491" s="58"/>
      <c r="R1491" s="58"/>
      <c r="S1491" s="58"/>
    </row>
    <row r="1492" spans="3:19" s="235" customFormat="1" ht="12.75">
      <c r="C1492" s="239"/>
      <c r="D1492" s="222"/>
      <c r="E1492" s="58"/>
      <c r="F1492" s="59"/>
      <c r="G1492" s="58"/>
      <c r="H1492" s="59"/>
      <c r="I1492" s="58"/>
      <c r="J1492" s="58"/>
      <c r="K1492" s="58"/>
      <c r="L1492" s="247"/>
      <c r="M1492" s="58"/>
      <c r="N1492" s="58"/>
      <c r="O1492" s="58"/>
      <c r="P1492" s="58"/>
      <c r="Q1492" s="58"/>
      <c r="R1492" s="58"/>
      <c r="S1492" s="58"/>
    </row>
    <row r="1493" spans="3:19" s="235" customFormat="1" ht="12.75">
      <c r="C1493" s="239"/>
      <c r="D1493" s="222"/>
      <c r="E1493" s="58"/>
      <c r="F1493" s="59"/>
      <c r="G1493" s="58"/>
      <c r="H1493" s="59"/>
      <c r="I1493" s="58"/>
      <c r="J1493" s="58"/>
      <c r="K1493" s="58"/>
      <c r="L1493" s="247"/>
      <c r="M1493" s="58"/>
      <c r="N1493" s="58"/>
      <c r="O1493" s="58"/>
      <c r="P1493" s="58"/>
      <c r="Q1493" s="58"/>
      <c r="R1493" s="58"/>
      <c r="S1493" s="58"/>
    </row>
    <row r="1494" spans="3:19" s="235" customFormat="1" ht="12.75">
      <c r="C1494" s="239"/>
      <c r="D1494" s="222"/>
      <c r="E1494" s="58"/>
      <c r="F1494" s="59"/>
      <c r="G1494" s="58"/>
      <c r="H1494" s="59"/>
      <c r="I1494" s="58"/>
      <c r="J1494" s="58"/>
      <c r="K1494" s="58"/>
      <c r="L1494" s="247"/>
      <c r="M1494" s="58"/>
      <c r="N1494" s="58"/>
      <c r="O1494" s="58"/>
      <c r="P1494" s="58"/>
      <c r="Q1494" s="58"/>
      <c r="R1494" s="58"/>
      <c r="S1494" s="58"/>
    </row>
    <row r="1495" spans="3:19" s="235" customFormat="1" ht="12.75">
      <c r="C1495" s="239"/>
      <c r="D1495" s="222"/>
      <c r="E1495" s="58"/>
      <c r="F1495" s="59"/>
      <c r="G1495" s="58"/>
      <c r="H1495" s="59"/>
      <c r="I1495" s="58"/>
      <c r="J1495" s="58"/>
      <c r="K1495" s="58"/>
      <c r="L1495" s="247"/>
      <c r="M1495" s="58"/>
      <c r="N1495" s="58"/>
      <c r="O1495" s="58"/>
      <c r="P1495" s="58"/>
      <c r="Q1495" s="58"/>
      <c r="R1495" s="58"/>
      <c r="S1495" s="58"/>
    </row>
    <row r="1496" spans="3:19" s="235" customFormat="1" ht="12.75">
      <c r="C1496" s="239"/>
      <c r="D1496" s="222"/>
      <c r="E1496" s="58"/>
      <c r="F1496" s="59"/>
      <c r="G1496" s="58"/>
      <c r="H1496" s="59"/>
      <c r="I1496" s="58"/>
      <c r="J1496" s="58"/>
      <c r="K1496" s="58"/>
      <c r="L1496" s="247"/>
      <c r="M1496" s="58"/>
      <c r="N1496" s="58"/>
      <c r="O1496" s="58"/>
      <c r="P1496" s="58"/>
      <c r="Q1496" s="58"/>
      <c r="R1496" s="58"/>
      <c r="S1496" s="58"/>
    </row>
    <row r="1497" spans="3:19" s="235" customFormat="1" ht="12.75">
      <c r="C1497" s="239"/>
      <c r="D1497" s="222"/>
      <c r="E1497" s="58"/>
      <c r="F1497" s="59"/>
      <c r="G1497" s="58"/>
      <c r="H1497" s="59"/>
      <c r="I1497" s="58"/>
      <c r="J1497" s="58"/>
      <c r="K1497" s="58"/>
      <c r="L1497" s="247"/>
      <c r="M1497" s="58"/>
      <c r="N1497" s="58"/>
      <c r="O1497" s="58"/>
      <c r="P1497" s="58"/>
      <c r="Q1497" s="58"/>
      <c r="R1497" s="58"/>
      <c r="S1497" s="58"/>
    </row>
    <row r="1498" spans="3:19" s="235" customFormat="1" ht="12.75">
      <c r="C1498" s="239"/>
      <c r="D1498" s="222"/>
      <c r="E1498" s="58"/>
      <c r="F1498" s="59"/>
      <c r="G1498" s="58"/>
      <c r="H1498" s="59"/>
      <c r="I1498" s="58"/>
      <c r="J1498" s="58"/>
      <c r="K1498" s="58"/>
      <c r="L1498" s="247"/>
      <c r="M1498" s="58"/>
      <c r="N1498" s="58"/>
      <c r="O1498" s="58"/>
      <c r="P1498" s="58"/>
      <c r="Q1498" s="58"/>
      <c r="R1498" s="58"/>
      <c r="S1498" s="58"/>
    </row>
    <row r="1499" spans="3:19" s="235" customFormat="1" ht="12.75">
      <c r="C1499" s="239"/>
      <c r="D1499" s="222"/>
      <c r="E1499" s="58"/>
      <c r="F1499" s="59"/>
      <c r="G1499" s="58"/>
      <c r="H1499" s="59"/>
      <c r="I1499" s="58"/>
      <c r="J1499" s="58"/>
      <c r="K1499" s="58"/>
      <c r="L1499" s="247"/>
      <c r="M1499" s="58"/>
      <c r="N1499" s="58"/>
      <c r="O1499" s="58"/>
      <c r="P1499" s="58"/>
      <c r="Q1499" s="58"/>
      <c r="R1499" s="58"/>
      <c r="S1499" s="58"/>
    </row>
    <row r="1500" spans="3:19" s="235" customFormat="1" ht="12.75">
      <c r="C1500" s="239"/>
      <c r="D1500" s="222"/>
      <c r="E1500" s="58"/>
      <c r="F1500" s="59"/>
      <c r="G1500" s="58"/>
      <c r="H1500" s="59"/>
      <c r="I1500" s="58"/>
      <c r="J1500" s="58"/>
      <c r="K1500" s="58"/>
      <c r="L1500" s="247"/>
      <c r="M1500" s="58"/>
      <c r="N1500" s="58"/>
      <c r="O1500" s="58"/>
      <c r="P1500" s="58"/>
      <c r="Q1500" s="58"/>
      <c r="R1500" s="58"/>
      <c r="S1500" s="58"/>
    </row>
    <row r="1501" spans="3:19" s="235" customFormat="1" ht="12.75">
      <c r="C1501" s="239"/>
      <c r="D1501" s="222"/>
      <c r="E1501" s="58"/>
      <c r="F1501" s="59"/>
      <c r="G1501" s="58"/>
      <c r="H1501" s="59"/>
      <c r="I1501" s="58"/>
      <c r="J1501" s="58"/>
      <c r="K1501" s="58"/>
      <c r="L1501" s="247"/>
      <c r="M1501" s="58"/>
      <c r="N1501" s="58"/>
      <c r="O1501" s="58"/>
      <c r="P1501" s="58"/>
      <c r="Q1501" s="58"/>
      <c r="R1501" s="58"/>
      <c r="S1501" s="58"/>
    </row>
    <row r="1502" spans="3:19" s="235" customFormat="1" ht="12.75">
      <c r="C1502" s="239"/>
      <c r="D1502" s="222"/>
      <c r="E1502" s="58"/>
      <c r="F1502" s="59"/>
      <c r="G1502" s="58"/>
      <c r="H1502" s="59"/>
      <c r="I1502" s="58"/>
      <c r="J1502" s="58"/>
      <c r="K1502" s="58"/>
      <c r="L1502" s="247"/>
      <c r="M1502" s="58"/>
      <c r="N1502" s="58"/>
      <c r="O1502" s="58"/>
      <c r="P1502" s="58"/>
      <c r="Q1502" s="58"/>
      <c r="R1502" s="58"/>
      <c r="S1502" s="58"/>
    </row>
    <row r="1503" spans="3:19" s="235" customFormat="1" ht="12.75">
      <c r="C1503" s="239"/>
      <c r="D1503" s="222"/>
      <c r="E1503" s="58"/>
      <c r="F1503" s="59"/>
      <c r="G1503" s="58"/>
      <c r="H1503" s="59"/>
      <c r="I1503" s="58"/>
      <c r="J1503" s="58"/>
      <c r="K1503" s="58"/>
      <c r="L1503" s="247"/>
      <c r="M1503" s="58"/>
      <c r="N1503" s="58"/>
      <c r="O1503" s="58"/>
      <c r="P1503" s="58"/>
      <c r="Q1503" s="58"/>
      <c r="R1503" s="58"/>
      <c r="S1503" s="58"/>
    </row>
    <row r="1504" spans="3:19" s="235" customFormat="1" ht="12.75">
      <c r="C1504" s="239"/>
      <c r="D1504" s="222"/>
      <c r="E1504" s="58"/>
      <c r="F1504" s="59"/>
      <c r="G1504" s="58"/>
      <c r="H1504" s="59"/>
      <c r="I1504" s="58"/>
      <c r="J1504" s="58"/>
      <c r="K1504" s="58"/>
      <c r="L1504" s="247"/>
      <c r="M1504" s="58"/>
      <c r="N1504" s="58"/>
      <c r="O1504" s="58"/>
      <c r="P1504" s="58"/>
      <c r="Q1504" s="58"/>
      <c r="R1504" s="58"/>
      <c r="S1504" s="58"/>
    </row>
    <row r="1505" spans="3:19" s="235" customFormat="1" ht="12.75">
      <c r="C1505" s="239"/>
      <c r="D1505" s="222"/>
      <c r="E1505" s="58"/>
      <c r="F1505" s="59"/>
      <c r="G1505" s="58"/>
      <c r="H1505" s="59"/>
      <c r="I1505" s="58"/>
      <c r="J1505" s="58"/>
      <c r="K1505" s="58"/>
      <c r="L1505" s="247"/>
      <c r="M1505" s="58"/>
      <c r="N1505" s="58"/>
      <c r="O1505" s="58"/>
      <c r="P1505" s="58"/>
      <c r="Q1505" s="58"/>
      <c r="R1505" s="58"/>
      <c r="S1505" s="58"/>
    </row>
    <row r="1506" spans="3:19" s="235" customFormat="1" ht="12.75">
      <c r="C1506" s="239"/>
      <c r="D1506" s="222"/>
      <c r="E1506" s="58"/>
      <c r="F1506" s="59"/>
      <c r="G1506" s="58"/>
      <c r="H1506" s="59"/>
      <c r="I1506" s="58"/>
      <c r="J1506" s="58"/>
      <c r="K1506" s="58"/>
      <c r="L1506" s="247"/>
      <c r="M1506" s="58"/>
      <c r="N1506" s="58"/>
      <c r="O1506" s="58"/>
      <c r="P1506" s="58"/>
      <c r="Q1506" s="58"/>
      <c r="R1506" s="58"/>
      <c r="S1506" s="58"/>
    </row>
    <row r="1507" spans="3:19" s="235" customFormat="1" ht="12.75">
      <c r="C1507" s="239"/>
      <c r="D1507" s="222"/>
      <c r="E1507" s="58"/>
      <c r="F1507" s="59"/>
      <c r="G1507" s="58"/>
      <c r="H1507" s="59"/>
      <c r="I1507" s="58"/>
      <c r="J1507" s="58"/>
      <c r="K1507" s="58"/>
      <c r="L1507" s="247"/>
      <c r="M1507" s="58"/>
      <c r="N1507" s="58"/>
      <c r="O1507" s="58"/>
      <c r="P1507" s="58"/>
      <c r="Q1507" s="58"/>
      <c r="R1507" s="58"/>
      <c r="S1507" s="58"/>
    </row>
    <row r="1508" spans="3:19" s="235" customFormat="1" ht="12.75">
      <c r="C1508" s="239"/>
      <c r="D1508" s="222"/>
      <c r="E1508" s="58"/>
      <c r="F1508" s="59"/>
      <c r="G1508" s="58"/>
      <c r="H1508" s="59"/>
      <c r="I1508" s="58"/>
      <c r="J1508" s="58"/>
      <c r="K1508" s="58"/>
      <c r="L1508" s="247"/>
      <c r="M1508" s="58"/>
      <c r="N1508" s="58"/>
      <c r="O1508" s="58"/>
      <c r="P1508" s="58"/>
      <c r="Q1508" s="58"/>
      <c r="R1508" s="58"/>
      <c r="S1508" s="58"/>
    </row>
    <row r="1509" spans="3:19" s="235" customFormat="1" ht="12.75">
      <c r="C1509" s="239"/>
      <c r="D1509" s="222"/>
      <c r="E1509" s="58"/>
      <c r="F1509" s="59"/>
      <c r="G1509" s="58"/>
      <c r="H1509" s="59"/>
      <c r="I1509" s="58"/>
      <c r="J1509" s="58"/>
      <c r="K1509" s="58"/>
      <c r="L1509" s="247"/>
      <c r="M1509" s="58"/>
      <c r="N1509" s="58"/>
      <c r="O1509" s="58"/>
      <c r="P1509" s="58"/>
      <c r="Q1509" s="58"/>
      <c r="R1509" s="58"/>
      <c r="S1509" s="58"/>
    </row>
    <row r="1510" spans="3:19" s="235" customFormat="1" ht="12.75">
      <c r="C1510" s="239"/>
      <c r="D1510" s="222"/>
      <c r="E1510" s="58"/>
      <c r="F1510" s="59"/>
      <c r="G1510" s="58"/>
      <c r="H1510" s="59"/>
      <c r="I1510" s="58"/>
      <c r="J1510" s="58"/>
      <c r="K1510" s="58"/>
      <c r="L1510" s="247"/>
      <c r="M1510" s="58"/>
      <c r="N1510" s="58"/>
      <c r="O1510" s="58"/>
      <c r="P1510" s="58"/>
      <c r="Q1510" s="58"/>
      <c r="R1510" s="58"/>
      <c r="S1510" s="58"/>
    </row>
    <row r="1511" spans="3:19" s="235" customFormat="1" ht="12.75">
      <c r="C1511" s="239"/>
      <c r="D1511" s="222"/>
      <c r="E1511" s="58"/>
      <c r="F1511" s="59"/>
      <c r="G1511" s="58"/>
      <c r="H1511" s="59"/>
      <c r="I1511" s="58"/>
      <c r="J1511" s="58"/>
      <c r="K1511" s="58"/>
      <c r="L1511" s="247"/>
      <c r="M1511" s="58"/>
      <c r="N1511" s="58"/>
      <c r="O1511" s="58"/>
      <c r="P1511" s="58"/>
      <c r="Q1511" s="58"/>
      <c r="R1511" s="58"/>
      <c r="S1511" s="58"/>
    </row>
    <row r="1512" spans="3:19" s="235" customFormat="1" ht="12.75">
      <c r="C1512" s="239"/>
      <c r="D1512" s="222"/>
      <c r="E1512" s="58"/>
      <c r="F1512" s="59"/>
      <c r="G1512" s="58"/>
      <c r="H1512" s="59"/>
      <c r="I1512" s="58"/>
      <c r="J1512" s="58"/>
      <c r="K1512" s="58"/>
      <c r="L1512" s="247"/>
      <c r="M1512" s="58"/>
      <c r="N1512" s="58"/>
      <c r="O1512" s="58"/>
      <c r="P1512" s="58"/>
      <c r="Q1512" s="58"/>
      <c r="R1512" s="58"/>
      <c r="S1512" s="58"/>
    </row>
    <row r="1513" spans="3:19" s="235" customFormat="1" ht="12.75">
      <c r="C1513" s="239"/>
      <c r="D1513" s="222"/>
      <c r="E1513" s="58"/>
      <c r="F1513" s="59"/>
      <c r="G1513" s="58"/>
      <c r="H1513" s="59"/>
      <c r="I1513" s="58"/>
      <c r="J1513" s="58"/>
      <c r="K1513" s="58"/>
      <c r="L1513" s="247"/>
      <c r="M1513" s="58"/>
      <c r="N1513" s="58"/>
      <c r="O1513" s="58"/>
      <c r="P1513" s="58"/>
      <c r="Q1513" s="58"/>
      <c r="R1513" s="58"/>
      <c r="S1513" s="58"/>
    </row>
    <row r="1514" spans="3:19" s="235" customFormat="1" ht="12.75">
      <c r="C1514" s="239"/>
      <c r="D1514" s="222"/>
      <c r="E1514" s="58"/>
      <c r="F1514" s="59"/>
      <c r="G1514" s="58"/>
      <c r="H1514" s="59"/>
      <c r="I1514" s="58"/>
      <c r="J1514" s="58"/>
      <c r="K1514" s="58"/>
      <c r="L1514" s="247"/>
      <c r="M1514" s="58"/>
      <c r="N1514" s="58"/>
      <c r="O1514" s="58"/>
      <c r="P1514" s="58"/>
      <c r="Q1514" s="58"/>
      <c r="R1514" s="58"/>
      <c r="S1514" s="58"/>
    </row>
    <row r="1515" spans="3:19" s="235" customFormat="1" ht="12.75">
      <c r="C1515" s="239"/>
      <c r="D1515" s="222"/>
      <c r="E1515" s="58"/>
      <c r="F1515" s="59"/>
      <c r="G1515" s="58"/>
      <c r="H1515" s="59"/>
      <c r="I1515" s="58"/>
      <c r="J1515" s="58"/>
      <c r="K1515" s="58"/>
      <c r="L1515" s="247"/>
      <c r="M1515" s="58"/>
      <c r="N1515" s="58"/>
      <c r="O1515" s="58"/>
      <c r="P1515" s="58"/>
      <c r="Q1515" s="58"/>
      <c r="R1515" s="58"/>
      <c r="S1515" s="58"/>
    </row>
    <row r="1516" spans="3:19" s="235" customFormat="1" ht="12.75">
      <c r="C1516" s="239"/>
      <c r="D1516" s="222"/>
      <c r="E1516" s="58"/>
      <c r="F1516" s="59"/>
      <c r="G1516" s="58"/>
      <c r="H1516" s="59"/>
      <c r="I1516" s="58"/>
      <c r="J1516" s="58"/>
      <c r="K1516" s="58"/>
      <c r="L1516" s="247"/>
      <c r="M1516" s="58"/>
      <c r="N1516" s="58"/>
      <c r="O1516" s="58"/>
      <c r="P1516" s="58"/>
      <c r="Q1516" s="58"/>
      <c r="R1516" s="58"/>
      <c r="S1516" s="58"/>
    </row>
    <row r="1517" spans="3:19" s="235" customFormat="1" ht="12.75">
      <c r="C1517" s="239"/>
      <c r="D1517" s="222"/>
      <c r="E1517" s="58"/>
      <c r="F1517" s="59"/>
      <c r="G1517" s="58"/>
      <c r="H1517" s="59"/>
      <c r="I1517" s="58"/>
      <c r="J1517" s="58"/>
      <c r="K1517" s="58"/>
      <c r="L1517" s="247"/>
      <c r="M1517" s="58"/>
      <c r="N1517" s="58"/>
      <c r="O1517" s="58"/>
      <c r="P1517" s="58"/>
      <c r="Q1517" s="58"/>
      <c r="R1517" s="58"/>
      <c r="S1517" s="58"/>
    </row>
    <row r="1518" spans="3:19" s="235" customFormat="1" ht="12.75">
      <c r="C1518" s="239"/>
      <c r="D1518" s="222"/>
      <c r="E1518" s="58"/>
      <c r="F1518" s="59"/>
      <c r="G1518" s="58"/>
      <c r="H1518" s="59"/>
      <c r="I1518" s="58"/>
      <c r="J1518" s="58"/>
      <c r="K1518" s="58"/>
      <c r="L1518" s="247"/>
      <c r="M1518" s="58"/>
      <c r="N1518" s="58"/>
      <c r="O1518" s="58"/>
      <c r="P1518" s="58"/>
      <c r="Q1518" s="58"/>
      <c r="R1518" s="58"/>
      <c r="S1518" s="58"/>
    </row>
    <row r="1519" spans="3:19" s="235" customFormat="1" ht="12.75">
      <c r="C1519" s="239"/>
      <c r="D1519" s="222"/>
      <c r="E1519" s="58"/>
      <c r="F1519" s="59"/>
      <c r="G1519" s="58"/>
      <c r="H1519" s="59"/>
      <c r="I1519" s="58"/>
      <c r="J1519" s="58"/>
      <c r="K1519" s="58"/>
      <c r="L1519" s="247"/>
      <c r="M1519" s="58"/>
      <c r="N1519" s="58"/>
      <c r="O1519" s="58"/>
      <c r="P1519" s="58"/>
      <c r="Q1519" s="58"/>
      <c r="R1519" s="58"/>
      <c r="S1519" s="58"/>
    </row>
    <row r="1520" spans="3:19" s="235" customFormat="1" ht="12.75">
      <c r="C1520" s="239"/>
      <c r="D1520" s="222"/>
      <c r="E1520" s="58"/>
      <c r="F1520" s="59"/>
      <c r="G1520" s="58"/>
      <c r="H1520" s="59"/>
      <c r="I1520" s="58"/>
      <c r="J1520" s="58"/>
      <c r="K1520" s="58"/>
      <c r="L1520" s="247"/>
      <c r="M1520" s="58"/>
      <c r="N1520" s="58"/>
      <c r="O1520" s="58"/>
      <c r="P1520" s="58"/>
      <c r="Q1520" s="58"/>
      <c r="R1520" s="58"/>
      <c r="S1520" s="58"/>
    </row>
    <row r="1521" spans="3:19" s="235" customFormat="1" ht="12.75">
      <c r="C1521" s="239"/>
      <c r="D1521" s="222"/>
      <c r="E1521" s="58"/>
      <c r="F1521" s="59"/>
      <c r="G1521" s="58"/>
      <c r="H1521" s="59"/>
      <c r="I1521" s="58"/>
      <c r="J1521" s="58"/>
      <c r="K1521" s="58"/>
      <c r="L1521" s="247"/>
      <c r="M1521" s="58"/>
      <c r="N1521" s="58"/>
      <c r="O1521" s="58"/>
      <c r="P1521" s="58"/>
      <c r="Q1521" s="58"/>
      <c r="R1521" s="58"/>
      <c r="S1521" s="58"/>
    </row>
    <row r="1522" spans="3:19" s="235" customFormat="1" ht="12.75">
      <c r="C1522" s="239"/>
      <c r="D1522" s="222"/>
      <c r="E1522" s="58"/>
      <c r="F1522" s="59"/>
      <c r="G1522" s="58"/>
      <c r="H1522" s="59"/>
      <c r="I1522" s="58"/>
      <c r="J1522" s="58"/>
      <c r="K1522" s="58"/>
      <c r="L1522" s="247"/>
      <c r="M1522" s="58"/>
      <c r="N1522" s="58"/>
      <c r="O1522" s="58"/>
      <c r="P1522" s="58"/>
      <c r="Q1522" s="58"/>
      <c r="R1522" s="58"/>
      <c r="S1522" s="58"/>
    </row>
    <row r="1523" spans="3:19" s="235" customFormat="1" ht="12.75">
      <c r="C1523" s="239"/>
      <c r="D1523" s="222"/>
      <c r="E1523" s="58"/>
      <c r="F1523" s="59"/>
      <c r="G1523" s="58"/>
      <c r="H1523" s="59"/>
      <c r="I1523" s="58"/>
      <c r="J1523" s="58"/>
      <c r="K1523" s="58"/>
      <c r="L1523" s="247"/>
      <c r="M1523" s="58"/>
      <c r="N1523" s="58"/>
      <c r="O1523" s="58"/>
      <c r="P1523" s="58"/>
      <c r="Q1523" s="58"/>
      <c r="R1523" s="58"/>
      <c r="S1523" s="58"/>
    </row>
    <row r="1524" spans="3:19" s="235" customFormat="1" ht="12.75">
      <c r="C1524" s="239"/>
      <c r="D1524" s="222"/>
      <c r="E1524" s="58"/>
      <c r="F1524" s="59"/>
      <c r="G1524" s="58"/>
      <c r="H1524" s="59"/>
      <c r="I1524" s="58"/>
      <c r="J1524" s="58"/>
      <c r="K1524" s="58"/>
      <c r="L1524" s="247"/>
      <c r="M1524" s="58"/>
      <c r="N1524" s="58"/>
      <c r="O1524" s="58"/>
      <c r="P1524" s="58"/>
      <c r="Q1524" s="58"/>
      <c r="R1524" s="58"/>
      <c r="S1524" s="58"/>
    </row>
    <row r="1525" spans="3:19" s="235" customFormat="1" ht="12.75">
      <c r="C1525" s="239"/>
      <c r="D1525" s="222"/>
      <c r="E1525" s="58"/>
      <c r="F1525" s="59"/>
      <c r="G1525" s="58"/>
      <c r="H1525" s="59"/>
      <c r="I1525" s="58"/>
      <c r="J1525" s="58"/>
      <c r="K1525" s="58"/>
      <c r="L1525" s="247"/>
      <c r="M1525" s="58"/>
      <c r="N1525" s="58"/>
      <c r="O1525" s="58"/>
      <c r="P1525" s="58"/>
      <c r="Q1525" s="58"/>
      <c r="R1525" s="58"/>
      <c r="S1525" s="58"/>
    </row>
    <row r="1526" spans="3:19" s="235" customFormat="1" ht="12.75">
      <c r="C1526" s="239"/>
      <c r="D1526" s="222"/>
      <c r="E1526" s="58"/>
      <c r="F1526" s="59"/>
      <c r="G1526" s="58"/>
      <c r="H1526" s="59"/>
      <c r="I1526" s="58"/>
      <c r="J1526" s="58"/>
      <c r="K1526" s="58"/>
      <c r="L1526" s="247"/>
      <c r="M1526" s="58"/>
      <c r="N1526" s="58"/>
      <c r="O1526" s="58"/>
      <c r="P1526" s="58"/>
      <c r="Q1526" s="58"/>
      <c r="R1526" s="58"/>
      <c r="S1526" s="58"/>
    </row>
    <row r="1527" spans="3:19" s="235" customFormat="1" ht="12.75">
      <c r="C1527" s="239"/>
      <c r="D1527" s="222"/>
      <c r="E1527" s="58"/>
      <c r="F1527" s="59"/>
      <c r="G1527" s="58"/>
      <c r="H1527" s="59"/>
      <c r="I1527" s="58"/>
      <c r="J1527" s="58"/>
      <c r="K1527" s="58"/>
      <c r="L1527" s="247"/>
      <c r="M1527" s="58"/>
      <c r="N1527" s="58"/>
      <c r="O1527" s="58"/>
      <c r="P1527" s="58"/>
      <c r="Q1527" s="58"/>
      <c r="R1527" s="58"/>
      <c r="S1527" s="58"/>
    </row>
    <row r="1528" spans="3:19" s="235" customFormat="1" ht="12.75">
      <c r="C1528" s="239"/>
      <c r="D1528" s="222"/>
      <c r="E1528" s="58"/>
      <c r="F1528" s="59"/>
      <c r="G1528" s="58"/>
      <c r="H1528" s="59"/>
      <c r="I1528" s="58"/>
      <c r="J1528" s="58"/>
      <c r="K1528" s="58"/>
      <c r="L1528" s="247"/>
      <c r="M1528" s="58"/>
      <c r="N1528" s="58"/>
      <c r="O1528" s="58"/>
      <c r="P1528" s="58"/>
      <c r="Q1528" s="58"/>
      <c r="R1528" s="58"/>
      <c r="S1528" s="58"/>
    </row>
    <row r="1529" spans="3:19" s="235" customFormat="1" ht="12.75">
      <c r="C1529" s="239"/>
      <c r="D1529" s="222"/>
      <c r="E1529" s="58"/>
      <c r="F1529" s="59"/>
      <c r="G1529" s="58"/>
      <c r="H1529" s="59"/>
      <c r="I1529" s="58"/>
      <c r="J1529" s="58"/>
      <c r="K1529" s="58"/>
      <c r="L1529" s="247"/>
      <c r="M1529" s="58"/>
      <c r="N1529" s="58"/>
      <c r="O1529" s="58"/>
      <c r="P1529" s="58"/>
      <c r="Q1529" s="58"/>
      <c r="R1529" s="58"/>
      <c r="S1529" s="58"/>
    </row>
    <row r="1530" spans="3:19" s="235" customFormat="1" ht="12.75">
      <c r="C1530" s="239"/>
      <c r="D1530" s="222"/>
      <c r="E1530" s="58"/>
      <c r="F1530" s="59"/>
      <c r="G1530" s="58"/>
      <c r="H1530" s="59"/>
      <c r="I1530" s="58"/>
      <c r="J1530" s="58"/>
      <c r="K1530" s="58"/>
      <c r="L1530" s="247"/>
      <c r="M1530" s="58"/>
      <c r="N1530" s="58"/>
      <c r="O1530" s="58"/>
      <c r="P1530" s="58"/>
      <c r="Q1530" s="58"/>
      <c r="R1530" s="58"/>
      <c r="S1530" s="58"/>
    </row>
    <row r="1531" spans="3:19" s="235" customFormat="1" ht="12.75">
      <c r="C1531" s="239"/>
      <c r="D1531" s="222"/>
      <c r="E1531" s="58"/>
      <c r="F1531" s="59"/>
      <c r="G1531" s="58"/>
      <c r="H1531" s="59"/>
      <c r="I1531" s="58"/>
      <c r="J1531" s="58"/>
      <c r="K1531" s="58"/>
      <c r="L1531" s="247"/>
      <c r="M1531" s="58"/>
      <c r="N1531" s="58"/>
      <c r="O1531" s="58"/>
      <c r="P1531" s="58"/>
      <c r="Q1531" s="58"/>
      <c r="R1531" s="58"/>
      <c r="S1531" s="58"/>
    </row>
    <row r="1532" spans="3:19" s="235" customFormat="1" ht="12.75">
      <c r="C1532" s="239"/>
      <c r="D1532" s="222"/>
      <c r="E1532" s="58"/>
      <c r="F1532" s="59"/>
      <c r="G1532" s="58"/>
      <c r="H1532" s="59"/>
      <c r="I1532" s="58"/>
      <c r="J1532" s="58"/>
      <c r="K1532" s="58"/>
      <c r="L1532" s="247"/>
      <c r="M1532" s="58"/>
      <c r="N1532" s="58"/>
      <c r="O1532" s="58"/>
      <c r="P1532" s="58"/>
      <c r="Q1532" s="58"/>
      <c r="R1532" s="58"/>
      <c r="S1532" s="58"/>
    </row>
    <row r="1533" spans="3:19" s="235" customFormat="1" ht="12.75">
      <c r="C1533" s="239"/>
      <c r="D1533" s="222"/>
      <c r="E1533" s="58"/>
      <c r="F1533" s="59"/>
      <c r="G1533" s="58"/>
      <c r="H1533" s="59"/>
      <c r="I1533" s="58"/>
      <c r="J1533" s="58"/>
      <c r="K1533" s="58"/>
      <c r="L1533" s="247"/>
      <c r="M1533" s="58"/>
      <c r="N1533" s="58"/>
      <c r="O1533" s="58"/>
      <c r="P1533" s="58"/>
      <c r="Q1533" s="58"/>
      <c r="R1533" s="58"/>
      <c r="S1533" s="58"/>
    </row>
    <row r="1534" spans="3:19" s="235" customFormat="1" ht="12.75">
      <c r="C1534" s="239"/>
      <c r="D1534" s="222"/>
      <c r="E1534" s="58"/>
      <c r="F1534" s="59"/>
      <c r="G1534" s="58"/>
      <c r="H1534" s="59"/>
      <c r="I1534" s="58"/>
      <c r="J1534" s="58"/>
      <c r="K1534" s="58"/>
      <c r="L1534" s="247"/>
      <c r="M1534" s="58"/>
      <c r="N1534" s="58"/>
      <c r="O1534" s="58"/>
      <c r="P1534" s="58"/>
      <c r="Q1534" s="58"/>
      <c r="R1534" s="58"/>
      <c r="S1534" s="58"/>
    </row>
    <row r="1535" spans="3:19" s="235" customFormat="1" ht="12.75">
      <c r="C1535" s="239"/>
      <c r="D1535" s="222"/>
      <c r="E1535" s="58"/>
      <c r="F1535" s="59"/>
      <c r="G1535" s="58"/>
      <c r="H1535" s="59"/>
      <c r="I1535" s="58"/>
      <c r="J1535" s="58"/>
      <c r="K1535" s="58"/>
      <c r="L1535" s="247"/>
      <c r="M1535" s="58"/>
      <c r="N1535" s="58"/>
      <c r="O1535" s="58"/>
      <c r="P1535" s="58"/>
      <c r="Q1535" s="58"/>
      <c r="R1535" s="58"/>
      <c r="S1535" s="58"/>
    </row>
    <row r="1536" spans="3:19" s="235" customFormat="1" ht="12.75">
      <c r="C1536" s="239"/>
      <c r="D1536" s="222"/>
      <c r="E1536" s="58"/>
      <c r="F1536" s="59"/>
      <c r="G1536" s="58"/>
      <c r="H1536" s="59"/>
      <c r="I1536" s="58"/>
      <c r="J1536" s="58"/>
      <c r="K1536" s="58"/>
      <c r="L1536" s="247"/>
      <c r="M1536" s="58"/>
      <c r="N1536" s="58"/>
      <c r="O1536" s="58"/>
      <c r="P1536" s="58"/>
      <c r="Q1536" s="58"/>
      <c r="R1536" s="58"/>
      <c r="S1536" s="58"/>
    </row>
    <row r="1537" spans="3:19" s="235" customFormat="1" ht="12.75">
      <c r="C1537" s="239"/>
      <c r="D1537" s="222"/>
      <c r="E1537" s="58"/>
      <c r="F1537" s="59"/>
      <c r="G1537" s="58"/>
      <c r="H1537" s="59"/>
      <c r="I1537" s="58"/>
      <c r="J1537" s="58"/>
      <c r="K1537" s="58"/>
      <c r="L1537" s="247"/>
      <c r="M1537" s="58"/>
      <c r="N1537" s="58"/>
      <c r="O1537" s="58"/>
      <c r="P1537" s="58"/>
      <c r="Q1537" s="58"/>
      <c r="R1537" s="58"/>
      <c r="S1537" s="58"/>
    </row>
    <row r="1538" spans="3:19" s="235" customFormat="1" ht="12.75">
      <c r="C1538" s="239"/>
      <c r="D1538" s="222"/>
      <c r="E1538" s="58"/>
      <c r="F1538" s="59"/>
      <c r="G1538" s="58"/>
      <c r="H1538" s="59"/>
      <c r="I1538" s="58"/>
      <c r="J1538" s="58"/>
      <c r="K1538" s="58"/>
      <c r="L1538" s="247"/>
      <c r="M1538" s="58"/>
      <c r="N1538" s="58"/>
      <c r="O1538" s="58"/>
      <c r="P1538" s="58"/>
      <c r="Q1538" s="58"/>
      <c r="R1538" s="58"/>
      <c r="S1538" s="58"/>
    </row>
    <row r="1539" spans="3:19" s="235" customFormat="1" ht="12.75">
      <c r="C1539" s="239"/>
      <c r="D1539" s="222"/>
      <c r="E1539" s="58"/>
      <c r="F1539" s="59"/>
      <c r="G1539" s="58"/>
      <c r="H1539" s="59"/>
      <c r="I1539" s="58"/>
      <c r="J1539" s="58"/>
      <c r="K1539" s="58"/>
      <c r="L1539" s="247"/>
      <c r="M1539" s="58"/>
      <c r="N1539" s="58"/>
      <c r="O1539" s="58"/>
      <c r="P1539" s="58"/>
      <c r="Q1539" s="58"/>
      <c r="R1539" s="58"/>
      <c r="S1539" s="58"/>
    </row>
    <row r="1540" spans="3:19" s="235" customFormat="1" ht="12.75">
      <c r="C1540" s="239"/>
      <c r="D1540" s="222"/>
      <c r="E1540" s="58"/>
      <c r="F1540" s="59"/>
      <c r="G1540" s="58"/>
      <c r="H1540" s="59"/>
      <c r="I1540" s="58"/>
      <c r="J1540" s="58"/>
      <c r="K1540" s="58"/>
      <c r="L1540" s="247"/>
      <c r="M1540" s="58"/>
      <c r="N1540" s="58"/>
      <c r="O1540" s="58"/>
      <c r="P1540" s="58"/>
      <c r="Q1540" s="58"/>
      <c r="R1540" s="58"/>
      <c r="S1540" s="58"/>
    </row>
    <row r="1541" spans="3:19" s="235" customFormat="1" ht="12.75">
      <c r="C1541" s="239"/>
      <c r="D1541" s="222"/>
      <c r="E1541" s="58"/>
      <c r="F1541" s="59"/>
      <c r="G1541" s="58"/>
      <c r="H1541" s="59"/>
      <c r="I1541" s="58"/>
      <c r="J1541" s="58"/>
      <c r="K1541" s="58"/>
      <c r="L1541" s="247"/>
      <c r="M1541" s="58"/>
      <c r="N1541" s="58"/>
      <c r="O1541" s="58"/>
      <c r="P1541" s="58"/>
      <c r="Q1541" s="58"/>
      <c r="R1541" s="58"/>
      <c r="S1541" s="58"/>
    </row>
    <row r="1542" spans="3:19" s="235" customFormat="1" ht="12.75">
      <c r="C1542" s="239"/>
      <c r="D1542" s="222"/>
      <c r="E1542" s="58"/>
      <c r="F1542" s="59"/>
      <c r="G1542" s="58"/>
      <c r="H1542" s="59"/>
      <c r="I1542" s="58"/>
      <c r="J1542" s="58"/>
      <c r="K1542" s="58"/>
      <c r="L1542" s="247"/>
      <c r="M1542" s="58"/>
      <c r="N1542" s="58"/>
      <c r="O1542" s="58"/>
      <c r="P1542" s="58"/>
      <c r="Q1542" s="58"/>
      <c r="R1542" s="58"/>
      <c r="S1542" s="58"/>
    </row>
    <row r="1543" spans="3:19" s="235" customFormat="1" ht="12.75">
      <c r="C1543" s="239"/>
      <c r="D1543" s="222"/>
      <c r="E1543" s="58"/>
      <c r="F1543" s="59"/>
      <c r="G1543" s="58"/>
      <c r="H1543" s="59"/>
      <c r="I1543" s="58"/>
      <c r="J1543" s="58"/>
      <c r="K1543" s="58"/>
      <c r="L1543" s="247"/>
      <c r="M1543" s="58"/>
      <c r="N1543" s="58"/>
      <c r="O1543" s="58"/>
      <c r="P1543" s="58"/>
      <c r="Q1543" s="58"/>
      <c r="R1543" s="58"/>
      <c r="S1543" s="58"/>
    </row>
    <row r="1544" spans="3:19" s="235" customFormat="1" ht="12.75">
      <c r="C1544" s="239"/>
      <c r="D1544" s="222"/>
      <c r="E1544" s="58"/>
      <c r="F1544" s="59"/>
      <c r="G1544" s="58"/>
      <c r="H1544" s="59"/>
      <c r="I1544" s="58"/>
      <c r="J1544" s="58"/>
      <c r="K1544" s="58"/>
      <c r="L1544" s="247"/>
      <c r="M1544" s="58"/>
      <c r="N1544" s="58"/>
      <c r="O1544" s="58"/>
      <c r="P1544" s="58"/>
      <c r="Q1544" s="58"/>
      <c r="R1544" s="58"/>
      <c r="S1544" s="58"/>
    </row>
    <row r="1545" spans="3:19" s="235" customFormat="1" ht="12.75">
      <c r="C1545" s="239"/>
      <c r="D1545" s="222"/>
      <c r="E1545" s="58"/>
      <c r="F1545" s="59"/>
      <c r="G1545" s="58"/>
      <c r="H1545" s="59"/>
      <c r="I1545" s="58"/>
      <c r="J1545" s="58"/>
      <c r="K1545" s="58"/>
      <c r="L1545" s="247"/>
      <c r="M1545" s="58"/>
      <c r="N1545" s="58"/>
      <c r="O1545" s="58"/>
      <c r="P1545" s="58"/>
      <c r="Q1545" s="58"/>
      <c r="R1545" s="58"/>
      <c r="S1545" s="58"/>
    </row>
    <row r="1546" spans="3:19" s="235" customFormat="1" ht="12.75">
      <c r="C1546" s="239"/>
      <c r="D1546" s="222"/>
      <c r="E1546" s="58"/>
      <c r="F1546" s="59"/>
      <c r="G1546" s="58"/>
      <c r="H1546" s="59"/>
      <c r="I1546" s="58"/>
      <c r="J1546" s="58"/>
      <c r="K1546" s="58"/>
      <c r="L1546" s="247"/>
      <c r="M1546" s="58"/>
      <c r="N1546" s="58"/>
      <c r="O1546" s="58"/>
      <c r="P1546" s="58"/>
      <c r="Q1546" s="58"/>
      <c r="R1546" s="58"/>
      <c r="S1546" s="58"/>
    </row>
    <row r="1547" spans="3:19" s="235" customFormat="1" ht="12.75">
      <c r="C1547" s="239"/>
      <c r="D1547" s="222"/>
      <c r="E1547" s="58"/>
      <c r="F1547" s="59"/>
      <c r="G1547" s="58"/>
      <c r="H1547" s="59"/>
      <c r="I1547" s="58"/>
      <c r="J1547" s="58"/>
      <c r="K1547" s="58"/>
      <c r="L1547" s="247"/>
      <c r="M1547" s="58"/>
      <c r="N1547" s="58"/>
      <c r="O1547" s="58"/>
      <c r="P1547" s="58"/>
      <c r="Q1547" s="58"/>
      <c r="R1547" s="58"/>
      <c r="S1547" s="58"/>
    </row>
    <row r="1548" spans="3:19" s="235" customFormat="1" ht="12.75">
      <c r="C1548" s="239"/>
      <c r="D1548" s="222"/>
      <c r="E1548" s="58"/>
      <c r="F1548" s="59"/>
      <c r="G1548" s="58"/>
      <c r="H1548" s="59"/>
      <c r="I1548" s="58"/>
      <c r="J1548" s="58"/>
      <c r="K1548" s="58"/>
      <c r="L1548" s="247"/>
      <c r="M1548" s="58"/>
      <c r="N1548" s="58"/>
      <c r="O1548" s="58"/>
      <c r="P1548" s="58"/>
      <c r="Q1548" s="58"/>
      <c r="R1548" s="58"/>
      <c r="S1548" s="58"/>
    </row>
    <row r="1549" spans="3:19" s="235" customFormat="1" ht="12.75">
      <c r="C1549" s="239"/>
      <c r="D1549" s="222"/>
      <c r="E1549" s="58"/>
      <c r="F1549" s="59"/>
      <c r="G1549" s="58"/>
      <c r="H1549" s="59"/>
      <c r="I1549" s="58"/>
      <c r="J1549" s="58"/>
      <c r="K1549" s="58"/>
      <c r="L1549" s="247"/>
      <c r="M1549" s="58"/>
      <c r="N1549" s="58"/>
      <c r="O1549" s="58"/>
      <c r="P1549" s="58"/>
      <c r="Q1549" s="58"/>
      <c r="R1549" s="58"/>
      <c r="S1549" s="58"/>
    </row>
    <row r="1550" spans="3:19" s="235" customFormat="1" ht="12.75">
      <c r="C1550" s="239"/>
      <c r="D1550" s="222"/>
      <c r="E1550" s="58"/>
      <c r="F1550" s="59"/>
      <c r="G1550" s="58"/>
      <c r="H1550" s="59"/>
      <c r="I1550" s="58"/>
      <c r="J1550" s="58"/>
      <c r="K1550" s="58"/>
      <c r="L1550" s="247"/>
      <c r="M1550" s="58"/>
      <c r="N1550" s="58"/>
      <c r="O1550" s="58"/>
      <c r="P1550" s="58"/>
      <c r="Q1550" s="58"/>
      <c r="R1550" s="58"/>
      <c r="S1550" s="58"/>
    </row>
    <row r="1551" spans="3:19" s="235" customFormat="1" ht="12.75">
      <c r="C1551" s="239"/>
      <c r="D1551" s="222"/>
      <c r="E1551" s="58"/>
      <c r="F1551" s="59"/>
      <c r="G1551" s="58"/>
      <c r="H1551" s="59"/>
      <c r="I1551" s="58"/>
      <c r="J1551" s="58"/>
      <c r="K1551" s="58"/>
      <c r="L1551" s="247"/>
      <c r="M1551" s="58"/>
      <c r="N1551" s="58"/>
      <c r="O1551" s="58"/>
      <c r="P1551" s="58"/>
      <c r="Q1551" s="58"/>
      <c r="R1551" s="58"/>
      <c r="S1551" s="58"/>
    </row>
    <row r="1552" spans="3:19" s="235" customFormat="1" ht="12.75">
      <c r="C1552" s="239"/>
      <c r="D1552" s="222"/>
      <c r="E1552" s="58"/>
      <c r="F1552" s="59"/>
      <c r="G1552" s="58"/>
      <c r="H1552" s="59"/>
      <c r="I1552" s="58"/>
      <c r="J1552" s="58"/>
      <c r="K1552" s="58"/>
      <c r="L1552" s="247"/>
      <c r="M1552" s="58"/>
      <c r="N1552" s="58"/>
      <c r="O1552" s="58"/>
      <c r="P1552" s="58"/>
      <c r="Q1552" s="58"/>
      <c r="R1552" s="58"/>
      <c r="S1552" s="58"/>
    </row>
    <row r="1553" spans="3:19" s="235" customFormat="1" ht="12.75">
      <c r="C1553" s="239"/>
      <c r="D1553" s="222"/>
      <c r="E1553" s="58"/>
      <c r="F1553" s="59"/>
      <c r="G1553" s="58"/>
      <c r="H1553" s="59"/>
      <c r="I1553" s="58"/>
      <c r="J1553" s="58"/>
      <c r="K1553" s="58"/>
      <c r="L1553" s="247"/>
      <c r="M1553" s="58"/>
      <c r="N1553" s="58"/>
      <c r="O1553" s="58"/>
      <c r="P1553" s="58"/>
      <c r="Q1553" s="58"/>
      <c r="R1553" s="58"/>
      <c r="S1553" s="58"/>
    </row>
    <row r="1554" spans="3:19" s="235" customFormat="1" ht="12.75">
      <c r="C1554" s="239"/>
      <c r="D1554" s="222"/>
      <c r="E1554" s="58"/>
      <c r="F1554" s="59"/>
      <c r="G1554" s="58"/>
      <c r="H1554" s="59"/>
      <c r="I1554" s="58"/>
      <c r="J1554" s="58"/>
      <c r="K1554" s="58"/>
      <c r="L1554" s="247"/>
      <c r="M1554" s="58"/>
      <c r="N1554" s="58"/>
      <c r="O1554" s="58"/>
      <c r="P1554" s="58"/>
      <c r="Q1554" s="58"/>
      <c r="R1554" s="58"/>
      <c r="S1554" s="58"/>
    </row>
    <row r="1555" spans="3:19" s="235" customFormat="1" ht="12.75">
      <c r="C1555" s="239"/>
      <c r="D1555" s="222"/>
      <c r="E1555" s="58"/>
      <c r="F1555" s="59"/>
      <c r="G1555" s="58"/>
      <c r="H1555" s="59"/>
      <c r="I1555" s="58"/>
      <c r="J1555" s="58"/>
      <c r="K1555" s="58"/>
      <c r="L1555" s="247"/>
      <c r="M1555" s="58"/>
      <c r="N1555" s="58"/>
      <c r="O1555" s="58"/>
      <c r="P1555" s="58"/>
      <c r="Q1555" s="58"/>
      <c r="R1555" s="58"/>
      <c r="S1555" s="58"/>
    </row>
    <row r="1556" spans="3:19" s="235" customFormat="1" ht="12.75">
      <c r="C1556" s="239"/>
      <c r="D1556" s="222"/>
      <c r="E1556" s="58"/>
      <c r="F1556" s="59"/>
      <c r="G1556" s="58"/>
      <c r="H1556" s="59"/>
      <c r="I1556" s="58"/>
      <c r="J1556" s="58"/>
      <c r="K1556" s="58"/>
      <c r="L1556" s="247"/>
      <c r="M1556" s="58"/>
      <c r="N1556" s="58"/>
      <c r="O1556" s="58"/>
      <c r="P1556" s="58"/>
      <c r="Q1556" s="58"/>
      <c r="R1556" s="58"/>
      <c r="S1556" s="58"/>
    </row>
    <row r="1557" spans="3:19" s="235" customFormat="1" ht="12.75">
      <c r="C1557" s="239"/>
      <c r="D1557" s="222"/>
      <c r="E1557" s="58"/>
      <c r="F1557" s="59"/>
      <c r="G1557" s="58"/>
      <c r="H1557" s="59"/>
      <c r="I1557" s="58"/>
      <c r="J1557" s="58"/>
      <c r="K1557" s="58"/>
      <c r="L1557" s="247"/>
      <c r="M1557" s="58"/>
      <c r="N1557" s="58"/>
      <c r="O1557" s="58"/>
      <c r="P1557" s="58"/>
      <c r="Q1557" s="58"/>
      <c r="R1557" s="58"/>
      <c r="S1557" s="58"/>
    </row>
    <row r="1558" spans="3:19" s="235" customFormat="1" ht="12.75">
      <c r="C1558" s="239"/>
      <c r="D1558" s="222"/>
      <c r="E1558" s="58"/>
      <c r="F1558" s="59"/>
      <c r="G1558" s="58"/>
      <c r="H1558" s="59"/>
      <c r="I1558" s="58"/>
      <c r="J1558" s="58"/>
      <c r="K1558" s="58"/>
      <c r="L1558" s="247"/>
      <c r="M1558" s="58"/>
      <c r="N1558" s="58"/>
      <c r="O1558" s="58"/>
      <c r="P1558" s="58"/>
      <c r="Q1558" s="58"/>
      <c r="R1558" s="58"/>
      <c r="S1558" s="58"/>
    </row>
    <row r="1559" spans="3:19" s="235" customFormat="1" ht="12.75">
      <c r="C1559" s="239"/>
      <c r="D1559" s="222"/>
      <c r="E1559" s="58"/>
      <c r="F1559" s="59"/>
      <c r="G1559" s="58"/>
      <c r="H1559" s="59"/>
      <c r="I1559" s="58"/>
      <c r="J1559" s="58"/>
      <c r="K1559" s="58"/>
      <c r="L1559" s="247"/>
      <c r="M1559" s="58"/>
      <c r="N1559" s="58"/>
      <c r="O1559" s="58"/>
      <c r="P1559" s="58"/>
      <c r="Q1559" s="58"/>
      <c r="R1559" s="58"/>
      <c r="S1559" s="58"/>
    </row>
    <row r="1560" spans="3:19" s="235" customFormat="1" ht="12.75">
      <c r="C1560" s="239"/>
      <c r="D1560" s="222"/>
      <c r="E1560" s="58"/>
      <c r="F1560" s="59"/>
      <c r="G1560" s="58"/>
      <c r="H1560" s="59"/>
      <c r="I1560" s="58"/>
      <c r="J1560" s="58"/>
      <c r="K1560" s="58"/>
      <c r="L1560" s="247"/>
      <c r="M1560" s="58"/>
      <c r="N1560" s="58"/>
      <c r="O1560" s="58"/>
      <c r="P1560" s="58"/>
      <c r="Q1560" s="58"/>
      <c r="R1560" s="58"/>
      <c r="S1560" s="58"/>
    </row>
    <row r="1561" spans="3:19" s="235" customFormat="1" ht="12.75">
      <c r="C1561" s="239"/>
      <c r="D1561" s="222"/>
      <c r="E1561" s="58"/>
      <c r="F1561" s="59"/>
      <c r="G1561" s="58"/>
      <c r="H1561" s="59"/>
      <c r="I1561" s="58"/>
      <c r="J1561" s="58"/>
      <c r="K1561" s="58"/>
      <c r="L1561" s="247"/>
      <c r="M1561" s="58"/>
      <c r="N1561" s="58"/>
      <c r="O1561" s="58"/>
      <c r="P1561" s="58"/>
      <c r="Q1561" s="58"/>
      <c r="R1561" s="58"/>
      <c r="S1561" s="58"/>
    </row>
    <row r="1562" spans="3:19" s="235" customFormat="1" ht="12.75">
      <c r="C1562" s="239"/>
      <c r="D1562" s="222"/>
      <c r="E1562" s="58"/>
      <c r="F1562" s="59"/>
      <c r="G1562" s="58"/>
      <c r="H1562" s="59"/>
      <c r="I1562" s="58"/>
      <c r="J1562" s="58"/>
      <c r="K1562" s="58"/>
      <c r="L1562" s="247"/>
      <c r="M1562" s="58"/>
      <c r="N1562" s="58"/>
      <c r="O1562" s="58"/>
      <c r="P1562" s="58"/>
      <c r="Q1562" s="58"/>
      <c r="R1562" s="58"/>
      <c r="S1562" s="58"/>
    </row>
    <row r="1563" spans="3:19" s="235" customFormat="1" ht="12.75">
      <c r="C1563" s="239"/>
      <c r="D1563" s="222"/>
      <c r="E1563" s="58"/>
      <c r="F1563" s="59"/>
      <c r="G1563" s="58"/>
      <c r="H1563" s="59"/>
      <c r="I1563" s="58"/>
      <c r="J1563" s="58"/>
      <c r="K1563" s="58"/>
      <c r="L1563" s="247"/>
      <c r="M1563" s="58"/>
      <c r="N1563" s="58"/>
      <c r="O1563" s="58"/>
      <c r="P1563" s="58"/>
      <c r="Q1563" s="58"/>
      <c r="R1563" s="58"/>
      <c r="S1563" s="58"/>
    </row>
    <row r="1564" spans="3:19" s="235" customFormat="1" ht="12.75">
      <c r="C1564" s="239"/>
      <c r="D1564" s="222"/>
      <c r="E1564" s="58"/>
      <c r="F1564" s="59"/>
      <c r="G1564" s="58"/>
      <c r="H1564" s="59"/>
      <c r="I1564" s="58"/>
      <c r="J1564" s="58"/>
      <c r="K1564" s="58"/>
      <c r="L1564" s="247"/>
      <c r="M1564" s="58"/>
      <c r="N1564" s="58"/>
      <c r="O1564" s="58"/>
      <c r="P1564" s="58"/>
      <c r="Q1564" s="58"/>
      <c r="R1564" s="58"/>
      <c r="S1564" s="58"/>
    </row>
    <row r="1565" spans="3:19" s="235" customFormat="1" ht="12.75">
      <c r="C1565" s="239"/>
      <c r="D1565" s="222"/>
      <c r="E1565" s="58"/>
      <c r="F1565" s="59"/>
      <c r="G1565" s="58"/>
      <c r="H1565" s="59"/>
      <c r="I1565" s="58"/>
      <c r="J1565" s="58"/>
      <c r="K1565" s="58"/>
      <c r="L1565" s="247"/>
      <c r="M1565" s="58"/>
      <c r="N1565" s="58"/>
      <c r="O1565" s="58"/>
      <c r="P1565" s="58"/>
      <c r="Q1565" s="58"/>
      <c r="R1565" s="58"/>
      <c r="S1565" s="58"/>
    </row>
    <row r="1566" spans="3:19" s="235" customFormat="1" ht="12.75">
      <c r="C1566" s="239"/>
      <c r="D1566" s="222"/>
      <c r="E1566" s="58"/>
      <c r="F1566" s="59"/>
      <c r="G1566" s="58"/>
      <c r="H1566" s="59"/>
      <c r="I1566" s="58"/>
      <c r="J1566" s="58"/>
      <c r="K1566" s="58"/>
      <c r="L1566" s="247"/>
      <c r="M1566" s="58"/>
      <c r="N1566" s="58"/>
      <c r="O1566" s="58"/>
      <c r="P1566" s="58"/>
      <c r="Q1566" s="58"/>
      <c r="R1566" s="58"/>
      <c r="S1566" s="58"/>
    </row>
    <row r="1567" spans="3:19" s="235" customFormat="1" ht="12.75">
      <c r="C1567" s="239"/>
      <c r="D1567" s="222"/>
      <c r="E1567" s="58"/>
      <c r="F1567" s="59"/>
      <c r="G1567" s="58"/>
      <c r="H1567" s="59"/>
      <c r="I1567" s="58"/>
      <c r="J1567" s="58"/>
      <c r="K1567" s="58"/>
      <c r="L1567" s="247"/>
      <c r="M1567" s="58"/>
      <c r="N1567" s="58"/>
      <c r="O1567" s="58"/>
      <c r="P1567" s="58"/>
      <c r="Q1567" s="58"/>
      <c r="R1567" s="58"/>
      <c r="S1567" s="58"/>
    </row>
    <row r="1568" spans="3:19" s="235" customFormat="1" ht="12.75">
      <c r="C1568" s="239"/>
      <c r="D1568" s="222"/>
      <c r="E1568" s="58"/>
      <c r="F1568" s="59"/>
      <c r="G1568" s="58"/>
      <c r="H1568" s="59"/>
      <c r="I1568" s="58"/>
      <c r="J1568" s="58"/>
      <c r="K1568" s="58"/>
      <c r="L1568" s="247"/>
      <c r="M1568" s="58"/>
      <c r="N1568" s="58"/>
      <c r="O1568" s="58"/>
      <c r="P1568" s="58"/>
      <c r="Q1568" s="58"/>
      <c r="R1568" s="58"/>
      <c r="S1568" s="58"/>
    </row>
    <row r="1569" spans="3:19" s="235" customFormat="1" ht="12.75">
      <c r="C1569" s="239"/>
      <c r="D1569" s="222"/>
      <c r="E1569" s="58"/>
      <c r="F1569" s="59"/>
      <c r="G1569" s="58"/>
      <c r="H1569" s="59"/>
      <c r="I1569" s="58"/>
      <c r="J1569" s="58"/>
      <c r="K1569" s="58"/>
      <c r="L1569" s="247"/>
      <c r="M1569" s="58"/>
      <c r="N1569" s="58"/>
      <c r="O1569" s="58"/>
      <c r="P1569" s="58"/>
      <c r="Q1569" s="58"/>
      <c r="R1569" s="58"/>
      <c r="S1569" s="58"/>
    </row>
    <row r="1570" spans="3:19" s="235" customFormat="1" ht="12.75">
      <c r="C1570" s="239"/>
      <c r="D1570" s="222"/>
      <c r="E1570" s="58"/>
      <c r="F1570" s="59"/>
      <c r="G1570" s="58"/>
      <c r="H1570" s="59"/>
      <c r="I1570" s="58"/>
      <c r="J1570" s="58"/>
      <c r="K1570" s="58"/>
      <c r="L1570" s="247"/>
      <c r="M1570" s="58"/>
      <c r="N1570" s="58"/>
      <c r="O1570" s="58"/>
      <c r="P1570" s="58"/>
      <c r="Q1570" s="58"/>
      <c r="R1570" s="58"/>
      <c r="S1570" s="58"/>
    </row>
    <row r="1571" spans="3:19" s="235" customFormat="1" ht="12.75">
      <c r="C1571" s="239"/>
      <c r="D1571" s="222"/>
      <c r="E1571" s="58"/>
      <c r="F1571" s="59"/>
      <c r="G1571" s="58"/>
      <c r="H1571" s="59"/>
      <c r="I1571" s="58"/>
      <c r="J1571" s="58"/>
      <c r="K1571" s="58"/>
      <c r="L1571" s="247"/>
      <c r="M1571" s="58"/>
      <c r="N1571" s="58"/>
      <c r="O1571" s="58"/>
      <c r="P1571" s="58"/>
      <c r="Q1571" s="58"/>
      <c r="R1571" s="58"/>
      <c r="S1571" s="58"/>
    </row>
    <row r="1572" spans="3:19" s="235" customFormat="1" ht="12.75">
      <c r="C1572" s="239"/>
      <c r="D1572" s="222"/>
      <c r="E1572" s="58"/>
      <c r="F1572" s="59"/>
      <c r="G1572" s="58"/>
      <c r="H1572" s="59"/>
      <c r="I1572" s="58"/>
      <c r="J1572" s="58"/>
      <c r="K1572" s="58"/>
      <c r="L1572" s="247"/>
      <c r="M1572" s="58"/>
      <c r="N1572" s="58"/>
      <c r="O1572" s="58"/>
      <c r="P1572" s="58"/>
      <c r="Q1572" s="58"/>
      <c r="R1572" s="58"/>
      <c r="S1572" s="58"/>
    </row>
    <row r="1573" spans="3:19" s="235" customFormat="1" ht="12.75">
      <c r="C1573" s="239"/>
      <c r="D1573" s="222"/>
      <c r="E1573" s="58"/>
      <c r="F1573" s="59"/>
      <c r="G1573" s="58"/>
      <c r="H1573" s="59"/>
      <c r="I1573" s="58"/>
      <c r="J1573" s="58"/>
      <c r="K1573" s="58"/>
      <c r="L1573" s="247"/>
      <c r="M1573" s="58"/>
      <c r="N1573" s="58"/>
      <c r="O1573" s="58"/>
      <c r="P1573" s="58"/>
      <c r="Q1573" s="58"/>
      <c r="R1573" s="58"/>
      <c r="S1573" s="58"/>
    </row>
    <row r="1574" spans="3:19" s="235" customFormat="1" ht="12.75">
      <c r="C1574" s="239"/>
      <c r="D1574" s="222"/>
      <c r="E1574" s="58"/>
      <c r="F1574" s="59"/>
      <c r="G1574" s="58"/>
      <c r="H1574" s="59"/>
      <c r="I1574" s="58"/>
      <c r="J1574" s="58"/>
      <c r="K1574" s="58"/>
      <c r="L1574" s="247"/>
      <c r="M1574" s="58"/>
      <c r="N1574" s="58"/>
      <c r="O1574" s="58"/>
      <c r="P1574" s="58"/>
      <c r="Q1574" s="58"/>
      <c r="R1574" s="58"/>
      <c r="S1574" s="58"/>
    </row>
    <row r="1575" spans="3:19" s="235" customFormat="1" ht="12.75">
      <c r="C1575" s="239"/>
      <c r="D1575" s="222"/>
      <c r="E1575" s="58"/>
      <c r="F1575" s="59"/>
      <c r="G1575" s="58"/>
      <c r="H1575" s="59"/>
      <c r="I1575" s="58"/>
      <c r="J1575" s="58"/>
      <c r="K1575" s="58"/>
      <c r="L1575" s="247"/>
      <c r="M1575" s="58"/>
      <c r="N1575" s="58"/>
      <c r="O1575" s="58"/>
      <c r="P1575" s="58"/>
      <c r="Q1575" s="58"/>
      <c r="R1575" s="58"/>
      <c r="S1575" s="58"/>
    </row>
    <row r="1576" spans="3:19" s="235" customFormat="1" ht="12.75">
      <c r="C1576" s="239"/>
      <c r="D1576" s="222"/>
      <c r="E1576" s="58"/>
      <c r="F1576" s="59"/>
      <c r="G1576" s="58"/>
      <c r="H1576" s="59"/>
      <c r="I1576" s="58"/>
      <c r="J1576" s="58"/>
      <c r="K1576" s="58"/>
      <c r="L1576" s="247"/>
      <c r="M1576" s="58"/>
      <c r="N1576" s="58"/>
      <c r="O1576" s="58"/>
      <c r="P1576" s="58"/>
      <c r="Q1576" s="58"/>
      <c r="R1576" s="58"/>
      <c r="S1576" s="58"/>
    </row>
    <row r="1577" spans="3:19" s="235" customFormat="1" ht="12.75">
      <c r="C1577" s="239"/>
      <c r="D1577" s="222"/>
      <c r="E1577" s="58"/>
      <c r="F1577" s="59"/>
      <c r="G1577" s="58"/>
      <c r="H1577" s="59"/>
      <c r="I1577" s="58"/>
      <c r="J1577" s="58"/>
      <c r="K1577" s="58"/>
      <c r="L1577" s="247"/>
      <c r="M1577" s="58"/>
      <c r="N1577" s="58"/>
      <c r="O1577" s="58"/>
      <c r="P1577" s="58"/>
      <c r="Q1577" s="58"/>
      <c r="R1577" s="58"/>
      <c r="S1577" s="58"/>
    </row>
    <row r="1578" spans="3:19" s="235" customFormat="1" ht="12.75">
      <c r="C1578" s="239"/>
      <c r="D1578" s="222"/>
      <c r="E1578" s="58"/>
      <c r="F1578" s="59"/>
      <c r="G1578" s="58"/>
      <c r="H1578" s="59"/>
      <c r="I1578" s="58"/>
      <c r="J1578" s="58"/>
      <c r="K1578" s="58"/>
      <c r="L1578" s="247"/>
      <c r="M1578" s="58"/>
      <c r="N1578" s="58"/>
      <c r="O1578" s="58"/>
      <c r="P1578" s="58"/>
      <c r="Q1578" s="58"/>
      <c r="R1578" s="58"/>
      <c r="S1578" s="58"/>
    </row>
    <row r="1579" spans="3:19" s="235" customFormat="1" ht="12.75">
      <c r="C1579" s="239"/>
      <c r="D1579" s="222"/>
      <c r="E1579" s="58"/>
      <c r="F1579" s="59"/>
      <c r="G1579" s="58"/>
      <c r="H1579" s="59"/>
      <c r="I1579" s="58"/>
      <c r="J1579" s="58"/>
      <c r="K1579" s="58"/>
      <c r="L1579" s="247"/>
      <c r="M1579" s="58"/>
      <c r="N1579" s="58"/>
      <c r="O1579" s="58"/>
      <c r="P1579" s="58"/>
      <c r="Q1579" s="58"/>
      <c r="R1579" s="58"/>
      <c r="S1579" s="58"/>
    </row>
    <row r="1580" spans="3:19" s="235" customFormat="1" ht="12.75">
      <c r="C1580" s="239"/>
      <c r="D1580" s="222"/>
      <c r="E1580" s="58"/>
      <c r="F1580" s="59"/>
      <c r="G1580" s="58"/>
      <c r="H1580" s="59"/>
      <c r="I1580" s="58"/>
      <c r="J1580" s="58"/>
      <c r="K1580" s="58"/>
      <c r="L1580" s="247"/>
      <c r="M1580" s="58"/>
      <c r="N1580" s="58"/>
      <c r="O1580" s="58"/>
      <c r="P1580" s="58"/>
      <c r="Q1580" s="58"/>
      <c r="R1580" s="58"/>
      <c r="S1580" s="58"/>
    </row>
    <row r="1581" spans="3:19" s="235" customFormat="1" ht="12.75">
      <c r="C1581" s="239"/>
      <c r="D1581" s="222"/>
      <c r="E1581" s="58"/>
      <c r="F1581" s="59"/>
      <c r="G1581" s="58"/>
      <c r="H1581" s="59"/>
      <c r="I1581" s="58"/>
      <c r="J1581" s="58"/>
      <c r="K1581" s="58"/>
      <c r="L1581" s="247"/>
      <c r="M1581" s="58"/>
      <c r="N1581" s="58"/>
      <c r="O1581" s="58"/>
      <c r="P1581" s="58"/>
      <c r="Q1581" s="58"/>
      <c r="R1581" s="58"/>
      <c r="S1581" s="58"/>
    </row>
    <row r="1582" spans="3:19" s="235" customFormat="1" ht="12.75">
      <c r="C1582" s="239"/>
      <c r="D1582" s="222"/>
      <c r="E1582" s="58"/>
      <c r="F1582" s="59"/>
      <c r="G1582" s="58"/>
      <c r="H1582" s="59"/>
      <c r="I1582" s="58"/>
      <c r="J1582" s="58"/>
      <c r="K1582" s="58"/>
      <c r="L1582" s="247"/>
      <c r="M1582" s="58"/>
      <c r="N1582" s="58"/>
      <c r="O1582" s="58"/>
      <c r="P1582" s="58"/>
      <c r="Q1582" s="58"/>
      <c r="R1582" s="58"/>
      <c r="S1582" s="58"/>
    </row>
    <row r="1583" spans="3:19" s="235" customFormat="1" ht="12.75">
      <c r="C1583" s="239"/>
      <c r="D1583" s="222"/>
      <c r="E1583" s="58"/>
      <c r="F1583" s="59"/>
      <c r="G1583" s="58"/>
      <c r="H1583" s="59"/>
      <c r="I1583" s="58"/>
      <c r="J1583" s="58"/>
      <c r="K1583" s="58"/>
      <c r="L1583" s="247"/>
      <c r="M1583" s="58"/>
      <c r="N1583" s="58"/>
      <c r="O1583" s="58"/>
      <c r="P1583" s="58"/>
      <c r="Q1583" s="58"/>
      <c r="R1583" s="58"/>
      <c r="S1583" s="58"/>
    </row>
    <row r="1584" spans="3:19" s="235" customFormat="1" ht="12.75">
      <c r="C1584" s="239"/>
      <c r="D1584" s="222"/>
      <c r="E1584" s="58"/>
      <c r="F1584" s="59"/>
      <c r="G1584" s="58"/>
      <c r="H1584" s="59"/>
      <c r="I1584" s="58"/>
      <c r="J1584" s="58"/>
      <c r="K1584" s="58"/>
      <c r="L1584" s="247"/>
      <c r="M1584" s="58"/>
      <c r="N1584" s="58"/>
      <c r="O1584" s="58"/>
      <c r="P1584" s="58"/>
      <c r="Q1584" s="58"/>
      <c r="R1584" s="58"/>
      <c r="S1584" s="58"/>
    </row>
    <row r="1585" spans="3:19" s="235" customFormat="1" ht="12.75">
      <c r="C1585" s="239"/>
      <c r="D1585" s="222"/>
      <c r="E1585" s="58"/>
      <c r="F1585" s="59"/>
      <c r="G1585" s="58"/>
      <c r="H1585" s="59"/>
      <c r="I1585" s="58"/>
      <c r="J1585" s="58"/>
      <c r="K1585" s="58"/>
      <c r="L1585" s="247"/>
      <c r="M1585" s="58"/>
      <c r="N1585" s="58"/>
      <c r="O1585" s="58"/>
      <c r="P1585" s="58"/>
      <c r="Q1585" s="58"/>
      <c r="R1585" s="58"/>
      <c r="S1585" s="58"/>
    </row>
    <row r="1586" spans="3:19" s="235" customFormat="1" ht="12.75">
      <c r="C1586" s="239"/>
      <c r="D1586" s="222"/>
      <c r="E1586" s="58"/>
      <c r="F1586" s="59"/>
      <c r="G1586" s="58"/>
      <c r="H1586" s="59"/>
      <c r="I1586" s="58"/>
      <c r="J1586" s="58"/>
      <c r="K1586" s="58"/>
      <c r="L1586" s="247"/>
      <c r="M1586" s="58"/>
      <c r="N1586" s="58"/>
      <c r="O1586" s="58"/>
      <c r="P1586" s="58"/>
      <c r="Q1586" s="58"/>
      <c r="R1586" s="58"/>
      <c r="S1586" s="58"/>
    </row>
    <row r="1587" spans="3:19" s="235" customFormat="1" ht="12.75">
      <c r="C1587" s="239"/>
      <c r="D1587" s="222"/>
      <c r="E1587" s="58"/>
      <c r="F1587" s="59"/>
      <c r="G1587" s="58"/>
      <c r="H1587" s="59"/>
      <c r="I1587" s="58"/>
      <c r="J1587" s="58"/>
      <c r="K1587" s="58"/>
      <c r="L1587" s="247"/>
      <c r="M1587" s="58"/>
      <c r="N1587" s="58"/>
      <c r="O1587" s="58"/>
      <c r="P1587" s="58"/>
      <c r="Q1587" s="58"/>
      <c r="R1587" s="58"/>
      <c r="S1587" s="58"/>
    </row>
    <row r="1588" spans="3:19" s="235" customFormat="1" ht="12.75">
      <c r="C1588" s="239"/>
      <c r="D1588" s="222"/>
      <c r="E1588" s="58"/>
      <c r="F1588" s="59"/>
      <c r="G1588" s="58"/>
      <c r="H1588" s="59"/>
      <c r="I1588" s="58"/>
      <c r="J1588" s="58"/>
      <c r="K1588" s="58"/>
      <c r="L1588" s="247"/>
      <c r="M1588" s="58"/>
      <c r="N1588" s="58"/>
      <c r="O1588" s="58"/>
      <c r="P1588" s="58"/>
      <c r="Q1588" s="58"/>
      <c r="R1588" s="58"/>
      <c r="S1588" s="58"/>
    </row>
    <row r="1589" spans="3:19" s="235" customFormat="1" ht="12.75">
      <c r="C1589" s="239"/>
      <c r="D1589" s="222"/>
      <c r="E1589" s="58"/>
      <c r="F1589" s="59"/>
      <c r="G1589" s="58"/>
      <c r="H1589" s="59"/>
      <c r="I1589" s="58"/>
      <c r="J1589" s="58"/>
      <c r="K1589" s="58"/>
      <c r="L1589" s="247"/>
      <c r="M1589" s="58"/>
      <c r="N1589" s="58"/>
      <c r="O1589" s="58"/>
      <c r="P1589" s="58"/>
      <c r="Q1589" s="58"/>
      <c r="R1589" s="58"/>
      <c r="S1589" s="58"/>
    </row>
    <row r="1590" spans="3:19" s="235" customFormat="1" ht="12.75">
      <c r="C1590" s="239"/>
      <c r="D1590" s="222"/>
      <c r="E1590" s="58"/>
      <c r="F1590" s="59"/>
      <c r="G1590" s="58"/>
      <c r="H1590" s="59"/>
      <c r="I1590" s="58"/>
      <c r="J1590" s="58"/>
      <c r="K1590" s="58"/>
      <c r="L1590" s="247"/>
      <c r="M1590" s="58"/>
      <c r="N1590" s="58"/>
      <c r="O1590" s="58"/>
      <c r="P1590" s="58"/>
      <c r="Q1590" s="58"/>
      <c r="R1590" s="58"/>
      <c r="S1590" s="58"/>
    </row>
    <row r="1591" spans="3:19" s="235" customFormat="1" ht="12.75">
      <c r="C1591" s="239"/>
      <c r="D1591" s="222"/>
      <c r="E1591" s="58"/>
      <c r="F1591" s="59"/>
      <c r="G1591" s="58"/>
      <c r="H1591" s="59"/>
      <c r="I1591" s="58"/>
      <c r="J1591" s="58"/>
      <c r="K1591" s="58"/>
      <c r="L1591" s="247"/>
      <c r="M1591" s="58"/>
      <c r="N1591" s="58"/>
      <c r="O1591" s="58"/>
      <c r="P1591" s="58"/>
      <c r="Q1591" s="58"/>
      <c r="R1591" s="58"/>
      <c r="S1591" s="58"/>
    </row>
    <row r="1592" spans="3:19" s="235" customFormat="1" ht="12.75">
      <c r="C1592" s="239"/>
      <c r="D1592" s="222"/>
      <c r="E1592" s="58"/>
      <c r="F1592" s="59"/>
      <c r="G1592" s="58"/>
      <c r="H1592" s="59"/>
      <c r="I1592" s="58"/>
      <c r="J1592" s="58"/>
      <c r="K1592" s="58"/>
      <c r="L1592" s="247"/>
      <c r="M1592" s="58"/>
      <c r="N1592" s="58"/>
      <c r="O1592" s="58"/>
      <c r="P1592" s="58"/>
      <c r="Q1592" s="58"/>
      <c r="R1592" s="58"/>
      <c r="S1592" s="58"/>
    </row>
    <row r="1593" spans="3:19" s="235" customFormat="1" ht="12.75">
      <c r="C1593" s="239"/>
      <c r="D1593" s="222"/>
      <c r="E1593" s="58"/>
      <c r="F1593" s="59"/>
      <c r="G1593" s="58"/>
      <c r="H1593" s="59"/>
      <c r="I1593" s="58"/>
      <c r="J1593" s="58"/>
      <c r="K1593" s="58"/>
      <c r="L1593" s="247"/>
      <c r="M1593" s="58"/>
      <c r="N1593" s="58"/>
      <c r="O1593" s="58"/>
      <c r="P1593" s="58"/>
      <c r="Q1593" s="58"/>
      <c r="R1593" s="58"/>
      <c r="S1593" s="58"/>
    </row>
    <row r="1594" spans="3:19" s="235" customFormat="1" ht="12.75">
      <c r="C1594" s="239"/>
      <c r="D1594" s="222"/>
      <c r="E1594" s="58"/>
      <c r="F1594" s="59"/>
      <c r="G1594" s="58"/>
      <c r="H1594" s="59"/>
      <c r="I1594" s="58"/>
      <c r="J1594" s="58"/>
      <c r="K1594" s="58"/>
      <c r="L1594" s="247"/>
      <c r="M1594" s="58"/>
      <c r="N1594" s="58"/>
      <c r="O1594" s="58"/>
      <c r="P1594" s="58"/>
      <c r="Q1594" s="58"/>
      <c r="R1594" s="58"/>
      <c r="S1594" s="58"/>
    </row>
    <row r="1595" spans="3:19" s="235" customFormat="1" ht="12.75">
      <c r="C1595" s="239"/>
      <c r="D1595" s="222"/>
      <c r="E1595" s="58"/>
      <c r="F1595" s="59"/>
      <c r="G1595" s="58"/>
      <c r="H1595" s="59"/>
      <c r="I1595" s="58"/>
      <c r="J1595" s="58"/>
      <c r="K1595" s="58"/>
      <c r="L1595" s="247"/>
      <c r="M1595" s="58"/>
      <c r="N1595" s="58"/>
      <c r="O1595" s="58"/>
      <c r="P1595" s="58"/>
      <c r="Q1595" s="58"/>
      <c r="R1595" s="58"/>
      <c r="S1595" s="58"/>
    </row>
    <row r="1596" spans="3:19" s="235" customFormat="1" ht="12.75">
      <c r="C1596" s="239"/>
      <c r="D1596" s="222"/>
      <c r="E1596" s="58"/>
      <c r="F1596" s="59"/>
      <c r="G1596" s="58"/>
      <c r="H1596" s="59"/>
      <c r="I1596" s="58"/>
      <c r="J1596" s="58"/>
      <c r="K1596" s="58"/>
      <c r="L1596" s="247"/>
      <c r="M1596" s="58"/>
      <c r="N1596" s="58"/>
      <c r="O1596" s="58"/>
      <c r="P1596" s="58"/>
      <c r="Q1596" s="58"/>
      <c r="R1596" s="58"/>
      <c r="S1596" s="58"/>
    </row>
    <row r="1597" spans="3:19" s="235" customFormat="1" ht="12.75">
      <c r="C1597" s="239"/>
      <c r="D1597" s="222"/>
      <c r="E1597" s="58"/>
      <c r="F1597" s="59"/>
      <c r="G1597" s="58"/>
      <c r="H1597" s="59"/>
      <c r="I1597" s="58"/>
      <c r="J1597" s="58"/>
      <c r="K1597" s="58"/>
      <c r="L1597" s="247"/>
      <c r="M1597" s="58"/>
      <c r="N1597" s="58"/>
      <c r="O1597" s="58"/>
      <c r="P1597" s="58"/>
      <c r="Q1597" s="58"/>
      <c r="R1597" s="58"/>
      <c r="S1597" s="58"/>
    </row>
    <row r="1598" spans="3:19" s="235" customFormat="1" ht="12.75">
      <c r="C1598" s="239"/>
      <c r="D1598" s="222"/>
      <c r="E1598" s="58"/>
      <c r="F1598" s="59"/>
      <c r="G1598" s="58"/>
      <c r="H1598" s="59"/>
      <c r="I1598" s="58"/>
      <c r="J1598" s="58"/>
      <c r="K1598" s="58"/>
      <c r="L1598" s="247"/>
      <c r="M1598" s="58"/>
      <c r="N1598" s="58"/>
      <c r="O1598" s="58"/>
      <c r="P1598" s="58"/>
      <c r="Q1598" s="58"/>
      <c r="R1598" s="58"/>
      <c r="S1598" s="58"/>
    </row>
    <row r="1599" spans="3:19" s="235" customFormat="1" ht="12.75">
      <c r="C1599" s="239"/>
      <c r="D1599" s="222"/>
      <c r="E1599" s="58"/>
      <c r="F1599" s="59"/>
      <c r="G1599" s="58"/>
      <c r="H1599" s="59"/>
      <c r="I1599" s="58"/>
      <c r="J1599" s="58"/>
      <c r="K1599" s="58"/>
      <c r="L1599" s="247"/>
      <c r="M1599" s="58"/>
      <c r="N1599" s="58"/>
      <c r="O1599" s="58"/>
      <c r="P1599" s="58"/>
      <c r="Q1599" s="58"/>
      <c r="R1599" s="58"/>
      <c r="S1599" s="58"/>
    </row>
    <row r="1600" spans="3:19" s="235" customFormat="1" ht="12.75">
      <c r="C1600" s="239"/>
      <c r="D1600" s="222"/>
      <c r="E1600" s="58"/>
      <c r="F1600" s="59"/>
      <c r="G1600" s="58"/>
      <c r="H1600" s="59"/>
      <c r="I1600" s="58"/>
      <c r="J1600" s="58"/>
      <c r="K1600" s="58"/>
      <c r="L1600" s="247"/>
      <c r="M1600" s="58"/>
      <c r="N1600" s="58"/>
      <c r="O1600" s="58"/>
      <c r="P1600" s="58"/>
      <c r="Q1600" s="58"/>
      <c r="R1600" s="58"/>
      <c r="S1600" s="58"/>
    </row>
    <row r="1601" spans="3:19" s="235" customFormat="1" ht="12.75">
      <c r="C1601" s="239"/>
      <c r="D1601" s="222"/>
      <c r="E1601" s="58"/>
      <c r="F1601" s="59"/>
      <c r="G1601" s="58"/>
      <c r="H1601" s="59"/>
      <c r="I1601" s="58"/>
      <c r="J1601" s="58"/>
      <c r="K1601" s="58"/>
      <c r="L1601" s="247"/>
      <c r="M1601" s="58"/>
      <c r="N1601" s="58"/>
      <c r="O1601" s="58"/>
      <c r="P1601" s="58"/>
      <c r="Q1601" s="58"/>
      <c r="R1601" s="58"/>
      <c r="S1601" s="58"/>
    </row>
    <row r="1602" spans="3:19" s="235" customFormat="1" ht="12.75">
      <c r="C1602" s="239"/>
      <c r="D1602" s="222"/>
      <c r="E1602" s="58"/>
      <c r="F1602" s="59"/>
      <c r="G1602" s="58"/>
      <c r="H1602" s="59"/>
      <c r="I1602" s="58"/>
      <c r="J1602" s="58"/>
      <c r="K1602" s="58"/>
      <c r="L1602" s="247"/>
      <c r="M1602" s="58"/>
      <c r="N1602" s="58"/>
      <c r="O1602" s="58"/>
      <c r="P1602" s="58"/>
      <c r="Q1602" s="58"/>
      <c r="R1602" s="58"/>
      <c r="S1602" s="58"/>
    </row>
    <row r="1603" spans="3:19" s="235" customFormat="1" ht="12.75">
      <c r="C1603" s="239"/>
      <c r="D1603" s="222"/>
      <c r="E1603" s="58"/>
      <c r="F1603" s="59"/>
      <c r="G1603" s="58"/>
      <c r="H1603" s="59"/>
      <c r="I1603" s="58"/>
      <c r="J1603" s="58"/>
      <c r="K1603" s="58"/>
      <c r="L1603" s="247"/>
      <c r="M1603" s="58"/>
      <c r="N1603" s="58"/>
      <c r="O1603" s="58"/>
      <c r="P1603" s="58"/>
      <c r="Q1603" s="58"/>
      <c r="R1603" s="58"/>
      <c r="S1603" s="58"/>
    </row>
    <row r="1604" spans="3:19" s="235" customFormat="1" ht="12.75">
      <c r="C1604" s="239"/>
      <c r="D1604" s="222"/>
      <c r="E1604" s="58"/>
      <c r="F1604" s="59"/>
      <c r="G1604" s="58"/>
      <c r="H1604" s="59"/>
      <c r="I1604" s="58"/>
      <c r="J1604" s="58"/>
      <c r="K1604" s="58"/>
      <c r="L1604" s="247"/>
      <c r="M1604" s="58"/>
      <c r="N1604" s="58"/>
      <c r="O1604" s="58"/>
      <c r="P1604" s="58"/>
      <c r="Q1604" s="58"/>
      <c r="R1604" s="58"/>
      <c r="S1604" s="58"/>
    </row>
    <row r="1605" spans="3:19" s="235" customFormat="1" ht="12.75">
      <c r="C1605" s="239"/>
      <c r="D1605" s="222"/>
      <c r="E1605" s="58"/>
      <c r="F1605" s="59"/>
      <c r="G1605" s="58"/>
      <c r="H1605" s="59"/>
      <c r="I1605" s="58"/>
      <c r="J1605" s="58"/>
      <c r="K1605" s="58"/>
      <c r="L1605" s="247"/>
      <c r="M1605" s="58"/>
      <c r="N1605" s="58"/>
      <c r="O1605" s="58"/>
      <c r="P1605" s="58"/>
      <c r="Q1605" s="58"/>
      <c r="R1605" s="58"/>
      <c r="S1605" s="58"/>
    </row>
    <row r="1606" spans="3:19" s="235" customFormat="1" ht="12.75">
      <c r="C1606" s="239"/>
      <c r="D1606" s="222"/>
      <c r="E1606" s="58"/>
      <c r="F1606" s="59"/>
      <c r="G1606" s="58"/>
      <c r="H1606" s="59"/>
      <c r="I1606" s="58"/>
      <c r="J1606" s="58"/>
      <c r="K1606" s="58"/>
      <c r="L1606" s="247"/>
      <c r="M1606" s="58"/>
      <c r="N1606" s="58"/>
      <c r="O1606" s="58"/>
      <c r="P1606" s="58"/>
      <c r="Q1606" s="58"/>
      <c r="R1606" s="58"/>
      <c r="S1606" s="58"/>
    </row>
    <row r="1607" spans="3:19" s="235" customFormat="1" ht="12.75">
      <c r="C1607" s="239"/>
      <c r="D1607" s="222"/>
      <c r="E1607" s="58"/>
      <c r="F1607" s="59"/>
      <c r="G1607" s="58"/>
      <c r="H1607" s="59"/>
      <c r="I1607" s="58"/>
      <c r="J1607" s="58"/>
      <c r="K1607" s="58"/>
      <c r="L1607" s="247"/>
      <c r="M1607" s="58"/>
      <c r="N1607" s="58"/>
      <c r="O1607" s="58"/>
      <c r="P1607" s="58"/>
      <c r="Q1607" s="58"/>
      <c r="R1607" s="58"/>
      <c r="S1607" s="58"/>
    </row>
    <row r="1608" spans="3:19" s="235" customFormat="1" ht="12.75">
      <c r="C1608" s="239"/>
      <c r="D1608" s="222"/>
      <c r="E1608" s="58"/>
      <c r="F1608" s="59"/>
      <c r="G1608" s="58"/>
      <c r="H1608" s="59"/>
      <c r="I1608" s="58"/>
      <c r="J1608" s="58"/>
      <c r="K1608" s="58"/>
      <c r="L1608" s="247"/>
      <c r="M1608" s="58"/>
      <c r="N1608" s="58"/>
      <c r="O1608" s="58"/>
      <c r="P1608" s="58"/>
      <c r="Q1608" s="58"/>
      <c r="R1608" s="58"/>
      <c r="S1608" s="58"/>
    </row>
    <row r="1609" spans="3:19" s="235" customFormat="1" ht="12.75">
      <c r="C1609" s="239"/>
      <c r="D1609" s="222"/>
      <c r="E1609" s="58"/>
      <c r="F1609" s="59"/>
      <c r="G1609" s="58"/>
      <c r="H1609" s="59"/>
      <c r="I1609" s="58"/>
      <c r="J1609" s="58"/>
      <c r="K1609" s="58"/>
      <c r="L1609" s="247"/>
      <c r="M1609" s="58"/>
      <c r="N1609" s="58"/>
      <c r="O1609" s="58"/>
      <c r="P1609" s="58"/>
      <c r="Q1609" s="58"/>
      <c r="R1609" s="58"/>
      <c r="S1609" s="58"/>
    </row>
    <row r="1610" spans="3:19" s="235" customFormat="1" ht="12.75">
      <c r="C1610" s="239"/>
      <c r="D1610" s="222"/>
      <c r="E1610" s="58"/>
      <c r="F1610" s="59"/>
      <c r="G1610" s="58"/>
      <c r="H1610" s="59"/>
      <c r="I1610" s="58"/>
      <c r="J1610" s="58"/>
      <c r="K1610" s="58"/>
      <c r="L1610" s="247"/>
      <c r="M1610" s="58"/>
      <c r="N1610" s="58"/>
      <c r="O1610" s="58"/>
      <c r="P1610" s="58"/>
      <c r="Q1610" s="58"/>
      <c r="R1610" s="58"/>
      <c r="S1610" s="58"/>
    </row>
    <row r="1611" spans="3:19" s="235" customFormat="1" ht="12.75">
      <c r="C1611" s="239"/>
      <c r="D1611" s="222"/>
      <c r="E1611" s="58"/>
      <c r="F1611" s="59"/>
      <c r="G1611" s="58"/>
      <c r="H1611" s="59"/>
      <c r="I1611" s="58"/>
      <c r="J1611" s="58"/>
      <c r="K1611" s="58"/>
      <c r="L1611" s="247"/>
      <c r="M1611" s="58"/>
      <c r="N1611" s="58"/>
      <c r="O1611" s="58"/>
      <c r="P1611" s="58"/>
      <c r="Q1611" s="58"/>
      <c r="R1611" s="58"/>
      <c r="S1611" s="58"/>
    </row>
    <row r="1612" spans="3:19" s="235" customFormat="1" ht="12.75">
      <c r="C1612" s="239"/>
      <c r="D1612" s="222"/>
      <c r="E1612" s="58"/>
      <c r="F1612" s="59"/>
      <c r="G1612" s="58"/>
      <c r="H1612" s="59"/>
      <c r="I1612" s="58"/>
      <c r="J1612" s="58"/>
      <c r="K1612" s="58"/>
      <c r="L1612" s="247"/>
      <c r="M1612" s="58"/>
      <c r="N1612" s="58"/>
      <c r="O1612" s="58"/>
      <c r="P1612" s="58"/>
      <c r="Q1612" s="58"/>
      <c r="R1612" s="58"/>
      <c r="S1612" s="58"/>
    </row>
    <row r="1613" spans="3:19" s="235" customFormat="1" ht="12.75">
      <c r="C1613" s="239"/>
      <c r="D1613" s="222"/>
      <c r="E1613" s="58"/>
      <c r="F1613" s="59"/>
      <c r="G1613" s="58"/>
      <c r="H1613" s="59"/>
      <c r="I1613" s="58"/>
      <c r="J1613" s="58"/>
      <c r="K1613" s="58"/>
      <c r="L1613" s="247"/>
      <c r="M1613" s="58"/>
      <c r="N1613" s="58"/>
      <c r="O1613" s="58"/>
      <c r="P1613" s="58"/>
      <c r="Q1613" s="58"/>
      <c r="R1613" s="58"/>
      <c r="S1613" s="58"/>
    </row>
    <row r="1614" spans="3:19" s="235" customFormat="1" ht="12.75">
      <c r="C1614" s="239"/>
      <c r="D1614" s="222"/>
      <c r="E1614" s="58"/>
      <c r="F1614" s="59"/>
      <c r="G1614" s="58"/>
      <c r="H1614" s="59"/>
      <c r="I1614" s="58"/>
      <c r="J1614" s="58"/>
      <c r="K1614" s="58"/>
      <c r="L1614" s="247"/>
      <c r="M1614" s="58"/>
      <c r="N1614" s="58"/>
      <c r="O1614" s="58"/>
      <c r="P1614" s="58"/>
      <c r="Q1614" s="58"/>
      <c r="R1614" s="58"/>
      <c r="S1614" s="58"/>
    </row>
    <row r="1615" spans="3:19" s="235" customFormat="1" ht="12.75">
      <c r="C1615" s="239"/>
      <c r="D1615" s="222"/>
      <c r="E1615" s="58"/>
      <c r="F1615" s="59"/>
      <c r="G1615" s="58"/>
      <c r="H1615" s="59"/>
      <c r="I1615" s="58"/>
      <c r="J1615" s="58"/>
      <c r="K1615" s="58"/>
      <c r="L1615" s="247"/>
      <c r="M1615" s="58"/>
      <c r="N1615" s="58"/>
      <c r="O1615" s="58"/>
      <c r="P1615" s="58"/>
      <c r="Q1615" s="58"/>
      <c r="R1615" s="58"/>
      <c r="S1615" s="58"/>
    </row>
    <row r="1616" spans="3:19" s="235" customFormat="1" ht="12.75">
      <c r="C1616" s="239"/>
      <c r="D1616" s="222"/>
      <c r="E1616" s="58"/>
      <c r="F1616" s="59"/>
      <c r="G1616" s="58"/>
      <c r="H1616" s="59"/>
      <c r="I1616" s="58"/>
      <c r="J1616" s="58"/>
      <c r="K1616" s="58"/>
      <c r="L1616" s="247"/>
      <c r="M1616" s="58"/>
      <c r="N1616" s="58"/>
      <c r="O1616" s="58"/>
      <c r="P1616" s="58"/>
      <c r="Q1616" s="58"/>
      <c r="R1616" s="58"/>
      <c r="S1616" s="58"/>
    </row>
    <row r="1617" spans="3:19" s="235" customFormat="1" ht="12.75">
      <c r="C1617" s="239"/>
      <c r="D1617" s="222"/>
      <c r="E1617" s="58"/>
      <c r="F1617" s="59"/>
      <c r="G1617" s="58"/>
      <c r="H1617" s="59"/>
      <c r="I1617" s="58"/>
      <c r="J1617" s="58"/>
      <c r="K1617" s="58"/>
      <c r="L1617" s="247"/>
      <c r="M1617" s="58"/>
      <c r="N1617" s="58"/>
      <c r="O1617" s="58"/>
      <c r="P1617" s="58"/>
      <c r="Q1617" s="58"/>
      <c r="R1617" s="58"/>
      <c r="S1617" s="58"/>
    </row>
    <row r="1618" spans="3:19" s="235" customFormat="1" ht="12.75">
      <c r="C1618" s="239"/>
      <c r="D1618" s="222"/>
      <c r="E1618" s="58"/>
      <c r="F1618" s="59"/>
      <c r="G1618" s="58"/>
      <c r="H1618" s="59"/>
      <c r="I1618" s="58"/>
      <c r="J1618" s="58"/>
      <c r="K1618" s="58"/>
      <c r="L1618" s="247"/>
      <c r="M1618" s="58"/>
      <c r="N1618" s="58"/>
      <c r="O1618" s="58"/>
      <c r="P1618" s="58"/>
      <c r="Q1618" s="58"/>
      <c r="R1618" s="58"/>
      <c r="S1618" s="58"/>
    </row>
    <row r="1619" spans="3:19" s="235" customFormat="1" ht="12.75">
      <c r="C1619" s="239"/>
      <c r="D1619" s="222"/>
      <c r="E1619" s="58"/>
      <c r="F1619" s="59"/>
      <c r="G1619" s="58"/>
      <c r="H1619" s="59"/>
      <c r="I1619" s="58"/>
      <c r="J1619" s="58"/>
      <c r="K1619" s="58"/>
      <c r="L1619" s="247"/>
      <c r="M1619" s="58"/>
      <c r="N1619" s="58"/>
      <c r="O1619" s="58"/>
      <c r="P1619" s="58"/>
      <c r="Q1619" s="58"/>
      <c r="R1619" s="58"/>
      <c r="S1619" s="58"/>
    </row>
    <row r="1620" spans="3:19" s="235" customFormat="1" ht="12.75">
      <c r="C1620" s="239"/>
      <c r="D1620" s="222"/>
      <c r="E1620" s="58"/>
      <c r="F1620" s="59"/>
      <c r="G1620" s="58"/>
      <c r="H1620" s="59"/>
      <c r="I1620" s="58"/>
      <c r="J1620" s="58"/>
      <c r="K1620" s="58"/>
      <c r="L1620" s="247"/>
      <c r="M1620" s="58"/>
      <c r="N1620" s="58"/>
      <c r="O1620" s="58"/>
      <c r="P1620" s="58"/>
      <c r="Q1620" s="58"/>
      <c r="R1620" s="58"/>
      <c r="S1620" s="58"/>
    </row>
    <row r="1621" spans="3:19" s="235" customFormat="1" ht="12.75">
      <c r="C1621" s="239"/>
      <c r="D1621" s="222"/>
      <c r="E1621" s="58"/>
      <c r="F1621" s="59"/>
      <c r="G1621" s="58"/>
      <c r="H1621" s="59"/>
      <c r="I1621" s="58"/>
      <c r="J1621" s="58"/>
      <c r="K1621" s="58"/>
      <c r="L1621" s="247"/>
      <c r="M1621" s="58"/>
      <c r="N1621" s="58"/>
      <c r="O1621" s="58"/>
      <c r="P1621" s="58"/>
      <c r="Q1621" s="58"/>
      <c r="R1621" s="58"/>
      <c r="S1621" s="58"/>
    </row>
    <row r="1622" spans="3:19" s="235" customFormat="1" ht="12.75">
      <c r="C1622" s="239"/>
      <c r="D1622" s="222"/>
      <c r="E1622" s="58"/>
      <c r="F1622" s="59"/>
      <c r="G1622" s="58"/>
      <c r="H1622" s="59"/>
      <c r="I1622" s="58"/>
      <c r="J1622" s="58"/>
      <c r="K1622" s="58"/>
      <c r="L1622" s="247"/>
      <c r="M1622" s="58"/>
      <c r="N1622" s="58"/>
      <c r="O1622" s="58"/>
      <c r="P1622" s="58"/>
      <c r="Q1622" s="58"/>
      <c r="R1622" s="58"/>
      <c r="S1622" s="58"/>
    </row>
    <row r="1623" spans="3:19" s="235" customFormat="1" ht="12.75">
      <c r="C1623" s="239"/>
      <c r="D1623" s="222"/>
      <c r="E1623" s="58"/>
      <c r="F1623" s="59"/>
      <c r="G1623" s="58"/>
      <c r="H1623" s="59"/>
      <c r="I1623" s="58"/>
      <c r="J1623" s="58"/>
      <c r="K1623" s="58"/>
      <c r="L1623" s="247"/>
      <c r="M1623" s="58"/>
      <c r="N1623" s="58"/>
      <c r="O1623" s="58"/>
      <c r="P1623" s="58"/>
      <c r="Q1623" s="58"/>
      <c r="R1623" s="58"/>
      <c r="S1623" s="58"/>
    </row>
    <row r="1624" spans="3:19" s="235" customFormat="1" ht="12.75">
      <c r="C1624" s="239"/>
      <c r="D1624" s="222"/>
      <c r="E1624" s="58"/>
      <c r="F1624" s="59"/>
      <c r="G1624" s="58"/>
      <c r="H1624" s="59"/>
      <c r="I1624" s="58"/>
      <c r="J1624" s="58"/>
      <c r="K1624" s="58"/>
      <c r="L1624" s="247"/>
      <c r="M1624" s="58"/>
      <c r="N1624" s="58"/>
      <c r="O1624" s="58"/>
      <c r="P1624" s="58"/>
      <c r="Q1624" s="58"/>
      <c r="R1624" s="58"/>
      <c r="S1624" s="58"/>
    </row>
    <row r="1625" spans="3:19" s="235" customFormat="1" ht="12.75">
      <c r="C1625" s="239"/>
      <c r="D1625" s="222"/>
      <c r="E1625" s="58"/>
      <c r="F1625" s="59"/>
      <c r="G1625" s="58"/>
      <c r="H1625" s="59"/>
      <c r="I1625" s="58"/>
      <c r="J1625" s="58"/>
      <c r="K1625" s="58"/>
      <c r="L1625" s="247"/>
      <c r="M1625" s="58"/>
      <c r="N1625" s="58"/>
      <c r="O1625" s="58"/>
      <c r="P1625" s="58"/>
      <c r="Q1625" s="58"/>
      <c r="R1625" s="58"/>
      <c r="S1625" s="58"/>
    </row>
    <row r="1626" spans="3:19" s="235" customFormat="1" ht="12.75">
      <c r="C1626" s="239"/>
      <c r="D1626" s="222"/>
      <c r="E1626" s="58"/>
      <c r="F1626" s="59"/>
      <c r="G1626" s="58"/>
      <c r="H1626" s="59"/>
      <c r="I1626" s="58"/>
      <c r="J1626" s="58"/>
      <c r="K1626" s="58"/>
      <c r="L1626" s="247"/>
      <c r="M1626" s="58"/>
      <c r="N1626" s="58"/>
      <c r="O1626" s="58"/>
      <c r="P1626" s="58"/>
      <c r="Q1626" s="58"/>
      <c r="R1626" s="58"/>
      <c r="S1626" s="58"/>
    </row>
    <row r="1627" spans="3:19" s="235" customFormat="1" ht="12.75">
      <c r="C1627" s="239"/>
      <c r="D1627" s="222"/>
      <c r="E1627" s="58"/>
      <c r="F1627" s="59"/>
      <c r="G1627" s="58"/>
      <c r="H1627" s="59"/>
      <c r="I1627" s="58"/>
      <c r="J1627" s="58"/>
      <c r="K1627" s="58"/>
      <c r="L1627" s="247"/>
      <c r="M1627" s="58"/>
      <c r="N1627" s="58"/>
      <c r="O1627" s="58"/>
      <c r="P1627" s="58"/>
      <c r="Q1627" s="58"/>
      <c r="R1627" s="58"/>
      <c r="S1627" s="58"/>
    </row>
    <row r="1628" spans="3:19" s="235" customFormat="1" ht="12.75">
      <c r="C1628" s="239"/>
      <c r="D1628" s="222"/>
      <c r="E1628" s="58"/>
      <c r="F1628" s="59"/>
      <c r="G1628" s="58"/>
      <c r="H1628" s="59"/>
      <c r="I1628" s="58"/>
      <c r="J1628" s="58"/>
      <c r="K1628" s="58"/>
      <c r="L1628" s="247"/>
      <c r="M1628" s="58"/>
      <c r="N1628" s="58"/>
      <c r="O1628" s="58"/>
      <c r="P1628" s="58"/>
      <c r="Q1628" s="58"/>
      <c r="R1628" s="58"/>
      <c r="S1628" s="58"/>
    </row>
    <row r="1629" spans="3:19" s="235" customFormat="1" ht="12.75">
      <c r="C1629" s="239"/>
      <c r="D1629" s="222"/>
      <c r="E1629" s="58"/>
      <c r="F1629" s="59"/>
      <c r="G1629" s="58"/>
      <c r="H1629" s="59"/>
      <c r="I1629" s="58"/>
      <c r="J1629" s="58"/>
      <c r="K1629" s="58"/>
      <c r="L1629" s="247"/>
      <c r="M1629" s="58"/>
      <c r="N1629" s="58"/>
      <c r="O1629" s="58"/>
      <c r="P1629" s="58"/>
      <c r="Q1629" s="58"/>
      <c r="R1629" s="58"/>
      <c r="S1629" s="58"/>
    </row>
    <row r="1630" spans="3:19" s="235" customFormat="1" ht="12.75">
      <c r="C1630" s="239"/>
      <c r="D1630" s="222"/>
      <c r="E1630" s="58"/>
      <c r="F1630" s="59"/>
      <c r="G1630" s="58"/>
      <c r="H1630" s="59"/>
      <c r="I1630" s="58"/>
      <c r="J1630" s="58"/>
      <c r="K1630" s="58"/>
      <c r="L1630" s="247"/>
      <c r="M1630" s="58"/>
      <c r="N1630" s="58"/>
      <c r="O1630" s="58"/>
      <c r="P1630" s="58"/>
      <c r="Q1630" s="58"/>
      <c r="R1630" s="58"/>
      <c r="S1630" s="58"/>
    </row>
    <row r="1631" spans="3:19" s="235" customFormat="1" ht="12.75">
      <c r="C1631" s="239"/>
      <c r="D1631" s="222"/>
      <c r="E1631" s="58"/>
      <c r="F1631" s="59"/>
      <c r="G1631" s="58"/>
      <c r="H1631" s="59"/>
      <c r="I1631" s="58"/>
      <c r="J1631" s="58"/>
      <c r="K1631" s="58"/>
      <c r="L1631" s="247"/>
      <c r="M1631" s="58"/>
      <c r="N1631" s="58"/>
      <c r="O1631" s="58"/>
      <c r="P1631" s="58"/>
      <c r="Q1631" s="58"/>
      <c r="R1631" s="58"/>
      <c r="S1631" s="58"/>
    </row>
    <row r="1632" spans="3:19" s="235" customFormat="1" ht="12.75">
      <c r="C1632" s="239"/>
      <c r="D1632" s="222"/>
      <c r="E1632" s="58"/>
      <c r="F1632" s="59"/>
      <c r="G1632" s="58"/>
      <c r="H1632" s="59"/>
      <c r="I1632" s="58"/>
      <c r="J1632" s="58"/>
      <c r="K1632" s="58"/>
      <c r="L1632" s="247"/>
      <c r="M1632" s="58"/>
      <c r="N1632" s="58"/>
      <c r="O1632" s="58"/>
      <c r="P1632" s="58"/>
      <c r="Q1632" s="58"/>
      <c r="R1632" s="58"/>
      <c r="S1632" s="58"/>
    </row>
    <row r="1633" spans="3:19" s="235" customFormat="1" ht="12.75">
      <c r="C1633" s="239"/>
      <c r="D1633" s="222"/>
      <c r="E1633" s="58"/>
      <c r="F1633" s="59"/>
      <c r="G1633" s="58"/>
      <c r="H1633" s="59"/>
      <c r="I1633" s="58"/>
      <c r="J1633" s="58"/>
      <c r="K1633" s="58"/>
      <c r="L1633" s="247"/>
      <c r="M1633" s="58"/>
      <c r="N1633" s="58"/>
      <c r="O1633" s="58"/>
      <c r="P1633" s="58"/>
      <c r="Q1633" s="58"/>
      <c r="R1633" s="58"/>
      <c r="S1633" s="58"/>
    </row>
    <row r="1634" spans="3:19" s="235" customFormat="1" ht="12.75">
      <c r="C1634" s="239"/>
      <c r="D1634" s="222"/>
      <c r="E1634" s="58"/>
      <c r="F1634" s="59"/>
      <c r="G1634" s="58"/>
      <c r="H1634" s="59"/>
      <c r="I1634" s="58"/>
      <c r="J1634" s="58"/>
      <c r="K1634" s="58"/>
      <c r="L1634" s="247"/>
      <c r="M1634" s="58"/>
      <c r="N1634" s="58"/>
      <c r="O1634" s="58"/>
      <c r="P1634" s="58"/>
      <c r="Q1634" s="58"/>
      <c r="R1634" s="58"/>
      <c r="S1634" s="58"/>
    </row>
    <row r="1635" spans="3:19" s="235" customFormat="1" ht="12.75">
      <c r="C1635" s="239"/>
      <c r="D1635" s="222"/>
      <c r="E1635" s="58"/>
      <c r="F1635" s="59"/>
      <c r="G1635" s="58"/>
      <c r="H1635" s="59"/>
      <c r="I1635" s="58"/>
      <c r="J1635" s="58"/>
      <c r="K1635" s="58"/>
      <c r="L1635" s="247"/>
      <c r="M1635" s="58"/>
      <c r="N1635" s="58"/>
      <c r="O1635" s="58"/>
      <c r="P1635" s="58"/>
      <c r="Q1635" s="58"/>
      <c r="R1635" s="58"/>
      <c r="S1635" s="58"/>
    </row>
    <row r="1636" spans="3:19" s="235" customFormat="1" ht="12.75">
      <c r="C1636" s="239"/>
      <c r="D1636" s="222"/>
      <c r="E1636" s="58"/>
      <c r="F1636" s="59"/>
      <c r="G1636" s="58"/>
      <c r="H1636" s="59"/>
      <c r="I1636" s="58"/>
      <c r="J1636" s="58"/>
      <c r="K1636" s="58"/>
      <c r="L1636" s="247"/>
      <c r="M1636" s="58"/>
      <c r="N1636" s="58"/>
      <c r="O1636" s="58"/>
      <c r="P1636" s="58"/>
      <c r="Q1636" s="58"/>
      <c r="R1636" s="58"/>
      <c r="S1636" s="58"/>
    </row>
    <row r="1637" spans="3:19" s="235" customFormat="1" ht="12.75">
      <c r="C1637" s="239"/>
      <c r="D1637" s="222"/>
      <c r="E1637" s="58"/>
      <c r="F1637" s="59"/>
      <c r="G1637" s="58"/>
      <c r="H1637" s="59"/>
      <c r="I1637" s="58"/>
      <c r="J1637" s="58"/>
      <c r="K1637" s="58"/>
      <c r="L1637" s="247"/>
      <c r="M1637" s="58"/>
      <c r="N1637" s="58"/>
      <c r="O1637" s="58"/>
      <c r="P1637" s="58"/>
      <c r="Q1637" s="58"/>
      <c r="R1637" s="58"/>
      <c r="S1637" s="58"/>
    </row>
    <row r="1638" spans="3:19" s="235" customFormat="1" ht="12.75">
      <c r="C1638" s="239"/>
      <c r="D1638" s="222"/>
      <c r="E1638" s="58"/>
      <c r="F1638" s="59"/>
      <c r="G1638" s="58"/>
      <c r="H1638" s="59"/>
      <c r="I1638" s="58"/>
      <c r="J1638" s="58"/>
      <c r="K1638" s="58"/>
      <c r="L1638" s="247"/>
      <c r="M1638" s="58"/>
      <c r="N1638" s="58"/>
      <c r="O1638" s="58"/>
      <c r="P1638" s="58"/>
      <c r="Q1638" s="58"/>
      <c r="R1638" s="58"/>
      <c r="S1638" s="58"/>
    </row>
    <row r="1639" spans="3:19" s="235" customFormat="1" ht="12.75">
      <c r="C1639" s="239"/>
      <c r="D1639" s="222"/>
      <c r="E1639" s="58"/>
      <c r="F1639" s="59"/>
      <c r="G1639" s="58"/>
      <c r="H1639" s="59"/>
      <c r="I1639" s="58"/>
      <c r="J1639" s="58"/>
      <c r="K1639" s="58"/>
      <c r="L1639" s="247"/>
      <c r="M1639" s="58"/>
      <c r="N1639" s="58"/>
      <c r="O1639" s="58"/>
      <c r="P1639" s="58"/>
      <c r="Q1639" s="58"/>
      <c r="R1639" s="58"/>
      <c r="S1639" s="58"/>
    </row>
    <row r="1640" spans="3:19" s="235" customFormat="1" ht="12.75">
      <c r="C1640" s="239"/>
      <c r="D1640" s="222"/>
      <c r="E1640" s="58"/>
      <c r="F1640" s="59"/>
      <c r="G1640" s="58"/>
      <c r="H1640" s="59"/>
      <c r="I1640" s="58"/>
      <c r="J1640" s="58"/>
      <c r="K1640" s="58"/>
      <c r="L1640" s="247"/>
      <c r="M1640" s="58"/>
      <c r="N1640" s="58"/>
      <c r="O1640" s="58"/>
      <c r="P1640" s="58"/>
      <c r="Q1640" s="58"/>
      <c r="R1640" s="58"/>
      <c r="S1640" s="58"/>
    </row>
    <row r="1641" spans="3:19" s="235" customFormat="1" ht="12.75">
      <c r="C1641" s="239"/>
      <c r="D1641" s="222"/>
      <c r="E1641" s="58"/>
      <c r="F1641" s="59"/>
      <c r="G1641" s="58"/>
      <c r="H1641" s="59"/>
      <c r="I1641" s="58"/>
      <c r="J1641" s="58"/>
      <c r="K1641" s="58"/>
      <c r="L1641" s="247"/>
      <c r="M1641" s="58"/>
      <c r="N1641" s="58"/>
      <c r="O1641" s="58"/>
      <c r="P1641" s="58"/>
      <c r="Q1641" s="58"/>
      <c r="R1641" s="58"/>
      <c r="S1641" s="58"/>
    </row>
    <row r="1642" spans="3:19" s="235" customFormat="1" ht="12.75">
      <c r="C1642" s="239"/>
      <c r="D1642" s="222"/>
      <c r="E1642" s="58"/>
      <c r="F1642" s="59"/>
      <c r="G1642" s="58"/>
      <c r="H1642" s="59"/>
      <c r="I1642" s="58"/>
      <c r="J1642" s="58"/>
      <c r="K1642" s="58"/>
      <c r="L1642" s="247"/>
      <c r="M1642" s="58"/>
      <c r="N1642" s="58"/>
      <c r="O1642" s="58"/>
      <c r="P1642" s="58"/>
      <c r="Q1642" s="58"/>
      <c r="R1642" s="58"/>
      <c r="S1642" s="58"/>
    </row>
    <row r="1643" spans="3:19" s="235" customFormat="1" ht="12.75">
      <c r="C1643" s="239"/>
      <c r="D1643" s="222"/>
      <c r="E1643" s="58"/>
      <c r="F1643" s="59"/>
      <c r="G1643" s="58"/>
      <c r="H1643" s="59"/>
      <c r="I1643" s="58"/>
      <c r="J1643" s="58"/>
      <c r="K1643" s="58"/>
      <c r="L1643" s="247"/>
      <c r="M1643" s="58"/>
      <c r="N1643" s="58"/>
      <c r="O1643" s="58"/>
      <c r="P1643" s="58"/>
      <c r="Q1643" s="58"/>
      <c r="R1643" s="58"/>
      <c r="S1643" s="58"/>
    </row>
    <row r="1644" spans="3:19" s="235" customFormat="1" ht="12.75">
      <c r="C1644" s="239"/>
      <c r="D1644" s="222"/>
      <c r="E1644" s="58"/>
      <c r="F1644" s="59"/>
      <c r="G1644" s="58"/>
      <c r="H1644" s="59"/>
      <c r="I1644" s="58"/>
      <c r="J1644" s="58"/>
      <c r="K1644" s="58"/>
      <c r="L1644" s="247"/>
      <c r="M1644" s="58"/>
      <c r="N1644" s="58"/>
      <c r="O1644" s="58"/>
      <c r="P1644" s="58"/>
      <c r="Q1644" s="58"/>
      <c r="R1644" s="58"/>
      <c r="S1644" s="58"/>
    </row>
    <row r="1645" spans="3:19" s="235" customFormat="1" ht="12.75">
      <c r="C1645" s="239"/>
      <c r="D1645" s="222"/>
      <c r="E1645" s="58"/>
      <c r="F1645" s="59"/>
      <c r="G1645" s="58"/>
      <c r="H1645" s="59"/>
      <c r="I1645" s="58"/>
      <c r="J1645" s="58"/>
      <c r="K1645" s="58"/>
      <c r="L1645" s="247"/>
      <c r="M1645" s="58"/>
      <c r="N1645" s="58"/>
      <c r="O1645" s="58"/>
      <c r="P1645" s="58"/>
      <c r="Q1645" s="58"/>
      <c r="R1645" s="58"/>
      <c r="S1645" s="58"/>
    </row>
    <row r="1646" spans="3:19" s="235" customFormat="1" ht="12.75">
      <c r="C1646" s="239"/>
      <c r="D1646" s="222"/>
      <c r="E1646" s="58"/>
      <c r="F1646" s="59"/>
      <c r="G1646" s="58"/>
      <c r="H1646" s="59"/>
      <c r="I1646" s="58"/>
      <c r="J1646" s="58"/>
      <c r="K1646" s="58"/>
      <c r="L1646" s="247"/>
      <c r="M1646" s="58"/>
      <c r="N1646" s="58"/>
      <c r="O1646" s="58"/>
      <c r="P1646" s="58"/>
      <c r="Q1646" s="58"/>
      <c r="R1646" s="58"/>
      <c r="S1646" s="58"/>
    </row>
    <row r="1647" spans="3:19" s="235" customFormat="1" ht="12.75">
      <c r="C1647" s="239"/>
      <c r="D1647" s="222"/>
      <c r="E1647" s="58"/>
      <c r="F1647" s="59"/>
      <c r="G1647" s="58"/>
      <c r="H1647" s="59"/>
      <c r="I1647" s="58"/>
      <c r="J1647" s="58"/>
      <c r="K1647" s="58"/>
      <c r="L1647" s="247"/>
      <c r="M1647" s="58"/>
      <c r="N1647" s="58"/>
      <c r="O1647" s="58"/>
      <c r="P1647" s="58"/>
      <c r="Q1647" s="58"/>
      <c r="R1647" s="58"/>
      <c r="S1647" s="58"/>
    </row>
    <row r="1648" spans="3:19" s="235" customFormat="1" ht="12.75">
      <c r="C1648" s="239"/>
      <c r="D1648" s="222"/>
      <c r="E1648" s="58"/>
      <c r="F1648" s="59"/>
      <c r="G1648" s="58"/>
      <c r="H1648" s="59"/>
      <c r="I1648" s="58"/>
      <c r="J1648" s="58"/>
      <c r="K1648" s="58"/>
      <c r="L1648" s="247"/>
      <c r="M1648" s="58"/>
      <c r="N1648" s="58"/>
      <c r="O1648" s="58"/>
      <c r="P1648" s="58"/>
      <c r="Q1648" s="58"/>
      <c r="R1648" s="58"/>
      <c r="S1648" s="58"/>
    </row>
    <row r="1649" spans="3:19" s="235" customFormat="1" ht="12.75">
      <c r="C1649" s="239"/>
      <c r="D1649" s="222"/>
      <c r="E1649" s="58"/>
      <c r="F1649" s="59"/>
      <c r="G1649" s="58"/>
      <c r="H1649" s="59"/>
      <c r="I1649" s="58"/>
      <c r="J1649" s="58"/>
      <c r="K1649" s="58"/>
      <c r="L1649" s="247"/>
      <c r="M1649" s="58"/>
      <c r="N1649" s="58"/>
      <c r="O1649" s="58"/>
      <c r="P1649" s="58"/>
      <c r="Q1649" s="58"/>
      <c r="R1649" s="58"/>
      <c r="S1649" s="58"/>
    </row>
    <row r="1650" spans="3:19" s="235" customFormat="1" ht="12.75">
      <c r="C1650" s="239"/>
      <c r="D1650" s="222"/>
      <c r="E1650" s="58"/>
      <c r="F1650" s="59"/>
      <c r="G1650" s="58"/>
      <c r="H1650" s="59"/>
      <c r="I1650" s="58"/>
      <c r="J1650" s="58"/>
      <c r="K1650" s="58"/>
      <c r="L1650" s="247"/>
      <c r="M1650" s="58"/>
      <c r="N1650" s="58"/>
      <c r="O1650" s="58"/>
      <c r="P1650" s="58"/>
      <c r="Q1650" s="58"/>
      <c r="R1650" s="58"/>
      <c r="S1650" s="58"/>
    </row>
    <row r="1651" spans="3:19" s="235" customFormat="1" ht="12.75">
      <c r="C1651" s="239"/>
      <c r="D1651" s="222"/>
      <c r="E1651" s="58"/>
      <c r="F1651" s="59"/>
      <c r="G1651" s="58"/>
      <c r="H1651" s="59"/>
      <c r="I1651" s="58"/>
      <c r="J1651" s="58"/>
      <c r="K1651" s="58"/>
      <c r="L1651" s="247"/>
      <c r="M1651" s="58"/>
      <c r="N1651" s="58"/>
      <c r="O1651" s="58"/>
      <c r="P1651" s="58"/>
      <c r="Q1651" s="58"/>
      <c r="R1651" s="58"/>
      <c r="S1651" s="58"/>
    </row>
    <row r="1652" spans="3:19" s="235" customFormat="1" ht="12.75">
      <c r="C1652" s="239"/>
      <c r="D1652" s="222"/>
      <c r="E1652" s="58"/>
      <c r="F1652" s="59"/>
      <c r="G1652" s="58"/>
      <c r="H1652" s="59"/>
      <c r="I1652" s="58"/>
      <c r="J1652" s="58"/>
      <c r="K1652" s="58"/>
      <c r="L1652" s="247"/>
      <c r="M1652" s="58"/>
      <c r="N1652" s="58"/>
      <c r="O1652" s="58"/>
      <c r="P1652" s="58"/>
      <c r="Q1652" s="58"/>
      <c r="R1652" s="58"/>
      <c r="S1652" s="58"/>
    </row>
    <row r="1653" spans="3:19" s="235" customFormat="1" ht="12.75">
      <c r="C1653" s="239"/>
      <c r="D1653" s="222"/>
      <c r="E1653" s="58"/>
      <c r="F1653" s="59"/>
      <c r="G1653" s="58"/>
      <c r="H1653" s="59"/>
      <c r="I1653" s="58"/>
      <c r="J1653" s="58"/>
      <c r="K1653" s="58"/>
      <c r="L1653" s="247"/>
      <c r="M1653" s="58"/>
      <c r="N1653" s="58"/>
      <c r="O1653" s="58"/>
      <c r="P1653" s="58"/>
      <c r="Q1653" s="58"/>
      <c r="R1653" s="58"/>
      <c r="S1653" s="58"/>
    </row>
    <row r="1654" spans="3:19" s="235" customFormat="1" ht="12.75">
      <c r="C1654" s="239"/>
      <c r="D1654" s="222"/>
      <c r="E1654" s="58"/>
      <c r="F1654" s="59"/>
      <c r="G1654" s="58"/>
      <c r="H1654" s="59"/>
      <c r="I1654" s="58"/>
      <c r="J1654" s="58"/>
      <c r="K1654" s="58"/>
      <c r="L1654" s="247"/>
      <c r="M1654" s="58"/>
      <c r="N1654" s="58"/>
      <c r="O1654" s="58"/>
      <c r="P1654" s="58"/>
      <c r="Q1654" s="58"/>
      <c r="R1654" s="58"/>
      <c r="S1654" s="58"/>
    </row>
    <row r="1655" spans="3:19" s="235" customFormat="1" ht="12.75">
      <c r="C1655" s="239"/>
      <c r="D1655" s="222"/>
      <c r="E1655" s="58"/>
      <c r="F1655" s="59"/>
      <c r="G1655" s="58"/>
      <c r="H1655" s="59"/>
      <c r="I1655" s="58"/>
      <c r="J1655" s="58"/>
      <c r="K1655" s="58"/>
      <c r="L1655" s="247"/>
      <c r="M1655" s="58"/>
      <c r="N1655" s="58"/>
      <c r="O1655" s="58"/>
      <c r="P1655" s="58"/>
      <c r="Q1655" s="58"/>
      <c r="R1655" s="58"/>
      <c r="S1655" s="58"/>
    </row>
    <row r="1656" spans="3:19" s="235" customFormat="1" ht="12.75">
      <c r="C1656" s="239"/>
      <c r="D1656" s="222"/>
      <c r="E1656" s="58"/>
      <c r="F1656" s="59"/>
      <c r="G1656" s="58"/>
      <c r="H1656" s="59"/>
      <c r="I1656" s="58"/>
      <c r="J1656" s="58"/>
      <c r="K1656" s="58"/>
      <c r="L1656" s="247"/>
      <c r="M1656" s="58"/>
      <c r="N1656" s="58"/>
      <c r="O1656" s="58"/>
      <c r="P1656" s="58"/>
      <c r="Q1656" s="58"/>
      <c r="R1656" s="58"/>
      <c r="S1656" s="58"/>
    </row>
    <row r="1657" spans="3:19" s="235" customFormat="1" ht="12.75">
      <c r="C1657" s="239"/>
      <c r="D1657" s="222"/>
      <c r="E1657" s="58"/>
      <c r="F1657" s="59"/>
      <c r="G1657" s="58"/>
      <c r="H1657" s="59"/>
      <c r="I1657" s="58"/>
      <c r="J1657" s="58"/>
      <c r="K1657" s="58"/>
      <c r="L1657" s="247"/>
      <c r="M1657" s="58"/>
      <c r="N1657" s="58"/>
      <c r="O1657" s="58"/>
      <c r="P1657" s="58"/>
      <c r="Q1657" s="58"/>
      <c r="R1657" s="58"/>
      <c r="S1657" s="58"/>
    </row>
    <row r="1658" spans="3:19" s="235" customFormat="1" ht="12.75">
      <c r="C1658" s="239"/>
      <c r="D1658" s="222"/>
      <c r="E1658" s="58"/>
      <c r="F1658" s="59"/>
      <c r="G1658" s="58"/>
      <c r="H1658" s="59"/>
      <c r="I1658" s="58"/>
      <c r="J1658" s="58"/>
      <c r="K1658" s="58"/>
      <c r="L1658" s="247"/>
      <c r="M1658" s="58"/>
      <c r="N1658" s="58"/>
      <c r="O1658" s="58"/>
      <c r="P1658" s="58"/>
      <c r="Q1658" s="58"/>
      <c r="R1658" s="58"/>
      <c r="S1658" s="58"/>
    </row>
    <row r="1659" spans="3:19" s="235" customFormat="1" ht="12.75">
      <c r="C1659" s="239"/>
      <c r="D1659" s="222"/>
      <c r="E1659" s="58"/>
      <c r="F1659" s="59"/>
      <c r="G1659" s="58"/>
      <c r="H1659" s="59"/>
      <c r="I1659" s="58"/>
      <c r="J1659" s="58"/>
      <c r="K1659" s="58"/>
      <c r="L1659" s="247"/>
      <c r="M1659" s="58"/>
      <c r="N1659" s="58"/>
      <c r="O1659" s="58"/>
      <c r="P1659" s="58"/>
      <c r="Q1659" s="58"/>
      <c r="R1659" s="58"/>
      <c r="S1659" s="58"/>
    </row>
    <row r="1660" spans="3:19" s="235" customFormat="1" ht="12.75">
      <c r="C1660" s="239"/>
      <c r="D1660" s="222"/>
      <c r="E1660" s="58"/>
      <c r="F1660" s="59"/>
      <c r="G1660" s="58"/>
      <c r="H1660" s="59"/>
      <c r="I1660" s="58"/>
      <c r="J1660" s="58"/>
      <c r="K1660" s="58"/>
      <c r="L1660" s="247"/>
      <c r="M1660" s="58"/>
      <c r="N1660" s="58"/>
      <c r="O1660" s="58"/>
      <c r="P1660" s="58"/>
      <c r="Q1660" s="58"/>
      <c r="R1660" s="58"/>
      <c r="S1660" s="58"/>
    </row>
    <row r="1661" spans="3:19" s="235" customFormat="1" ht="12.75">
      <c r="C1661" s="239"/>
      <c r="D1661" s="222"/>
      <c r="E1661" s="58"/>
      <c r="F1661" s="59"/>
      <c r="G1661" s="58"/>
      <c r="H1661" s="59"/>
      <c r="I1661" s="58"/>
      <c r="J1661" s="58"/>
      <c r="K1661" s="58"/>
      <c r="L1661" s="247"/>
      <c r="M1661" s="58"/>
      <c r="N1661" s="58"/>
      <c r="O1661" s="58"/>
      <c r="P1661" s="58"/>
      <c r="Q1661" s="58"/>
      <c r="R1661" s="58"/>
      <c r="S1661" s="58"/>
    </row>
    <row r="1662" spans="3:19" s="235" customFormat="1" ht="12.75">
      <c r="C1662" s="239"/>
      <c r="D1662" s="222"/>
      <c r="E1662" s="58"/>
      <c r="F1662" s="59"/>
      <c r="G1662" s="58"/>
      <c r="H1662" s="59"/>
      <c r="I1662" s="58"/>
      <c r="J1662" s="58"/>
      <c r="K1662" s="58"/>
      <c r="L1662" s="247"/>
      <c r="M1662" s="58"/>
      <c r="N1662" s="58"/>
      <c r="O1662" s="58"/>
      <c r="P1662" s="58"/>
      <c r="Q1662" s="58"/>
      <c r="R1662" s="58"/>
      <c r="S1662" s="58"/>
    </row>
    <row r="1663" spans="3:19" s="235" customFormat="1" ht="12.75">
      <c r="C1663" s="239"/>
      <c r="D1663" s="222"/>
      <c r="E1663" s="58"/>
      <c r="F1663" s="59"/>
      <c r="G1663" s="58"/>
      <c r="H1663" s="59"/>
      <c r="I1663" s="58"/>
      <c r="J1663" s="58"/>
      <c r="K1663" s="58"/>
      <c r="L1663" s="247"/>
      <c r="M1663" s="58"/>
      <c r="N1663" s="58"/>
      <c r="O1663" s="58"/>
      <c r="P1663" s="58"/>
      <c r="Q1663" s="58"/>
      <c r="R1663" s="58"/>
      <c r="S1663" s="58"/>
    </row>
    <row r="1664" spans="3:19" s="235" customFormat="1" ht="12.75">
      <c r="C1664" s="239"/>
      <c r="D1664" s="222"/>
      <c r="E1664" s="58"/>
      <c r="F1664" s="59"/>
      <c r="G1664" s="58"/>
      <c r="H1664" s="59"/>
      <c r="I1664" s="58"/>
      <c r="J1664" s="58"/>
      <c r="K1664" s="58"/>
      <c r="L1664" s="247"/>
      <c r="M1664" s="58"/>
      <c r="N1664" s="58"/>
      <c r="O1664" s="58"/>
      <c r="P1664" s="58"/>
      <c r="Q1664" s="58"/>
      <c r="R1664" s="58"/>
      <c r="S1664" s="58"/>
    </row>
    <row r="1665" spans="3:19" s="235" customFormat="1" ht="12.75">
      <c r="C1665" s="239"/>
      <c r="D1665" s="222"/>
      <c r="E1665" s="58"/>
      <c r="F1665" s="59"/>
      <c r="G1665" s="58"/>
      <c r="H1665" s="59"/>
      <c r="I1665" s="58"/>
      <c r="J1665" s="58"/>
      <c r="K1665" s="58"/>
      <c r="L1665" s="247"/>
      <c r="M1665" s="58"/>
      <c r="N1665" s="58"/>
      <c r="O1665" s="58"/>
      <c r="P1665" s="58"/>
      <c r="Q1665" s="58"/>
      <c r="R1665" s="58"/>
      <c r="S1665" s="58"/>
    </row>
    <row r="1666" spans="3:19" s="235" customFormat="1" ht="12.75">
      <c r="C1666" s="239"/>
      <c r="D1666" s="222"/>
      <c r="E1666" s="58"/>
      <c r="F1666" s="59"/>
      <c r="G1666" s="58"/>
      <c r="H1666" s="59"/>
      <c r="I1666" s="58"/>
      <c r="J1666" s="58"/>
      <c r="K1666" s="58"/>
      <c r="L1666" s="247"/>
      <c r="M1666" s="58"/>
      <c r="N1666" s="58"/>
      <c r="O1666" s="58"/>
      <c r="P1666" s="58"/>
      <c r="Q1666" s="58"/>
      <c r="R1666" s="58"/>
      <c r="S1666" s="58"/>
    </row>
    <row r="1667" spans="3:19" s="235" customFormat="1" ht="12.75">
      <c r="C1667" s="239"/>
      <c r="D1667" s="222"/>
      <c r="E1667" s="58"/>
      <c r="F1667" s="59"/>
      <c r="G1667" s="58"/>
      <c r="H1667" s="59"/>
      <c r="I1667" s="58"/>
      <c r="J1667" s="58"/>
      <c r="K1667" s="58"/>
      <c r="L1667" s="247"/>
      <c r="M1667" s="58"/>
      <c r="N1667" s="58"/>
      <c r="O1667" s="58"/>
      <c r="P1667" s="58"/>
      <c r="Q1667" s="58"/>
      <c r="R1667" s="58"/>
      <c r="S1667" s="58"/>
    </row>
    <row r="1668" spans="3:19" s="235" customFormat="1" ht="12.75">
      <c r="C1668" s="239"/>
      <c r="D1668" s="222"/>
      <c r="E1668" s="58"/>
      <c r="F1668" s="59"/>
      <c r="G1668" s="58"/>
      <c r="H1668" s="59"/>
      <c r="I1668" s="58"/>
      <c r="J1668" s="58"/>
      <c r="K1668" s="58"/>
      <c r="L1668" s="247"/>
      <c r="M1668" s="58"/>
      <c r="N1668" s="58"/>
      <c r="O1668" s="58"/>
      <c r="P1668" s="58"/>
      <c r="Q1668" s="58"/>
      <c r="R1668" s="58"/>
      <c r="S1668" s="58"/>
    </row>
    <row r="1669" spans="3:19" s="235" customFormat="1" ht="12.75">
      <c r="C1669" s="239"/>
      <c r="D1669" s="222"/>
      <c r="E1669" s="58"/>
      <c r="F1669" s="59"/>
      <c r="G1669" s="58"/>
      <c r="H1669" s="59"/>
      <c r="I1669" s="58"/>
      <c r="J1669" s="58"/>
      <c r="K1669" s="58"/>
      <c r="L1669" s="247"/>
      <c r="M1669" s="58"/>
      <c r="N1669" s="58"/>
      <c r="O1669" s="58"/>
      <c r="P1669" s="58"/>
      <c r="Q1669" s="58"/>
      <c r="R1669" s="58"/>
      <c r="S1669" s="58"/>
    </row>
    <row r="1670" spans="3:19" s="235" customFormat="1" ht="12.75">
      <c r="C1670" s="239"/>
      <c r="D1670" s="222"/>
      <c r="E1670" s="58"/>
      <c r="F1670" s="59"/>
      <c r="G1670" s="58"/>
      <c r="H1670" s="59"/>
      <c r="I1670" s="58"/>
      <c r="J1670" s="58"/>
      <c r="K1670" s="58"/>
      <c r="L1670" s="247"/>
      <c r="M1670" s="58"/>
      <c r="N1670" s="58"/>
      <c r="O1670" s="58"/>
      <c r="P1670" s="58"/>
      <c r="Q1670" s="58"/>
      <c r="R1670" s="58"/>
      <c r="S1670" s="58"/>
    </row>
    <row r="1671" spans="3:19" s="235" customFormat="1" ht="12.75">
      <c r="C1671" s="239"/>
      <c r="D1671" s="222"/>
      <c r="E1671" s="58"/>
      <c r="F1671" s="59"/>
      <c r="G1671" s="58"/>
      <c r="H1671" s="59"/>
      <c r="I1671" s="58"/>
      <c r="J1671" s="58"/>
      <c r="K1671" s="58"/>
      <c r="L1671" s="247"/>
      <c r="M1671" s="58"/>
      <c r="N1671" s="58"/>
      <c r="O1671" s="58"/>
      <c r="P1671" s="58"/>
      <c r="Q1671" s="58"/>
      <c r="R1671" s="58"/>
      <c r="S1671" s="58"/>
    </row>
    <row r="1672" spans="3:19" s="235" customFormat="1" ht="12.75">
      <c r="C1672" s="239"/>
      <c r="D1672" s="222"/>
      <c r="E1672" s="58"/>
      <c r="F1672" s="59"/>
      <c r="G1672" s="58"/>
      <c r="H1672" s="59"/>
      <c r="I1672" s="58"/>
      <c r="J1672" s="58"/>
      <c r="K1672" s="58"/>
      <c r="L1672" s="247"/>
      <c r="M1672" s="58"/>
      <c r="N1672" s="58"/>
      <c r="O1672" s="58"/>
      <c r="P1672" s="58"/>
      <c r="Q1672" s="58"/>
      <c r="R1672" s="58"/>
      <c r="S1672" s="58"/>
    </row>
    <row r="1673" spans="3:19" s="235" customFormat="1" ht="12.75">
      <c r="C1673" s="239"/>
      <c r="D1673" s="222"/>
      <c r="E1673" s="58"/>
      <c r="F1673" s="59"/>
      <c r="G1673" s="58"/>
      <c r="H1673" s="59"/>
      <c r="I1673" s="58"/>
      <c r="J1673" s="58"/>
      <c r="K1673" s="58"/>
      <c r="L1673" s="247"/>
      <c r="M1673" s="58"/>
      <c r="N1673" s="58"/>
      <c r="O1673" s="58"/>
      <c r="P1673" s="58"/>
      <c r="Q1673" s="58"/>
      <c r="R1673" s="58"/>
      <c r="S1673" s="58"/>
    </row>
    <row r="1674" spans="3:19" s="235" customFormat="1" ht="12.75">
      <c r="C1674" s="239"/>
      <c r="D1674" s="222"/>
      <c r="E1674" s="58"/>
      <c r="F1674" s="59"/>
      <c r="G1674" s="58"/>
      <c r="H1674" s="59"/>
      <c r="I1674" s="58"/>
      <c r="J1674" s="58"/>
      <c r="K1674" s="58"/>
      <c r="L1674" s="247"/>
      <c r="M1674" s="58"/>
      <c r="N1674" s="58"/>
      <c r="O1674" s="58"/>
      <c r="P1674" s="58"/>
      <c r="Q1674" s="58"/>
      <c r="R1674" s="58"/>
      <c r="S1674" s="58"/>
    </row>
    <row r="1675" spans="3:19" s="235" customFormat="1" ht="12.75">
      <c r="C1675" s="239"/>
      <c r="D1675" s="222"/>
      <c r="E1675" s="58"/>
      <c r="F1675" s="59"/>
      <c r="G1675" s="58"/>
      <c r="H1675" s="59"/>
      <c r="I1675" s="58"/>
      <c r="J1675" s="58"/>
      <c r="K1675" s="58"/>
      <c r="L1675" s="247"/>
      <c r="M1675" s="58"/>
      <c r="N1675" s="58"/>
      <c r="O1675" s="58"/>
      <c r="P1675" s="58"/>
      <c r="Q1675" s="58"/>
      <c r="R1675" s="58"/>
      <c r="S1675" s="58"/>
    </row>
    <row r="1676" spans="3:19" s="235" customFormat="1" ht="12.75">
      <c r="C1676" s="239"/>
      <c r="D1676" s="222"/>
      <c r="E1676" s="58"/>
      <c r="F1676" s="59"/>
      <c r="G1676" s="58"/>
      <c r="H1676" s="59"/>
      <c r="I1676" s="58"/>
      <c r="J1676" s="58"/>
      <c r="K1676" s="58"/>
      <c r="L1676" s="247"/>
      <c r="M1676" s="58"/>
      <c r="N1676" s="58"/>
      <c r="O1676" s="58"/>
      <c r="P1676" s="58"/>
      <c r="Q1676" s="58"/>
      <c r="R1676" s="58"/>
      <c r="S1676" s="58"/>
    </row>
    <row r="1677" spans="3:19" s="235" customFormat="1" ht="12.75">
      <c r="C1677" s="239"/>
      <c r="D1677" s="222"/>
      <c r="E1677" s="58"/>
      <c r="F1677" s="59"/>
      <c r="G1677" s="58"/>
      <c r="H1677" s="59"/>
      <c r="I1677" s="58"/>
      <c r="J1677" s="58"/>
      <c r="K1677" s="58"/>
      <c r="L1677" s="247"/>
      <c r="M1677" s="58"/>
      <c r="N1677" s="58"/>
      <c r="O1677" s="58"/>
      <c r="P1677" s="58"/>
      <c r="Q1677" s="58"/>
      <c r="R1677" s="58"/>
      <c r="S1677" s="58"/>
    </row>
    <row r="1678" spans="3:19" s="235" customFormat="1" ht="12.75">
      <c r="C1678" s="239"/>
      <c r="D1678" s="222"/>
      <c r="E1678" s="58"/>
      <c r="F1678" s="59"/>
      <c r="G1678" s="58"/>
      <c r="H1678" s="59"/>
      <c r="I1678" s="58"/>
      <c r="J1678" s="58"/>
      <c r="K1678" s="58"/>
      <c r="L1678" s="247"/>
      <c r="M1678" s="58"/>
      <c r="N1678" s="58"/>
      <c r="O1678" s="58"/>
      <c r="P1678" s="58"/>
      <c r="Q1678" s="58"/>
      <c r="R1678" s="58"/>
      <c r="S1678" s="58"/>
    </row>
    <row r="1679" spans="3:19" s="235" customFormat="1" ht="12.75">
      <c r="C1679" s="239"/>
      <c r="D1679" s="222"/>
      <c r="E1679" s="58"/>
      <c r="F1679" s="59"/>
      <c r="G1679" s="58"/>
      <c r="H1679" s="59"/>
      <c r="I1679" s="58"/>
      <c r="J1679" s="58"/>
      <c r="K1679" s="58"/>
      <c r="L1679" s="247"/>
      <c r="M1679" s="58"/>
      <c r="N1679" s="58"/>
      <c r="O1679" s="58"/>
      <c r="P1679" s="58"/>
      <c r="Q1679" s="58"/>
      <c r="R1679" s="58"/>
      <c r="S1679" s="58"/>
    </row>
    <row r="1680" spans="3:19" s="235" customFormat="1" ht="12.75">
      <c r="C1680" s="239"/>
      <c r="D1680" s="222"/>
      <c r="E1680" s="58"/>
      <c r="F1680" s="59"/>
      <c r="G1680" s="58"/>
      <c r="H1680" s="59"/>
      <c r="I1680" s="58"/>
      <c r="J1680" s="58"/>
      <c r="K1680" s="58"/>
      <c r="L1680" s="247"/>
      <c r="M1680" s="58"/>
      <c r="N1680" s="58"/>
      <c r="O1680" s="58"/>
      <c r="P1680" s="58"/>
      <c r="Q1680" s="58"/>
      <c r="R1680" s="58"/>
      <c r="S1680" s="58"/>
    </row>
    <row r="1681" spans="3:19" s="235" customFormat="1" ht="12.75">
      <c r="C1681" s="239"/>
      <c r="D1681" s="222"/>
      <c r="E1681" s="58"/>
      <c r="F1681" s="59"/>
      <c r="G1681" s="58"/>
      <c r="H1681" s="59"/>
      <c r="I1681" s="58"/>
      <c r="J1681" s="58"/>
      <c r="K1681" s="58"/>
      <c r="L1681" s="247"/>
      <c r="M1681" s="58"/>
      <c r="N1681" s="58"/>
      <c r="O1681" s="58"/>
      <c r="P1681" s="58"/>
      <c r="Q1681" s="58"/>
      <c r="R1681" s="58"/>
      <c r="S1681" s="58"/>
    </row>
    <row r="1682" spans="3:19" s="235" customFormat="1" ht="12.75">
      <c r="C1682" s="239"/>
      <c r="D1682" s="222"/>
      <c r="E1682" s="58"/>
      <c r="F1682" s="59"/>
      <c r="G1682" s="58"/>
      <c r="H1682" s="59"/>
      <c r="I1682" s="58"/>
      <c r="J1682" s="58"/>
      <c r="K1682" s="58"/>
      <c r="L1682" s="247"/>
      <c r="M1682" s="58"/>
      <c r="N1682" s="58"/>
      <c r="O1682" s="58"/>
      <c r="P1682" s="58"/>
      <c r="Q1682" s="58"/>
      <c r="R1682" s="58"/>
      <c r="S1682" s="58"/>
    </row>
    <row r="1683" spans="3:19" s="235" customFormat="1" ht="12.75">
      <c r="C1683" s="239"/>
      <c r="D1683" s="222"/>
      <c r="E1683" s="58"/>
      <c r="F1683" s="59"/>
      <c r="G1683" s="58"/>
      <c r="H1683" s="59"/>
      <c r="I1683" s="58"/>
      <c r="J1683" s="58"/>
      <c r="K1683" s="58"/>
      <c r="L1683" s="247"/>
      <c r="M1683" s="58"/>
      <c r="N1683" s="58"/>
      <c r="O1683" s="58"/>
      <c r="P1683" s="58"/>
      <c r="Q1683" s="58"/>
      <c r="R1683" s="58"/>
      <c r="S1683" s="58"/>
    </row>
    <row r="1684" spans="3:19" s="235" customFormat="1" ht="12.75">
      <c r="C1684" s="239"/>
      <c r="D1684" s="222"/>
      <c r="E1684" s="58"/>
      <c r="F1684" s="59"/>
      <c r="G1684" s="58"/>
      <c r="H1684" s="59"/>
      <c r="I1684" s="58"/>
      <c r="J1684" s="58"/>
      <c r="K1684" s="58"/>
      <c r="L1684" s="247"/>
      <c r="M1684" s="58"/>
      <c r="N1684" s="58"/>
      <c r="O1684" s="58"/>
      <c r="P1684" s="58"/>
      <c r="Q1684" s="58"/>
      <c r="R1684" s="58"/>
      <c r="S1684" s="58"/>
    </row>
    <row r="1685" spans="3:19" s="235" customFormat="1" ht="12.75">
      <c r="C1685" s="239"/>
      <c r="D1685" s="222"/>
      <c r="E1685" s="58"/>
      <c r="F1685" s="59"/>
      <c r="G1685" s="58"/>
      <c r="H1685" s="59"/>
      <c r="I1685" s="58"/>
      <c r="J1685" s="58"/>
      <c r="K1685" s="58"/>
      <c r="L1685" s="247"/>
      <c r="M1685" s="58"/>
      <c r="N1685" s="58"/>
      <c r="O1685" s="58"/>
      <c r="P1685" s="58"/>
      <c r="Q1685" s="58"/>
      <c r="R1685" s="58"/>
      <c r="S1685" s="58"/>
    </row>
    <row r="1686" spans="3:19" s="235" customFormat="1" ht="12.75">
      <c r="C1686" s="239"/>
      <c r="D1686" s="222"/>
      <c r="E1686" s="58"/>
      <c r="F1686" s="59"/>
      <c r="G1686" s="58"/>
      <c r="H1686" s="59"/>
      <c r="I1686" s="58"/>
      <c r="J1686" s="58"/>
      <c r="K1686" s="58"/>
      <c r="L1686" s="247"/>
      <c r="M1686" s="58"/>
      <c r="N1686" s="58"/>
      <c r="O1686" s="58"/>
      <c r="P1686" s="58"/>
      <c r="Q1686" s="58"/>
      <c r="R1686" s="58"/>
      <c r="S1686" s="58"/>
    </row>
    <row r="1687" spans="3:19" s="235" customFormat="1" ht="12.75">
      <c r="C1687" s="239"/>
      <c r="D1687" s="222"/>
      <c r="E1687" s="58"/>
      <c r="F1687" s="59"/>
      <c r="G1687" s="58"/>
      <c r="H1687" s="59"/>
      <c r="I1687" s="58"/>
      <c r="J1687" s="58"/>
      <c r="K1687" s="58"/>
      <c r="L1687" s="247"/>
      <c r="M1687" s="58"/>
      <c r="N1687" s="58"/>
      <c r="O1687" s="58"/>
      <c r="P1687" s="58"/>
      <c r="Q1687" s="58"/>
      <c r="R1687" s="58"/>
      <c r="S1687" s="58"/>
    </row>
    <row r="1688" spans="3:19" s="235" customFormat="1" ht="12.75">
      <c r="C1688" s="239"/>
      <c r="D1688" s="222"/>
      <c r="E1688" s="58"/>
      <c r="F1688" s="59"/>
      <c r="G1688" s="58"/>
      <c r="H1688" s="59"/>
      <c r="I1688" s="58"/>
      <c r="J1688" s="58"/>
      <c r="K1688" s="58"/>
      <c r="L1688" s="247"/>
      <c r="M1688" s="58"/>
      <c r="N1688" s="58"/>
      <c r="O1688" s="58"/>
      <c r="P1688" s="58"/>
      <c r="Q1688" s="58"/>
      <c r="R1688" s="58"/>
      <c r="S1688" s="58"/>
    </row>
    <row r="1689" spans="3:19" s="235" customFormat="1" ht="12.75">
      <c r="C1689" s="239"/>
      <c r="D1689" s="222"/>
      <c r="E1689" s="58"/>
      <c r="F1689" s="59"/>
      <c r="G1689" s="58"/>
      <c r="H1689" s="59"/>
      <c r="I1689" s="58"/>
      <c r="J1689" s="58"/>
      <c r="K1689" s="58"/>
      <c r="L1689" s="247"/>
      <c r="M1689" s="58"/>
      <c r="N1689" s="58"/>
      <c r="O1689" s="58"/>
      <c r="P1689" s="58"/>
      <c r="Q1689" s="58"/>
      <c r="R1689" s="58"/>
      <c r="S1689" s="58"/>
    </row>
    <row r="1690" spans="3:19" s="235" customFormat="1" ht="12.75">
      <c r="C1690" s="239"/>
      <c r="D1690" s="222"/>
      <c r="E1690" s="58"/>
      <c r="F1690" s="59"/>
      <c r="G1690" s="58"/>
      <c r="H1690" s="59"/>
      <c r="I1690" s="58"/>
      <c r="J1690" s="58"/>
      <c r="K1690" s="58"/>
      <c r="L1690" s="247"/>
      <c r="M1690" s="58"/>
      <c r="N1690" s="58"/>
      <c r="O1690" s="58"/>
      <c r="P1690" s="58"/>
      <c r="Q1690" s="58"/>
      <c r="R1690" s="58"/>
      <c r="S1690" s="58"/>
    </row>
    <row r="1691" spans="3:19" s="235" customFormat="1" ht="12.75">
      <c r="C1691" s="239"/>
      <c r="D1691" s="222"/>
      <c r="E1691" s="58"/>
      <c r="F1691" s="59"/>
      <c r="G1691" s="58"/>
      <c r="H1691" s="59"/>
      <c r="I1691" s="58"/>
      <c r="J1691" s="58"/>
      <c r="K1691" s="58"/>
      <c r="L1691" s="247"/>
      <c r="M1691" s="58"/>
      <c r="N1691" s="58"/>
      <c r="O1691" s="58"/>
      <c r="P1691" s="58"/>
      <c r="Q1691" s="58"/>
      <c r="R1691" s="58"/>
      <c r="S1691" s="58"/>
    </row>
    <row r="1692" spans="3:19" s="235" customFormat="1" ht="12.75">
      <c r="C1692" s="239"/>
      <c r="D1692" s="222"/>
      <c r="E1692" s="58"/>
      <c r="F1692" s="59"/>
      <c r="G1692" s="58"/>
      <c r="H1692" s="59"/>
      <c r="I1692" s="58"/>
      <c r="J1692" s="58"/>
      <c r="K1692" s="58"/>
      <c r="L1692" s="247"/>
      <c r="M1692" s="58"/>
      <c r="N1692" s="58"/>
      <c r="O1692" s="58"/>
      <c r="P1692" s="58"/>
      <c r="Q1692" s="58"/>
      <c r="R1692" s="58"/>
      <c r="S1692" s="58"/>
    </row>
    <row r="1693" spans="3:19" s="235" customFormat="1" ht="12.75">
      <c r="C1693" s="239"/>
      <c r="D1693" s="222"/>
      <c r="E1693" s="58"/>
      <c r="F1693" s="59"/>
      <c r="G1693" s="58"/>
      <c r="H1693" s="59"/>
      <c r="I1693" s="58"/>
      <c r="J1693" s="58"/>
      <c r="K1693" s="58"/>
      <c r="L1693" s="247"/>
      <c r="M1693" s="58"/>
      <c r="N1693" s="58"/>
      <c r="O1693" s="58"/>
      <c r="P1693" s="58"/>
      <c r="Q1693" s="58"/>
      <c r="R1693" s="58"/>
      <c r="S1693" s="58"/>
    </row>
    <row r="1694" spans="3:19" s="235" customFormat="1" ht="12.75">
      <c r="C1694" s="239"/>
      <c r="D1694" s="222"/>
      <c r="E1694" s="58"/>
      <c r="F1694" s="59"/>
      <c r="G1694" s="58"/>
      <c r="H1694" s="59"/>
      <c r="I1694" s="58"/>
      <c r="J1694" s="58"/>
      <c r="K1694" s="58"/>
      <c r="L1694" s="247"/>
      <c r="M1694" s="58"/>
      <c r="N1694" s="58"/>
      <c r="O1694" s="58"/>
      <c r="P1694" s="58"/>
      <c r="Q1694" s="58"/>
      <c r="R1694" s="58"/>
      <c r="S1694" s="58"/>
    </row>
    <row r="1695" spans="3:19" s="235" customFormat="1" ht="12.75">
      <c r="C1695" s="239"/>
      <c r="D1695" s="222"/>
      <c r="E1695" s="58"/>
      <c r="F1695" s="59"/>
      <c r="G1695" s="58"/>
      <c r="H1695" s="59"/>
      <c r="I1695" s="58"/>
      <c r="J1695" s="58"/>
      <c r="K1695" s="58"/>
      <c r="L1695" s="247"/>
      <c r="M1695" s="58"/>
      <c r="N1695" s="58"/>
      <c r="O1695" s="58"/>
      <c r="P1695" s="58"/>
      <c r="Q1695" s="58"/>
      <c r="R1695" s="58"/>
      <c r="S1695" s="58"/>
    </row>
    <row r="1696" spans="3:19" s="235" customFormat="1" ht="12.75">
      <c r="C1696" s="239"/>
      <c r="D1696" s="222"/>
      <c r="E1696" s="58"/>
      <c r="F1696" s="59"/>
      <c r="G1696" s="58"/>
      <c r="H1696" s="59"/>
      <c r="I1696" s="58"/>
      <c r="J1696" s="58"/>
      <c r="K1696" s="58"/>
      <c r="L1696" s="247"/>
      <c r="M1696" s="58"/>
      <c r="N1696" s="58"/>
      <c r="O1696" s="58"/>
      <c r="P1696" s="58"/>
      <c r="Q1696" s="58"/>
      <c r="R1696" s="58"/>
      <c r="S1696" s="58"/>
    </row>
    <row r="1697" spans="3:19" s="235" customFormat="1" ht="12.75">
      <c r="C1697" s="239"/>
      <c r="D1697" s="222"/>
      <c r="E1697" s="58"/>
      <c r="F1697" s="59"/>
      <c r="G1697" s="58"/>
      <c r="H1697" s="59"/>
      <c r="I1697" s="58"/>
      <c r="J1697" s="58"/>
      <c r="K1697" s="58"/>
      <c r="L1697" s="247"/>
      <c r="M1697" s="58"/>
      <c r="N1697" s="58"/>
      <c r="O1697" s="58"/>
      <c r="P1697" s="58"/>
      <c r="Q1697" s="58"/>
      <c r="R1697" s="58"/>
      <c r="S1697" s="58"/>
    </row>
    <row r="1698" spans="3:19" s="235" customFormat="1" ht="12.75">
      <c r="C1698" s="239"/>
      <c r="D1698" s="222"/>
      <c r="E1698" s="58"/>
      <c r="F1698" s="59"/>
      <c r="G1698" s="58"/>
      <c r="H1698" s="59"/>
      <c r="I1698" s="58"/>
      <c r="J1698" s="58"/>
      <c r="K1698" s="58"/>
      <c r="L1698" s="247"/>
      <c r="M1698" s="58"/>
      <c r="N1698" s="58"/>
      <c r="O1698" s="58"/>
      <c r="P1698" s="58"/>
      <c r="Q1698" s="58"/>
      <c r="R1698" s="58"/>
      <c r="S1698" s="58"/>
    </row>
    <row r="1699" spans="3:19" s="235" customFormat="1" ht="12.75">
      <c r="C1699" s="239"/>
      <c r="D1699" s="222"/>
      <c r="E1699" s="58"/>
      <c r="F1699" s="59"/>
      <c r="G1699" s="58"/>
      <c r="H1699" s="59"/>
      <c r="I1699" s="58"/>
      <c r="J1699" s="58"/>
      <c r="K1699" s="58"/>
      <c r="L1699" s="247"/>
      <c r="M1699" s="58"/>
      <c r="N1699" s="58"/>
      <c r="O1699" s="58"/>
      <c r="P1699" s="58"/>
      <c r="Q1699" s="58"/>
      <c r="R1699" s="58"/>
      <c r="S1699" s="58"/>
    </row>
  </sheetData>
  <sheetProtection/>
  <mergeCells count="2">
    <mergeCell ref="E9:F9"/>
    <mergeCell ref="G9:H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4">
      <selection activeCell="B8" sqref="B8"/>
    </sheetView>
  </sheetViews>
  <sheetFormatPr defaultColWidth="9.140625" defaultRowHeight="12.75"/>
  <cols>
    <col min="1" max="1" width="4.57421875" style="529" customWidth="1"/>
    <col min="2" max="2" width="5.140625" style="23" customWidth="1"/>
    <col min="3" max="3" width="6.57421875" style="23" customWidth="1"/>
    <col min="4" max="4" width="5.28125" style="1195" customWidth="1"/>
    <col min="5" max="5" width="48.57421875" style="254" customWidth="1"/>
    <col min="6" max="6" width="12.421875" style="529" customWidth="1"/>
    <col min="7" max="7" width="12.28125" style="529" customWidth="1"/>
    <col min="8" max="8" width="7.421875" style="23" customWidth="1"/>
    <col min="9" max="9" width="20.8515625" style="23" customWidth="1"/>
    <col min="10" max="10" width="14.7109375" style="23" customWidth="1"/>
    <col min="11" max="16384" width="9.140625" style="23" customWidth="1"/>
  </cols>
  <sheetData>
    <row r="1" spans="1:7" ht="20.25">
      <c r="A1" s="140"/>
      <c r="B1" s="155"/>
      <c r="C1" s="155"/>
      <c r="D1" s="140"/>
      <c r="E1" s="618" t="s">
        <v>324</v>
      </c>
      <c r="F1" s="264"/>
      <c r="G1" s="264"/>
    </row>
    <row r="2" spans="1:7" ht="18.75">
      <c r="A2" s="140"/>
      <c r="B2" s="155"/>
      <c r="C2" s="155"/>
      <c r="D2" s="140"/>
      <c r="E2" s="347" t="s">
        <v>325</v>
      </c>
      <c r="F2" s="264"/>
      <c r="G2" s="264"/>
    </row>
    <row r="3" spans="1:7" ht="18.75">
      <c r="A3" s="140"/>
      <c r="B3" s="155"/>
      <c r="C3" s="155"/>
      <c r="D3" s="140"/>
      <c r="E3" s="347" t="s">
        <v>322</v>
      </c>
      <c r="F3" s="264"/>
      <c r="G3" s="1086"/>
    </row>
    <row r="4" spans="1:7" ht="18.75">
      <c r="A4" s="140"/>
      <c r="B4" s="155"/>
      <c r="C4" s="155"/>
      <c r="D4" s="140"/>
      <c r="E4" s="347" t="s">
        <v>323</v>
      </c>
      <c r="F4" s="264"/>
      <c r="G4" s="1087"/>
    </row>
    <row r="5" spans="1:7" ht="12.75">
      <c r="A5" s="140"/>
      <c r="B5" s="155"/>
      <c r="C5" s="155"/>
      <c r="D5" s="140"/>
      <c r="E5" s="93"/>
      <c r="F5" s="264"/>
      <c r="G5" s="264"/>
    </row>
    <row r="6" spans="1:7" ht="19.5">
      <c r="A6" s="140"/>
      <c r="B6" s="1088"/>
      <c r="C6" s="1089" t="s">
        <v>320</v>
      </c>
      <c r="D6" s="1090"/>
      <c r="E6" s="1091"/>
      <c r="F6" s="1092"/>
      <c r="G6" s="1092"/>
    </row>
    <row r="7" spans="1:7" ht="19.5">
      <c r="A7" s="140"/>
      <c r="B7" s="1088"/>
      <c r="C7" s="1089" t="s">
        <v>321</v>
      </c>
      <c r="D7" s="1090"/>
      <c r="E7" s="1091"/>
      <c r="F7" s="1092"/>
      <c r="G7" s="1093"/>
    </row>
    <row r="8" spans="1:7" ht="18.75">
      <c r="A8" s="140"/>
      <c r="B8" s="1088"/>
      <c r="C8" s="1094"/>
      <c r="D8" s="1090"/>
      <c r="E8" s="1091"/>
      <c r="F8" s="1092"/>
      <c r="G8" s="1092"/>
    </row>
    <row r="9" spans="1:7" ht="12.75">
      <c r="A9" s="140"/>
      <c r="B9" s="1088" t="s">
        <v>21</v>
      </c>
      <c r="C9" s="1095"/>
      <c r="D9" s="1096"/>
      <c r="E9" s="1091"/>
      <c r="F9" s="1097" t="s">
        <v>22</v>
      </c>
      <c r="G9" s="1097"/>
    </row>
    <row r="10" spans="1:7" ht="18.75" customHeight="1">
      <c r="A10" s="14"/>
      <c r="B10" s="1098"/>
      <c r="C10" s="1099"/>
      <c r="D10" s="1100"/>
      <c r="E10" s="1101"/>
      <c r="F10" s="1228" t="s">
        <v>182</v>
      </c>
      <c r="G10" s="1102"/>
    </row>
    <row r="11" spans="1:7" ht="48" customHeight="1">
      <c r="A11" s="8" t="s">
        <v>183</v>
      </c>
      <c r="B11" s="1103" t="s">
        <v>23</v>
      </c>
      <c r="C11" s="1104" t="s">
        <v>24</v>
      </c>
      <c r="D11" s="1104" t="s">
        <v>184</v>
      </c>
      <c r="E11" s="1105" t="s">
        <v>185</v>
      </c>
      <c r="F11" s="1229"/>
      <c r="G11" s="1230" t="s">
        <v>708</v>
      </c>
    </row>
    <row r="12" spans="1:10" ht="44.25" customHeight="1">
      <c r="A12" s="2"/>
      <c r="B12" s="1106"/>
      <c r="C12" s="1107"/>
      <c r="D12" s="1108"/>
      <c r="E12" s="1109"/>
      <c r="F12" s="1231" t="s">
        <v>395</v>
      </c>
      <c r="G12" s="1183" t="s">
        <v>186</v>
      </c>
      <c r="I12" s="1110"/>
      <c r="J12" s="1110"/>
    </row>
    <row r="13" spans="1:10" ht="21" customHeight="1">
      <c r="A13" s="14"/>
      <c r="B13" s="1111" t="s">
        <v>187</v>
      </c>
      <c r="C13" s="1112"/>
      <c r="D13" s="1113"/>
      <c r="E13" s="1114"/>
      <c r="F13" s="1115">
        <f>F14+F28+F34+F39+F44+F47+F71+F74+F77+F81+F97</f>
        <v>28784341</v>
      </c>
      <c r="G13" s="1115">
        <f>G14+G28+G34+G39+G44+G47+G71+G74+G77+G81+G97</f>
        <v>5630793</v>
      </c>
      <c r="I13" s="1116"/>
      <c r="J13" s="1116"/>
    </row>
    <row r="14" spans="1:10" ht="19.5" customHeight="1">
      <c r="A14" s="3"/>
      <c r="B14" s="1117">
        <v>600</v>
      </c>
      <c r="C14" s="62"/>
      <c r="D14" s="120"/>
      <c r="E14" s="1118" t="s">
        <v>25</v>
      </c>
      <c r="F14" s="1074">
        <f>F15</f>
        <v>8149357.05</v>
      </c>
      <c r="G14" s="170">
        <f>G15</f>
        <v>2500000</v>
      </c>
      <c r="I14" s="1120"/>
      <c r="J14" s="1120"/>
    </row>
    <row r="15" spans="1:7" ht="18" customHeight="1">
      <c r="A15" s="2"/>
      <c r="B15" s="1121"/>
      <c r="C15" s="1122">
        <v>60016</v>
      </c>
      <c r="D15" s="1123"/>
      <c r="E15" s="338" t="s">
        <v>188</v>
      </c>
      <c r="F15" s="1071">
        <f>SUM(F16:F27)</f>
        <v>8149357.05</v>
      </c>
      <c r="G15" s="225">
        <f>SUM(G16:G27)</f>
        <v>2500000</v>
      </c>
    </row>
    <row r="16" spans="1:9" s="1125" customFormat="1" ht="26.25" customHeight="1">
      <c r="A16" s="3">
        <v>1</v>
      </c>
      <c r="B16" s="30"/>
      <c r="C16" s="35"/>
      <c r="D16" s="5">
        <v>6050</v>
      </c>
      <c r="E16" s="1" t="s">
        <v>189</v>
      </c>
      <c r="F16" s="114">
        <v>3013000</v>
      </c>
      <c r="G16" s="114">
        <v>2000000</v>
      </c>
      <c r="H16" s="1124"/>
      <c r="I16" s="1124"/>
    </row>
    <row r="17" spans="1:8" s="1125" customFormat="1" ht="38.25" customHeight="1">
      <c r="A17" s="3">
        <v>2</v>
      </c>
      <c r="B17" s="30"/>
      <c r="C17" s="35"/>
      <c r="D17" s="5">
        <v>6050</v>
      </c>
      <c r="E17" s="1126" t="s">
        <v>190</v>
      </c>
      <c r="F17" s="144">
        <v>1857.05</v>
      </c>
      <c r="G17" s="114">
        <v>0</v>
      </c>
      <c r="H17" s="1124"/>
    </row>
    <row r="18" spans="1:9" s="1125" customFormat="1" ht="29.25" customHeight="1">
      <c r="A18" s="3">
        <v>3</v>
      </c>
      <c r="B18" s="10"/>
      <c r="C18" s="8"/>
      <c r="D18" s="5">
        <v>6050</v>
      </c>
      <c r="E18" s="337" t="s">
        <v>191</v>
      </c>
      <c r="F18" s="144">
        <v>1500000</v>
      </c>
      <c r="G18" s="114">
        <v>0</v>
      </c>
      <c r="I18" s="1124"/>
    </row>
    <row r="19" spans="1:7" s="1125" customFormat="1" ht="31.5" customHeight="1">
      <c r="A19" s="3">
        <v>4</v>
      </c>
      <c r="B19" s="10"/>
      <c r="C19" s="8"/>
      <c r="D19" s="5">
        <v>6050</v>
      </c>
      <c r="E19" s="337" t="s">
        <v>192</v>
      </c>
      <c r="F19" s="144">
        <v>90000</v>
      </c>
      <c r="G19" s="114">
        <v>0</v>
      </c>
    </row>
    <row r="20" spans="1:7" s="1125" customFormat="1" ht="27" customHeight="1">
      <c r="A20" s="3">
        <v>5</v>
      </c>
      <c r="B20" s="10"/>
      <c r="C20" s="8"/>
      <c r="D20" s="5">
        <v>6050</v>
      </c>
      <c r="E20" s="337" t="s">
        <v>193</v>
      </c>
      <c r="F20" s="144">
        <v>2000000</v>
      </c>
      <c r="G20" s="114">
        <v>100000</v>
      </c>
    </row>
    <row r="21" spans="1:7" s="1125" customFormat="1" ht="23.25" customHeight="1">
      <c r="A21" s="3">
        <v>6</v>
      </c>
      <c r="B21" s="10"/>
      <c r="C21" s="8"/>
      <c r="D21" s="5">
        <v>6050</v>
      </c>
      <c r="E21" s="337" t="s">
        <v>194</v>
      </c>
      <c r="F21" s="144">
        <v>1200000</v>
      </c>
      <c r="G21" s="114">
        <v>400000</v>
      </c>
    </row>
    <row r="22" spans="1:7" s="1125" customFormat="1" ht="48.75" customHeight="1">
      <c r="A22" s="3">
        <v>7</v>
      </c>
      <c r="B22" s="10"/>
      <c r="C22" s="8"/>
      <c r="D22" s="5">
        <v>6050</v>
      </c>
      <c r="E22" s="337" t="s">
        <v>195</v>
      </c>
      <c r="F22" s="144">
        <v>148000</v>
      </c>
      <c r="G22" s="114">
        <v>0</v>
      </c>
    </row>
    <row r="23" spans="1:7" s="1125" customFormat="1" ht="24.75" customHeight="1">
      <c r="A23" s="3">
        <v>8</v>
      </c>
      <c r="B23" s="10"/>
      <c r="C23" s="8"/>
      <c r="D23" s="5">
        <v>6050</v>
      </c>
      <c r="E23" s="337" t="s">
        <v>668</v>
      </c>
      <c r="F23" s="144">
        <v>45000</v>
      </c>
      <c r="G23" s="114">
        <v>0</v>
      </c>
    </row>
    <row r="24" spans="1:7" s="1125" customFormat="1" ht="32.25" customHeight="1">
      <c r="A24" s="2">
        <v>10</v>
      </c>
      <c r="B24" s="10"/>
      <c r="C24" s="8"/>
      <c r="D24" s="5">
        <v>6050</v>
      </c>
      <c r="E24" s="337" t="s">
        <v>196</v>
      </c>
      <c r="F24" s="144">
        <v>500</v>
      </c>
      <c r="G24" s="114">
        <v>0</v>
      </c>
    </row>
    <row r="25" spans="1:7" s="1125" customFormat="1" ht="29.25" customHeight="1">
      <c r="A25" s="2">
        <v>11</v>
      </c>
      <c r="B25" s="10"/>
      <c r="C25" s="8"/>
      <c r="D25" s="5">
        <v>6050</v>
      </c>
      <c r="E25" s="337" t="s">
        <v>667</v>
      </c>
      <c r="F25" s="144">
        <v>21000</v>
      </c>
      <c r="G25" s="114">
        <v>0</v>
      </c>
    </row>
    <row r="26" spans="1:7" s="1125" customFormat="1" ht="30.75" customHeight="1">
      <c r="A26" s="2">
        <v>12</v>
      </c>
      <c r="B26" s="10"/>
      <c r="C26" s="8"/>
      <c r="D26" s="5">
        <v>6050</v>
      </c>
      <c r="E26" s="337" t="s">
        <v>197</v>
      </c>
      <c r="F26" s="144">
        <v>30000</v>
      </c>
      <c r="G26" s="114">
        <v>0</v>
      </c>
    </row>
    <row r="27" spans="1:7" s="1125" customFormat="1" ht="28.5" customHeight="1">
      <c r="A27" s="2"/>
      <c r="B27" s="10"/>
      <c r="C27" s="8"/>
      <c r="D27" s="5">
        <v>6050</v>
      </c>
      <c r="E27" s="337" t="s">
        <v>198</v>
      </c>
      <c r="F27" s="144">
        <v>100000</v>
      </c>
      <c r="G27" s="114">
        <v>0</v>
      </c>
    </row>
    <row r="28" spans="1:7" ht="21.75" customHeight="1">
      <c r="A28" s="6"/>
      <c r="B28" s="62">
        <v>700</v>
      </c>
      <c r="C28" s="62"/>
      <c r="D28" s="120"/>
      <c r="E28" s="1128" t="s">
        <v>370</v>
      </c>
      <c r="F28" s="1129">
        <f>F29+F31</f>
        <v>1451843</v>
      </c>
      <c r="G28" s="150">
        <f>G29+G31</f>
        <v>0</v>
      </c>
    </row>
    <row r="29" spans="1:7" ht="27" customHeight="1">
      <c r="A29" s="3"/>
      <c r="B29" s="121"/>
      <c r="C29" s="1130">
        <v>70005</v>
      </c>
      <c r="D29" s="1123"/>
      <c r="E29" s="338" t="s">
        <v>142</v>
      </c>
      <c r="F29" s="1071">
        <f>SUM(F30:F30)</f>
        <v>866460</v>
      </c>
      <c r="G29" s="225">
        <f>SUM(G30:G30)</f>
        <v>0</v>
      </c>
    </row>
    <row r="30" spans="1:7" ht="30" customHeight="1">
      <c r="A30" s="3">
        <v>13</v>
      </c>
      <c r="B30" s="66"/>
      <c r="C30" s="1131"/>
      <c r="D30" s="5">
        <v>6060</v>
      </c>
      <c r="E30" s="337" t="s">
        <v>199</v>
      </c>
      <c r="F30" s="1132">
        <v>866460</v>
      </c>
      <c r="G30" s="1132">
        <v>0</v>
      </c>
    </row>
    <row r="31" spans="1:7" ht="24.75" customHeight="1">
      <c r="A31" s="3"/>
      <c r="B31" s="107"/>
      <c r="C31" s="108">
        <v>70095</v>
      </c>
      <c r="D31" s="109"/>
      <c r="E31" s="338" t="s">
        <v>143</v>
      </c>
      <c r="F31" s="1071">
        <f>SUM(F32:F33)</f>
        <v>585383</v>
      </c>
      <c r="G31" s="225">
        <f>SUM(G32:G33)</f>
        <v>0</v>
      </c>
    </row>
    <row r="32" spans="1:7" ht="34.5" customHeight="1">
      <c r="A32" s="3">
        <v>14</v>
      </c>
      <c r="B32" s="107"/>
      <c r="C32" s="1121"/>
      <c r="D32" s="3">
        <v>6050</v>
      </c>
      <c r="E32" s="1" t="s">
        <v>200</v>
      </c>
      <c r="F32" s="1132">
        <v>574383</v>
      </c>
      <c r="G32" s="1132">
        <v>0</v>
      </c>
    </row>
    <row r="33" spans="1:7" s="254" customFormat="1" ht="36.75" customHeight="1">
      <c r="A33" s="3">
        <v>15</v>
      </c>
      <c r="B33" s="66"/>
      <c r="C33" s="1131"/>
      <c r="D33" s="3">
        <v>6050</v>
      </c>
      <c r="E33" s="1" t="s">
        <v>201</v>
      </c>
      <c r="F33" s="1132">
        <v>11000</v>
      </c>
      <c r="G33" s="1132">
        <v>0</v>
      </c>
    </row>
    <row r="34" spans="1:7" ht="23.25" customHeight="1">
      <c r="A34" s="11"/>
      <c r="B34" s="62">
        <v>750</v>
      </c>
      <c r="C34" s="62"/>
      <c r="D34" s="120"/>
      <c r="E34" s="1133" t="s">
        <v>144</v>
      </c>
      <c r="F34" s="1134">
        <f>F35+F37</f>
        <v>1200000</v>
      </c>
      <c r="G34" s="1232">
        <f>G35+G37</f>
        <v>0</v>
      </c>
    </row>
    <row r="35" spans="1:7" ht="30.75" customHeight="1">
      <c r="A35" s="3"/>
      <c r="B35" s="1135"/>
      <c r="C35" s="121">
        <v>75023</v>
      </c>
      <c r="D35" s="109"/>
      <c r="E35" s="1136" t="s">
        <v>380</v>
      </c>
      <c r="F35" s="1137">
        <f>SUM(F36:F36)</f>
        <v>250000</v>
      </c>
      <c r="G35" s="1233">
        <f>SUM(G36:G36)</f>
        <v>0</v>
      </c>
    </row>
    <row r="36" spans="1:7" ht="28.5" customHeight="1">
      <c r="A36" s="3">
        <v>16</v>
      </c>
      <c r="B36" s="132"/>
      <c r="C36" s="72"/>
      <c r="D36" s="9">
        <v>6060</v>
      </c>
      <c r="E36" s="1138" t="s">
        <v>202</v>
      </c>
      <c r="F36" s="1234">
        <v>250000</v>
      </c>
      <c r="G36" s="1139">
        <v>0</v>
      </c>
    </row>
    <row r="37" spans="1:7" ht="21.75" customHeight="1">
      <c r="A37" s="3"/>
      <c r="B37" s="71"/>
      <c r="C37" s="1122">
        <v>75095</v>
      </c>
      <c r="D37" s="109"/>
      <c r="E37" s="1136" t="s">
        <v>143</v>
      </c>
      <c r="F37" s="1137">
        <f>SUM(F38:F38)</f>
        <v>950000</v>
      </c>
      <c r="G37" s="1233">
        <f>SUM(G38:G38)</f>
        <v>0</v>
      </c>
    </row>
    <row r="38" spans="1:7" ht="33" customHeight="1">
      <c r="A38" s="3">
        <v>17</v>
      </c>
      <c r="B38" s="71"/>
      <c r="C38" s="1121"/>
      <c r="D38" s="1140">
        <v>6050</v>
      </c>
      <c r="E38" s="1" t="s">
        <v>203</v>
      </c>
      <c r="F38" s="1132">
        <v>950000</v>
      </c>
      <c r="G38" s="1132">
        <v>0</v>
      </c>
    </row>
    <row r="39" spans="1:7" ht="25.5" customHeight="1">
      <c r="A39" s="11"/>
      <c r="B39" s="62">
        <v>754</v>
      </c>
      <c r="C39" s="62"/>
      <c r="D39" s="11"/>
      <c r="E39" s="1141" t="s">
        <v>145</v>
      </c>
      <c r="F39" s="150">
        <f>F40+F42</f>
        <v>23000</v>
      </c>
      <c r="G39" s="150">
        <f>G40+G42</f>
        <v>0</v>
      </c>
    </row>
    <row r="40" spans="1:7" ht="21.75" customHeight="1">
      <c r="A40" s="3"/>
      <c r="B40" s="91"/>
      <c r="C40" s="121">
        <v>75412</v>
      </c>
      <c r="D40" s="25"/>
      <c r="E40" s="1142" t="s">
        <v>204</v>
      </c>
      <c r="F40" s="225">
        <f>F41</f>
        <v>6000</v>
      </c>
      <c r="G40" s="225">
        <f>G41</f>
        <v>0</v>
      </c>
    </row>
    <row r="41" spans="1:7" ht="27.75" customHeight="1">
      <c r="A41" s="3">
        <v>18</v>
      </c>
      <c r="B41" s="76"/>
      <c r="C41" s="67"/>
      <c r="D41" s="5">
        <v>6060</v>
      </c>
      <c r="E41" s="337" t="s">
        <v>205</v>
      </c>
      <c r="F41" s="1132">
        <v>6000</v>
      </c>
      <c r="G41" s="1132"/>
    </row>
    <row r="42" spans="1:7" ht="22.5" customHeight="1">
      <c r="A42" s="3"/>
      <c r="B42" s="91"/>
      <c r="C42" s="1122">
        <v>75414</v>
      </c>
      <c r="D42" s="25"/>
      <c r="E42" s="1142" t="s">
        <v>206</v>
      </c>
      <c r="F42" s="1137">
        <f>SUM(F43)</f>
        <v>17000</v>
      </c>
      <c r="G42" s="1233">
        <f>SUM(G43)</f>
        <v>0</v>
      </c>
    </row>
    <row r="43" spans="1:7" ht="26.25" customHeight="1">
      <c r="A43" s="3">
        <v>19</v>
      </c>
      <c r="B43" s="66"/>
      <c r="C43" s="1143"/>
      <c r="D43" s="1140">
        <v>6060</v>
      </c>
      <c r="E43" s="337" t="s">
        <v>205</v>
      </c>
      <c r="F43" s="114">
        <v>17000</v>
      </c>
      <c r="G43" s="114">
        <v>0</v>
      </c>
    </row>
    <row r="44" spans="1:7" ht="21.75" customHeight="1">
      <c r="A44" s="19"/>
      <c r="B44" s="62">
        <v>758</v>
      </c>
      <c r="C44" s="62"/>
      <c r="D44" s="120"/>
      <c r="E44" s="1128" t="s">
        <v>146</v>
      </c>
      <c r="F44" s="1129">
        <f>F45</f>
        <v>400000</v>
      </c>
      <c r="G44" s="150">
        <f>G45</f>
        <v>0</v>
      </c>
    </row>
    <row r="45" spans="1:7" ht="22.5" customHeight="1">
      <c r="A45" s="8"/>
      <c r="B45" s="1144"/>
      <c r="C45" s="1145">
        <v>75818</v>
      </c>
      <c r="D45" s="109"/>
      <c r="E45" s="1136" t="s">
        <v>147</v>
      </c>
      <c r="F45" s="1137">
        <f>F46</f>
        <v>400000</v>
      </c>
      <c r="G45" s="1233">
        <f>G46</f>
        <v>0</v>
      </c>
    </row>
    <row r="46" spans="1:7" ht="28.5" customHeight="1">
      <c r="A46" s="8"/>
      <c r="B46" s="73"/>
      <c r="C46" s="1143"/>
      <c r="D46" s="1140">
        <v>6800</v>
      </c>
      <c r="E46" s="1146" t="s">
        <v>207</v>
      </c>
      <c r="F46" s="1147">
        <v>400000</v>
      </c>
      <c r="G46" s="114">
        <f>500000-500000</f>
        <v>0</v>
      </c>
    </row>
    <row r="47" spans="1:7" ht="24.75" customHeight="1">
      <c r="A47" s="2"/>
      <c r="B47" s="63">
        <v>801</v>
      </c>
      <c r="C47" s="1143"/>
      <c r="D47" s="1140"/>
      <c r="E47" s="1148" t="s">
        <v>148</v>
      </c>
      <c r="F47" s="1134">
        <f>F48+F55+F60+F63</f>
        <v>891200</v>
      </c>
      <c r="G47" s="1232">
        <f>G48+G55+G60+G63</f>
        <v>0</v>
      </c>
    </row>
    <row r="48" spans="1:7" ht="24" customHeight="1">
      <c r="A48" s="1140"/>
      <c r="B48" s="1144"/>
      <c r="C48" s="1121">
        <v>80101</v>
      </c>
      <c r="D48" s="109"/>
      <c r="E48" s="1136" t="s">
        <v>149</v>
      </c>
      <c r="F48" s="1137">
        <f>SUM(F49:F54)</f>
        <v>720000</v>
      </c>
      <c r="G48" s="1233">
        <f>SUM(G49:G54)</f>
        <v>0</v>
      </c>
    </row>
    <row r="49" spans="1:7" ht="34.5" customHeight="1">
      <c r="A49" s="1140">
        <v>20</v>
      </c>
      <c r="B49" s="91"/>
      <c r="C49" s="122"/>
      <c r="D49" s="5">
        <v>6050</v>
      </c>
      <c r="E49" s="1" t="s">
        <v>208</v>
      </c>
      <c r="F49" s="1127">
        <v>40000</v>
      </c>
      <c r="G49" s="114">
        <v>0</v>
      </c>
    </row>
    <row r="50" spans="1:7" ht="27.75" customHeight="1">
      <c r="A50" s="1140">
        <v>21</v>
      </c>
      <c r="B50" s="91"/>
      <c r="C50" s="1121"/>
      <c r="D50" s="5">
        <v>6050</v>
      </c>
      <c r="E50" s="337" t="s">
        <v>209</v>
      </c>
      <c r="F50" s="1127">
        <v>600000</v>
      </c>
      <c r="G50" s="114">
        <v>0</v>
      </c>
    </row>
    <row r="51" spans="1:7" ht="23.25" customHeight="1">
      <c r="A51" s="1140">
        <v>22</v>
      </c>
      <c r="B51" s="91"/>
      <c r="C51" s="1121"/>
      <c r="D51" s="1150">
        <v>6050</v>
      </c>
      <c r="E51" s="1151" t="s">
        <v>210</v>
      </c>
      <c r="F51" s="1132">
        <v>9000</v>
      </c>
      <c r="G51" s="114">
        <v>0</v>
      </c>
    </row>
    <row r="52" spans="1:7" ht="34.5" customHeight="1">
      <c r="A52" s="1140">
        <v>23</v>
      </c>
      <c r="B52" s="91"/>
      <c r="C52" s="1121"/>
      <c r="D52" s="1150">
        <v>6050</v>
      </c>
      <c r="E52" s="1151" t="s">
        <v>211</v>
      </c>
      <c r="F52" s="1132">
        <v>50000</v>
      </c>
      <c r="G52" s="114">
        <v>0</v>
      </c>
    </row>
    <row r="53" spans="1:7" ht="24.75" customHeight="1">
      <c r="A53" s="1140">
        <v>24</v>
      </c>
      <c r="B53" s="73"/>
      <c r="C53" s="1131"/>
      <c r="D53" s="1150">
        <v>6060</v>
      </c>
      <c r="E53" s="1152" t="s">
        <v>212</v>
      </c>
      <c r="F53" s="1132">
        <v>15000</v>
      </c>
      <c r="G53" s="114">
        <v>0</v>
      </c>
    </row>
    <row r="54" spans="1:7" ht="34.5" customHeight="1">
      <c r="A54" s="1140">
        <v>25</v>
      </c>
      <c r="B54" s="73"/>
      <c r="C54" s="1143"/>
      <c r="D54" s="1150">
        <v>6060</v>
      </c>
      <c r="E54" s="1152" t="s">
        <v>213</v>
      </c>
      <c r="F54" s="1132">
        <v>6000</v>
      </c>
      <c r="G54" s="114">
        <v>0</v>
      </c>
    </row>
    <row r="55" spans="1:7" ht="18.75" customHeight="1">
      <c r="A55" s="1140"/>
      <c r="B55" s="91"/>
      <c r="C55" s="1130">
        <v>80104</v>
      </c>
      <c r="D55" s="1123"/>
      <c r="E55" s="338" t="s">
        <v>440</v>
      </c>
      <c r="F55" s="1071">
        <f>SUM(F56:F59)</f>
        <v>52000</v>
      </c>
      <c r="G55" s="225">
        <f>SUM(G56:G59)</f>
        <v>0</v>
      </c>
    </row>
    <row r="56" spans="1:7" s="1153" customFormat="1" ht="25.5" customHeight="1">
      <c r="A56" s="1140">
        <v>26</v>
      </c>
      <c r="B56" s="73"/>
      <c r="C56" s="1131"/>
      <c r="D56" s="1150">
        <v>6050</v>
      </c>
      <c r="E56" s="337" t="s">
        <v>214</v>
      </c>
      <c r="F56" s="1127">
        <v>26000</v>
      </c>
      <c r="G56" s="1132">
        <v>0</v>
      </c>
    </row>
    <row r="57" spans="1:7" ht="30" customHeight="1">
      <c r="A57" s="1140">
        <v>27</v>
      </c>
      <c r="B57" s="73"/>
      <c r="C57" s="1131"/>
      <c r="D57" s="1154">
        <v>6060</v>
      </c>
      <c r="E57" s="1152" t="s">
        <v>215</v>
      </c>
      <c r="F57" s="1132">
        <v>11000</v>
      </c>
      <c r="G57" s="114">
        <v>0</v>
      </c>
    </row>
    <row r="58" spans="1:7" ht="29.25" customHeight="1">
      <c r="A58" s="1140">
        <v>28</v>
      </c>
      <c r="B58" s="73"/>
      <c r="C58" s="1131"/>
      <c r="D58" s="1154">
        <v>6060</v>
      </c>
      <c r="E58" s="1152" t="s">
        <v>216</v>
      </c>
      <c r="F58" s="1132">
        <v>7000</v>
      </c>
      <c r="G58" s="114">
        <v>0</v>
      </c>
    </row>
    <row r="59" spans="1:7" ht="30" customHeight="1">
      <c r="A59" s="1140">
        <v>29</v>
      </c>
      <c r="B59" s="73"/>
      <c r="C59" s="1131"/>
      <c r="D59" s="1154">
        <v>6060</v>
      </c>
      <c r="E59" s="1152" t="s">
        <v>217</v>
      </c>
      <c r="F59" s="1132">
        <v>8000</v>
      </c>
      <c r="G59" s="114">
        <v>0</v>
      </c>
    </row>
    <row r="60" spans="1:7" ht="19.5" customHeight="1">
      <c r="A60" s="1140"/>
      <c r="B60" s="73"/>
      <c r="C60" s="1130">
        <v>80110</v>
      </c>
      <c r="D60" s="1123"/>
      <c r="E60" s="338" t="s">
        <v>150</v>
      </c>
      <c r="F60" s="1071">
        <f>SUM(F61+F62)</f>
        <v>60000</v>
      </c>
      <c r="G60" s="225">
        <f>SUM(G61+G62)</f>
        <v>0</v>
      </c>
    </row>
    <row r="61" spans="1:7" ht="31.5" customHeight="1">
      <c r="A61" s="1140">
        <v>30</v>
      </c>
      <c r="B61" s="73"/>
      <c r="C61" s="1121"/>
      <c r="D61" s="1155">
        <v>6050</v>
      </c>
      <c r="E61" s="1" t="s">
        <v>218</v>
      </c>
      <c r="F61" s="1127">
        <v>30000</v>
      </c>
      <c r="G61" s="1132">
        <v>0</v>
      </c>
    </row>
    <row r="62" spans="1:7" ht="27.75" customHeight="1">
      <c r="A62" s="1140">
        <v>31</v>
      </c>
      <c r="B62" s="73"/>
      <c r="C62" s="1131"/>
      <c r="D62" s="1155">
        <v>6050</v>
      </c>
      <c r="E62" s="1" t="s">
        <v>219</v>
      </c>
      <c r="F62" s="1127">
        <v>30000</v>
      </c>
      <c r="G62" s="1132">
        <v>0</v>
      </c>
    </row>
    <row r="63" spans="1:7" s="1156" customFormat="1" ht="22.5" customHeight="1">
      <c r="A63" s="109"/>
      <c r="B63" s="91"/>
      <c r="C63" s="1130">
        <v>80148</v>
      </c>
      <c r="D63" s="1123"/>
      <c r="E63" s="338" t="s">
        <v>18</v>
      </c>
      <c r="F63" s="1071">
        <f>SUM(F64:F70)</f>
        <v>59200</v>
      </c>
      <c r="G63" s="225">
        <f>SUM(G64:G70)</f>
        <v>0</v>
      </c>
    </row>
    <row r="64" spans="1:7" ht="27" customHeight="1">
      <c r="A64" s="1140">
        <v>32</v>
      </c>
      <c r="B64" s="73"/>
      <c r="C64" s="1121"/>
      <c r="D64" s="1154">
        <v>6060</v>
      </c>
      <c r="E64" s="1152" t="s">
        <v>220</v>
      </c>
      <c r="F64" s="1127">
        <v>12000</v>
      </c>
      <c r="G64" s="1132">
        <v>0</v>
      </c>
    </row>
    <row r="65" spans="1:7" ht="27" customHeight="1">
      <c r="A65" s="1140">
        <v>33</v>
      </c>
      <c r="B65" s="73"/>
      <c r="C65" s="1121"/>
      <c r="D65" s="1154">
        <v>6060</v>
      </c>
      <c r="E65" s="1152" t="s">
        <v>221</v>
      </c>
      <c r="F65" s="1127">
        <v>7000</v>
      </c>
      <c r="G65" s="1132">
        <v>0</v>
      </c>
    </row>
    <row r="66" spans="1:7" ht="27" customHeight="1">
      <c r="A66" s="1140">
        <v>34</v>
      </c>
      <c r="B66" s="73"/>
      <c r="C66" s="1121"/>
      <c r="D66" s="1154">
        <v>6060</v>
      </c>
      <c r="E66" s="1152" t="s">
        <v>222</v>
      </c>
      <c r="F66" s="1127">
        <v>7000</v>
      </c>
      <c r="G66" s="1132">
        <v>0</v>
      </c>
    </row>
    <row r="67" spans="1:7" ht="27" customHeight="1">
      <c r="A67" s="1140">
        <v>35</v>
      </c>
      <c r="B67" s="73"/>
      <c r="C67" s="1121"/>
      <c r="D67" s="1154">
        <v>6060</v>
      </c>
      <c r="E67" s="1152" t="s">
        <v>223</v>
      </c>
      <c r="F67" s="1127">
        <v>12000</v>
      </c>
      <c r="G67" s="1132">
        <v>0</v>
      </c>
    </row>
    <row r="68" spans="1:7" ht="27" customHeight="1">
      <c r="A68" s="1140">
        <v>36</v>
      </c>
      <c r="B68" s="73"/>
      <c r="C68" s="1121"/>
      <c r="D68" s="1154">
        <v>6060</v>
      </c>
      <c r="E68" s="1152" t="s">
        <v>224</v>
      </c>
      <c r="F68" s="1127">
        <v>7000</v>
      </c>
      <c r="G68" s="1132">
        <v>0</v>
      </c>
    </row>
    <row r="69" spans="1:7" ht="27.75" customHeight="1">
      <c r="A69" s="1140">
        <v>37</v>
      </c>
      <c r="B69" s="73"/>
      <c r="C69" s="1131"/>
      <c r="D69" s="1154">
        <v>6060</v>
      </c>
      <c r="E69" s="1152" t="s">
        <v>225</v>
      </c>
      <c r="F69" s="1127">
        <v>6200</v>
      </c>
      <c r="G69" s="114">
        <v>0</v>
      </c>
    </row>
    <row r="70" spans="1:7" ht="27.75" customHeight="1">
      <c r="A70" s="1140">
        <v>38</v>
      </c>
      <c r="B70" s="74"/>
      <c r="C70" s="1131"/>
      <c r="D70" s="1154">
        <v>6060</v>
      </c>
      <c r="E70" s="1152" t="s">
        <v>226</v>
      </c>
      <c r="F70" s="1127">
        <v>8000</v>
      </c>
      <c r="G70" s="114">
        <v>0</v>
      </c>
    </row>
    <row r="71" spans="1:7" s="1157" customFormat="1" ht="18.75" customHeight="1">
      <c r="A71" s="11"/>
      <c r="B71" s="1200">
        <v>851</v>
      </c>
      <c r="C71" s="62"/>
      <c r="D71" s="12"/>
      <c r="E71" s="1133" t="s">
        <v>20</v>
      </c>
      <c r="F71" s="1129">
        <f>F72</f>
        <v>7500</v>
      </c>
      <c r="G71" s="150">
        <f>G72</f>
        <v>0</v>
      </c>
    </row>
    <row r="72" spans="1:7" s="1156" customFormat="1" ht="19.5" customHeight="1">
      <c r="A72" s="25"/>
      <c r="B72" s="331"/>
      <c r="C72" s="108">
        <v>85154</v>
      </c>
      <c r="D72" s="25"/>
      <c r="E72" s="26" t="s">
        <v>227</v>
      </c>
      <c r="F72" s="1071">
        <f>F73</f>
        <v>7500</v>
      </c>
      <c r="G72" s="113"/>
    </row>
    <row r="73" spans="1:7" ht="33.75" customHeight="1">
      <c r="A73" s="3">
        <v>39</v>
      </c>
      <c r="B73" s="76"/>
      <c r="C73" s="66"/>
      <c r="D73" s="5">
        <v>6220</v>
      </c>
      <c r="E73" s="337" t="s">
        <v>228</v>
      </c>
      <c r="F73" s="144">
        <v>7500</v>
      </c>
      <c r="G73" s="114">
        <v>0</v>
      </c>
    </row>
    <row r="74" spans="1:7" ht="20.25" customHeight="1">
      <c r="A74" s="3"/>
      <c r="B74" s="64">
        <v>852</v>
      </c>
      <c r="C74" s="62"/>
      <c r="D74" s="12"/>
      <c r="E74" s="1133" t="s">
        <v>378</v>
      </c>
      <c r="F74" s="1129">
        <f>F75</f>
        <v>15000</v>
      </c>
      <c r="G74" s="150">
        <f>G75</f>
        <v>0</v>
      </c>
    </row>
    <row r="75" spans="1:7" s="1156" customFormat="1" ht="21" customHeight="1">
      <c r="A75" s="25"/>
      <c r="B75" s="1149"/>
      <c r="C75" s="108">
        <v>85219</v>
      </c>
      <c r="D75" s="25"/>
      <c r="E75" s="26" t="s">
        <v>353</v>
      </c>
      <c r="F75" s="1071">
        <f>F76</f>
        <v>15000</v>
      </c>
      <c r="G75" s="113"/>
    </row>
    <row r="76" spans="1:7" ht="31.5" customHeight="1">
      <c r="A76" s="3">
        <v>40</v>
      </c>
      <c r="B76" s="76"/>
      <c r="C76" s="66"/>
      <c r="D76" s="5">
        <v>6050</v>
      </c>
      <c r="E76" s="337" t="s">
        <v>229</v>
      </c>
      <c r="F76" s="144">
        <v>15000</v>
      </c>
      <c r="G76" s="114">
        <v>0</v>
      </c>
    </row>
    <row r="77" spans="1:7" ht="24" customHeight="1">
      <c r="A77" s="3"/>
      <c r="B77" s="63">
        <v>853</v>
      </c>
      <c r="C77" s="348"/>
      <c r="D77" s="13"/>
      <c r="E77" s="273" t="s">
        <v>401</v>
      </c>
      <c r="F77" s="1129">
        <f>F78</f>
        <v>800000</v>
      </c>
      <c r="G77" s="150">
        <f>G78</f>
        <v>0</v>
      </c>
    </row>
    <row r="78" spans="1:7" ht="21.75" customHeight="1">
      <c r="A78" s="1140"/>
      <c r="B78" s="63"/>
      <c r="C78" s="1130">
        <v>85395</v>
      </c>
      <c r="D78" s="1158"/>
      <c r="E78" s="338" t="s">
        <v>513</v>
      </c>
      <c r="F78" s="1071">
        <f>SUM(F79:F80)</f>
        <v>800000</v>
      </c>
      <c r="G78" s="225">
        <f>SUM(G79:G80)</f>
        <v>0</v>
      </c>
    </row>
    <row r="79" spans="1:7" ht="36.75" customHeight="1">
      <c r="A79" s="1198">
        <v>41</v>
      </c>
      <c r="B79" s="73"/>
      <c r="C79" s="1121"/>
      <c r="D79" s="13">
        <v>6237</v>
      </c>
      <c r="E79" s="337" t="s">
        <v>284</v>
      </c>
      <c r="F79" s="144">
        <v>680000</v>
      </c>
      <c r="G79" s="114">
        <v>0</v>
      </c>
    </row>
    <row r="80" spans="1:7" ht="31.5" customHeight="1">
      <c r="A80" s="1199"/>
      <c r="B80" s="74"/>
      <c r="C80" s="1131"/>
      <c r="D80" s="13">
        <v>6239</v>
      </c>
      <c r="E80" s="337" t="s">
        <v>284</v>
      </c>
      <c r="F80" s="144">
        <v>120000</v>
      </c>
      <c r="G80" s="114">
        <v>0</v>
      </c>
    </row>
    <row r="81" spans="1:7" ht="30" customHeight="1">
      <c r="A81" s="11"/>
      <c r="B81" s="74">
        <v>900</v>
      </c>
      <c r="C81" s="62"/>
      <c r="D81" s="120"/>
      <c r="E81" s="1128" t="s">
        <v>151</v>
      </c>
      <c r="F81" s="1129">
        <f>F82+F85+F89</f>
        <v>14417510.95</v>
      </c>
      <c r="G81" s="150">
        <f>G82+G85+G89</f>
        <v>2430793</v>
      </c>
    </row>
    <row r="82" spans="1:7" ht="21" customHeight="1">
      <c r="A82" s="11"/>
      <c r="B82" s="73"/>
      <c r="C82" s="107">
        <v>90002</v>
      </c>
      <c r="D82" s="109"/>
      <c r="E82" s="338" t="s">
        <v>599</v>
      </c>
      <c r="F82" s="1071">
        <f>SUM(F83:F84)</f>
        <v>42000</v>
      </c>
      <c r="G82" s="225">
        <f>SUM(G83:G84)</f>
        <v>42000</v>
      </c>
    </row>
    <row r="83" spans="1:7" ht="36" customHeight="1">
      <c r="A83" s="3">
        <v>42</v>
      </c>
      <c r="B83" s="76"/>
      <c r="C83" s="63"/>
      <c r="D83" s="5">
        <v>6220</v>
      </c>
      <c r="E83" s="349" t="s">
        <v>586</v>
      </c>
      <c r="F83" s="1160">
        <v>12000</v>
      </c>
      <c r="G83" s="1172">
        <v>12000</v>
      </c>
    </row>
    <row r="84" spans="1:7" ht="30" customHeight="1">
      <c r="A84" s="3">
        <v>43</v>
      </c>
      <c r="B84" s="76"/>
      <c r="C84" s="74"/>
      <c r="D84" s="5">
        <v>6230</v>
      </c>
      <c r="E84" s="350" t="s">
        <v>586</v>
      </c>
      <c r="F84" s="1160">
        <v>30000</v>
      </c>
      <c r="G84" s="1172">
        <v>30000</v>
      </c>
    </row>
    <row r="85" spans="1:7" ht="23.25" customHeight="1">
      <c r="A85" s="3"/>
      <c r="B85" s="107"/>
      <c r="C85" s="108">
        <v>90015</v>
      </c>
      <c r="D85" s="109"/>
      <c r="E85" s="338" t="s">
        <v>230</v>
      </c>
      <c r="F85" s="1071">
        <f>SUM(F86:F88)</f>
        <v>3761918.78</v>
      </c>
      <c r="G85" s="225">
        <f>SUM(G86:G88)</f>
        <v>0</v>
      </c>
    </row>
    <row r="86" spans="1:7" ht="33" customHeight="1">
      <c r="A86" s="3">
        <v>44</v>
      </c>
      <c r="B86" s="77"/>
      <c r="C86" s="66"/>
      <c r="D86" s="9">
        <v>6050</v>
      </c>
      <c r="E86" s="1235" t="s">
        <v>231</v>
      </c>
      <c r="F86" s="1160">
        <v>1149.61</v>
      </c>
      <c r="G86" s="1172">
        <v>0</v>
      </c>
    </row>
    <row r="87" spans="1:7" ht="24.75" customHeight="1">
      <c r="A87" s="3">
        <v>45</v>
      </c>
      <c r="B87" s="77"/>
      <c r="C87" s="66"/>
      <c r="D87" s="9">
        <v>6050</v>
      </c>
      <c r="E87" s="350" t="s">
        <v>232</v>
      </c>
      <c r="F87" s="1160">
        <v>442.17</v>
      </c>
      <c r="G87" s="1172">
        <v>0</v>
      </c>
    </row>
    <row r="88" spans="1:7" ht="33.75" customHeight="1">
      <c r="A88" s="3">
        <v>46</v>
      </c>
      <c r="B88" s="77"/>
      <c r="C88" s="66"/>
      <c r="D88" s="9">
        <v>6050</v>
      </c>
      <c r="E88" s="350" t="s">
        <v>124</v>
      </c>
      <c r="F88" s="1160">
        <v>3760327</v>
      </c>
      <c r="G88" s="1172">
        <v>0</v>
      </c>
    </row>
    <row r="89" spans="1:7" ht="24" customHeight="1">
      <c r="A89" s="3" t="s">
        <v>21</v>
      </c>
      <c r="B89" s="107"/>
      <c r="C89" s="108">
        <v>90095</v>
      </c>
      <c r="D89" s="109"/>
      <c r="E89" s="338" t="s">
        <v>143</v>
      </c>
      <c r="F89" s="1071">
        <f>SUM(F90:F96)</f>
        <v>10613592.17</v>
      </c>
      <c r="G89" s="225">
        <f>SUM(G90:G96)</f>
        <v>2388793</v>
      </c>
    </row>
    <row r="90" spans="1:7" s="1153" customFormat="1" ht="33" customHeight="1">
      <c r="A90" s="14">
        <v>47</v>
      </c>
      <c r="B90" s="1161"/>
      <c r="C90" s="66"/>
      <c r="D90" s="5">
        <v>6010</v>
      </c>
      <c r="E90" s="337" t="s">
        <v>233</v>
      </c>
      <c r="F90" s="1127">
        <v>182470</v>
      </c>
      <c r="G90" s="1132">
        <v>175999</v>
      </c>
    </row>
    <row r="91" spans="1:7" s="1153" customFormat="1" ht="32.25" customHeight="1">
      <c r="A91" s="14">
        <v>48</v>
      </c>
      <c r="B91" s="1161"/>
      <c r="C91" s="66"/>
      <c r="D91" s="1140">
        <v>6010</v>
      </c>
      <c r="E91" s="337" t="s">
        <v>234</v>
      </c>
      <c r="F91" s="1127">
        <v>328000</v>
      </c>
      <c r="G91" s="1132">
        <v>328000</v>
      </c>
    </row>
    <row r="92" spans="1:7" s="1153" customFormat="1" ht="27" customHeight="1">
      <c r="A92" s="14"/>
      <c r="B92" s="1161"/>
      <c r="C92" s="66"/>
      <c r="D92" s="5">
        <v>6050</v>
      </c>
      <c r="E92" s="337" t="s">
        <v>37</v>
      </c>
      <c r="F92" s="1127">
        <v>200000</v>
      </c>
      <c r="G92" s="1132">
        <v>0</v>
      </c>
    </row>
    <row r="93" spans="1:7" ht="25.5" customHeight="1">
      <c r="A93" s="14">
        <v>49</v>
      </c>
      <c r="B93" s="1162"/>
      <c r="C93" s="107"/>
      <c r="D93" s="5">
        <v>6050</v>
      </c>
      <c r="E93" s="1" t="s">
        <v>235</v>
      </c>
      <c r="F93" s="1127">
        <v>500000</v>
      </c>
      <c r="G93" s="1132">
        <v>500000</v>
      </c>
    </row>
    <row r="94" spans="1:9" ht="29.25" customHeight="1">
      <c r="A94" s="1241">
        <v>50</v>
      </c>
      <c r="B94" s="1162"/>
      <c r="C94" s="107"/>
      <c r="D94" s="5">
        <v>6057</v>
      </c>
      <c r="E94" s="350" t="s">
        <v>236</v>
      </c>
      <c r="F94" s="1160">
        <v>7482653.84</v>
      </c>
      <c r="G94" s="1172">
        <v>784794</v>
      </c>
      <c r="I94" s="1163"/>
    </row>
    <row r="95" spans="1:9" ht="22.5" customHeight="1">
      <c r="A95" s="1248"/>
      <c r="B95" s="235"/>
      <c r="C95" s="68"/>
      <c r="D95" s="5">
        <v>6059</v>
      </c>
      <c r="E95" s="350" t="s">
        <v>236</v>
      </c>
      <c r="F95" s="1160">
        <v>1320468.33</v>
      </c>
      <c r="G95" s="1172">
        <v>0</v>
      </c>
      <c r="I95" s="1163"/>
    </row>
    <row r="96" spans="1:9" ht="30.75" customHeight="1">
      <c r="A96" s="2">
        <v>51</v>
      </c>
      <c r="B96" s="235"/>
      <c r="C96" s="68"/>
      <c r="D96" s="5">
        <v>6230</v>
      </c>
      <c r="E96" s="350" t="s">
        <v>139</v>
      </c>
      <c r="F96" s="1160">
        <v>600000</v>
      </c>
      <c r="G96" s="1172">
        <v>600000</v>
      </c>
      <c r="I96" s="1163"/>
    </row>
    <row r="97" spans="1:7" s="1157" customFormat="1" ht="27.75" customHeight="1">
      <c r="A97" s="11"/>
      <c r="B97" s="65">
        <v>921</v>
      </c>
      <c r="C97" s="65"/>
      <c r="D97" s="11"/>
      <c r="E97" s="1164" t="s">
        <v>570</v>
      </c>
      <c r="F97" s="1165">
        <f>F98</f>
        <v>1428930</v>
      </c>
      <c r="G97" s="1176">
        <f>G98</f>
        <v>700000</v>
      </c>
    </row>
    <row r="98" spans="1:7" s="1156" customFormat="1" ht="32.25" customHeight="1">
      <c r="A98" s="35" t="s">
        <v>21</v>
      </c>
      <c r="B98" s="238"/>
      <c r="C98" s="1166">
        <v>92109</v>
      </c>
      <c r="D98" s="1167"/>
      <c r="E98" s="1168" t="s">
        <v>389</v>
      </c>
      <c r="F98" s="1169">
        <f>F99</f>
        <v>1428930</v>
      </c>
      <c r="G98" s="1180">
        <f>G99</f>
        <v>700000</v>
      </c>
    </row>
    <row r="99" spans="1:7" ht="41.25" customHeight="1">
      <c r="A99" s="3">
        <v>52</v>
      </c>
      <c r="B99" s="235"/>
      <c r="C99" s="68"/>
      <c r="D99" s="1140">
        <v>6050</v>
      </c>
      <c r="E99" s="350" t="s">
        <v>237</v>
      </c>
      <c r="F99" s="1160">
        <v>1428930</v>
      </c>
      <c r="G99" s="1172">
        <v>700000</v>
      </c>
    </row>
    <row r="100" spans="1:10" ht="30" customHeight="1">
      <c r="A100" s="3"/>
      <c r="B100" s="1170" t="s">
        <v>238</v>
      </c>
      <c r="C100" s="1171"/>
      <c r="D100" s="1140"/>
      <c r="E100" s="309"/>
      <c r="F100" s="170">
        <f>F101+F106+F112+F115+F118+F109+F128+F131</f>
        <v>11367100</v>
      </c>
      <c r="G100" s="170">
        <f>G101+G106+G112+G115+G118+G109+G128+G131</f>
        <v>0</v>
      </c>
      <c r="J100" s="1110"/>
    </row>
    <row r="101" spans="1:10" ht="26.25" customHeight="1">
      <c r="A101" s="11"/>
      <c r="B101" s="63">
        <v>600</v>
      </c>
      <c r="C101" s="62"/>
      <c r="D101" s="120"/>
      <c r="E101" s="1128" t="s">
        <v>25</v>
      </c>
      <c r="F101" s="1129">
        <f>F102</f>
        <v>8780000</v>
      </c>
      <c r="G101" s="150">
        <f>G102</f>
        <v>0</v>
      </c>
      <c r="J101" s="1120"/>
    </row>
    <row r="102" spans="1:7" ht="27" customHeight="1">
      <c r="A102" s="3"/>
      <c r="B102" s="121"/>
      <c r="C102" s="108">
        <v>60015</v>
      </c>
      <c r="D102" s="1123"/>
      <c r="E102" s="338" t="s">
        <v>239</v>
      </c>
      <c r="F102" s="1071">
        <f>SUM(F103:F105)</f>
        <v>8780000</v>
      </c>
      <c r="G102" s="225">
        <f>SUM(G103:G105)</f>
        <v>0</v>
      </c>
    </row>
    <row r="103" spans="1:10" s="254" customFormat="1" ht="30.75" customHeight="1">
      <c r="A103" s="3">
        <v>53</v>
      </c>
      <c r="B103" s="77"/>
      <c r="C103" s="66"/>
      <c r="D103" s="5">
        <v>6050</v>
      </c>
      <c r="E103" s="349" t="s">
        <v>240</v>
      </c>
      <c r="F103" s="389">
        <v>3700000</v>
      </c>
      <c r="G103" s="1172">
        <v>0</v>
      </c>
      <c r="J103" s="1173"/>
    </row>
    <row r="104" spans="1:7" s="254" customFormat="1" ht="33.75" customHeight="1">
      <c r="A104" s="3">
        <v>54</v>
      </c>
      <c r="B104" s="77"/>
      <c r="C104" s="66"/>
      <c r="D104" s="5">
        <v>6050</v>
      </c>
      <c r="E104" s="351" t="s">
        <v>666</v>
      </c>
      <c r="F104" s="1172">
        <v>80000</v>
      </c>
      <c r="G104" s="1172">
        <v>0</v>
      </c>
    </row>
    <row r="105" spans="1:7" s="254" customFormat="1" ht="27.75" customHeight="1">
      <c r="A105" s="3">
        <v>55</v>
      </c>
      <c r="B105" s="77"/>
      <c r="C105" s="66"/>
      <c r="D105" s="5">
        <v>6050</v>
      </c>
      <c r="E105" s="1174" t="s">
        <v>241</v>
      </c>
      <c r="F105" s="1172">
        <v>5000000</v>
      </c>
      <c r="G105" s="1172"/>
    </row>
    <row r="106" spans="1:7" s="1177" customFormat="1" ht="19.5" customHeight="1">
      <c r="A106" s="11"/>
      <c r="B106" s="64">
        <v>630</v>
      </c>
      <c r="C106" s="62"/>
      <c r="D106" s="12"/>
      <c r="E106" s="1175" t="s">
        <v>302</v>
      </c>
      <c r="F106" s="1176">
        <f>F107</f>
        <v>1000</v>
      </c>
      <c r="G106" s="1176">
        <f>G107</f>
        <v>0</v>
      </c>
    </row>
    <row r="107" spans="1:7" s="1181" customFormat="1" ht="21" customHeight="1">
      <c r="A107" s="35"/>
      <c r="B107" s="331"/>
      <c r="C107" s="108">
        <v>63095</v>
      </c>
      <c r="D107" s="1178"/>
      <c r="E107" s="1179" t="s">
        <v>143</v>
      </c>
      <c r="F107" s="1180">
        <f>SUM(F108:F108)</f>
        <v>1000</v>
      </c>
      <c r="G107" s="1180">
        <f>SUM(G108:G108)</f>
        <v>0</v>
      </c>
    </row>
    <row r="108" spans="1:9" s="254" customFormat="1" ht="33" customHeight="1">
      <c r="A108" s="3">
        <v>56</v>
      </c>
      <c r="B108" s="77"/>
      <c r="C108" s="66"/>
      <c r="D108" s="5">
        <v>6050</v>
      </c>
      <c r="E108" s="349" t="s">
        <v>242</v>
      </c>
      <c r="F108" s="1172">
        <v>1000</v>
      </c>
      <c r="G108" s="1172">
        <v>0</v>
      </c>
      <c r="I108" s="1173"/>
    </row>
    <row r="109" spans="1:9" s="254" customFormat="1" ht="22.5" customHeight="1">
      <c r="A109" s="3"/>
      <c r="B109" s="64">
        <v>710</v>
      </c>
      <c r="C109" s="62"/>
      <c r="D109" s="12"/>
      <c r="E109" s="1175" t="s">
        <v>152</v>
      </c>
      <c r="F109" s="1176">
        <f>F110</f>
        <v>45000</v>
      </c>
      <c r="G109" s="1176">
        <f>G110</f>
        <v>0</v>
      </c>
      <c r="I109" s="1173"/>
    </row>
    <row r="110" spans="1:9" s="254" customFormat="1" ht="27" customHeight="1">
      <c r="A110" s="3"/>
      <c r="B110" s="331"/>
      <c r="C110" s="108">
        <v>71012</v>
      </c>
      <c r="D110" s="1178"/>
      <c r="E110" s="1179" t="s">
        <v>685</v>
      </c>
      <c r="F110" s="1180">
        <f>SUM(F111:F111)</f>
        <v>45000</v>
      </c>
      <c r="G110" s="1180">
        <f>SUM(G111:G111)</f>
        <v>0</v>
      </c>
      <c r="I110" s="1173"/>
    </row>
    <row r="111" spans="1:9" s="254" customFormat="1" ht="30" customHeight="1">
      <c r="A111" s="3">
        <v>57</v>
      </c>
      <c r="B111" s="77"/>
      <c r="C111" s="66"/>
      <c r="D111" s="5">
        <v>6060</v>
      </c>
      <c r="E111" s="349" t="s">
        <v>243</v>
      </c>
      <c r="F111" s="1172">
        <v>45000</v>
      </c>
      <c r="G111" s="1172">
        <v>0</v>
      </c>
      <c r="I111" s="1173"/>
    </row>
    <row r="112" spans="1:12" s="40" customFormat="1" ht="28.5" customHeight="1">
      <c r="A112" s="11"/>
      <c r="B112" s="62">
        <v>754</v>
      </c>
      <c r="C112" s="62"/>
      <c r="D112" s="11"/>
      <c r="E112" s="1148" t="s">
        <v>145</v>
      </c>
      <c r="F112" s="150">
        <f>F113</f>
        <v>400000</v>
      </c>
      <c r="G112" s="150">
        <f>G113</f>
        <v>0</v>
      </c>
      <c r="J112" s="1182"/>
      <c r="K112" s="1182"/>
      <c r="L112" s="53"/>
    </row>
    <row r="113" spans="1:12" s="40" customFormat="1" ht="24" customHeight="1">
      <c r="A113" s="3"/>
      <c r="B113" s="107"/>
      <c r="C113" s="108">
        <v>75411</v>
      </c>
      <c r="D113" s="1167"/>
      <c r="E113" s="1136" t="s">
        <v>355</v>
      </c>
      <c r="F113" s="225">
        <f>SUM(F114:F114)</f>
        <v>400000</v>
      </c>
      <c r="G113" s="225">
        <f>SUM(G114:G114)</f>
        <v>0</v>
      </c>
      <c r="I113" s="1182"/>
      <c r="J113" s="1182"/>
      <c r="K113" s="1182"/>
      <c r="L113" s="53"/>
    </row>
    <row r="114" spans="1:12" s="40" customFormat="1" ht="58.5" customHeight="1">
      <c r="A114" s="14">
        <v>58</v>
      </c>
      <c r="B114" s="66"/>
      <c r="C114" s="1131"/>
      <c r="D114" s="1155">
        <v>6050</v>
      </c>
      <c r="E114" s="337" t="s">
        <v>244</v>
      </c>
      <c r="F114" s="1132">
        <v>400000</v>
      </c>
      <c r="G114" s="1132">
        <v>0</v>
      </c>
      <c r="I114" s="1182"/>
      <c r="J114" s="1182"/>
      <c r="K114" s="1182"/>
      <c r="L114" s="53"/>
    </row>
    <row r="115" spans="1:7" ht="21.75" customHeight="1">
      <c r="A115" s="54"/>
      <c r="B115" s="62">
        <v>758</v>
      </c>
      <c r="C115" s="62"/>
      <c r="D115" s="120"/>
      <c r="E115" s="1128" t="s">
        <v>146</v>
      </c>
      <c r="F115" s="1129">
        <f>F116</f>
        <v>658000</v>
      </c>
      <c r="G115" s="150">
        <f>G116</f>
        <v>0</v>
      </c>
    </row>
    <row r="116" spans="1:7" ht="22.5" customHeight="1">
      <c r="A116" s="8"/>
      <c r="B116" s="1144"/>
      <c r="C116" s="1145">
        <v>75818</v>
      </c>
      <c r="D116" s="109"/>
      <c r="E116" s="1136" t="s">
        <v>147</v>
      </c>
      <c r="F116" s="1137">
        <f>F117</f>
        <v>658000</v>
      </c>
      <c r="G116" s="1233">
        <f>G117</f>
        <v>0</v>
      </c>
    </row>
    <row r="117" spans="1:9" ht="32.25" customHeight="1">
      <c r="A117" s="8"/>
      <c r="B117" s="73"/>
      <c r="C117" s="1131"/>
      <c r="D117" s="1140">
        <v>6800</v>
      </c>
      <c r="E117" s="1146" t="s">
        <v>207</v>
      </c>
      <c r="F117" s="1147">
        <v>658000</v>
      </c>
      <c r="G117" s="114">
        <f>500000-500000</f>
        <v>0</v>
      </c>
      <c r="I117" s="1163"/>
    </row>
    <row r="118" spans="1:7" ht="20.25" customHeight="1">
      <c r="A118" s="14"/>
      <c r="B118" s="63">
        <v>801</v>
      </c>
      <c r="C118" s="62"/>
      <c r="D118" s="11"/>
      <c r="E118" s="1141" t="s">
        <v>148</v>
      </c>
      <c r="F118" s="1129">
        <f>F119+F124</f>
        <v>126000</v>
      </c>
      <c r="G118" s="150">
        <f>G119+G124</f>
        <v>0</v>
      </c>
    </row>
    <row r="119" spans="1:7" s="1156" customFormat="1" ht="18" customHeight="1">
      <c r="A119" s="37"/>
      <c r="B119" s="121"/>
      <c r="C119" s="122">
        <v>80120</v>
      </c>
      <c r="D119" s="25"/>
      <c r="E119" s="1142" t="s">
        <v>371</v>
      </c>
      <c r="F119" s="1071">
        <f>SUM(F120:F123)</f>
        <v>101953</v>
      </c>
      <c r="G119" s="225">
        <f>SUM(G120:G123)</f>
        <v>0</v>
      </c>
    </row>
    <row r="120" spans="1:7" s="1153" customFormat="1" ht="24.75" customHeight="1">
      <c r="A120" s="3">
        <v>59</v>
      </c>
      <c r="B120" s="77"/>
      <c r="C120" s="67"/>
      <c r="D120" s="9">
        <v>6050</v>
      </c>
      <c r="E120" s="1185" t="s">
        <v>245</v>
      </c>
      <c r="F120" s="1127">
        <v>45000</v>
      </c>
      <c r="G120" s="1132">
        <v>0</v>
      </c>
    </row>
    <row r="121" spans="1:7" s="1153" customFormat="1" ht="27.75" customHeight="1">
      <c r="A121" s="3">
        <v>60</v>
      </c>
      <c r="B121" s="77"/>
      <c r="C121" s="66"/>
      <c r="D121" s="1150">
        <v>6050</v>
      </c>
      <c r="E121" s="1152" t="s">
        <v>246</v>
      </c>
      <c r="F121" s="1127">
        <v>50000</v>
      </c>
      <c r="G121" s="1132">
        <v>0</v>
      </c>
    </row>
    <row r="122" spans="1:7" s="1153" customFormat="1" ht="33" customHeight="1">
      <c r="A122" s="3">
        <v>61</v>
      </c>
      <c r="B122" s="77"/>
      <c r="C122" s="66"/>
      <c r="D122" s="1150">
        <v>6060</v>
      </c>
      <c r="E122" s="1152" t="s">
        <v>247</v>
      </c>
      <c r="F122" s="1127">
        <v>1953</v>
      </c>
      <c r="G122" s="1132">
        <v>0</v>
      </c>
    </row>
    <row r="123" spans="1:7" s="1153" customFormat="1" ht="24.75" customHeight="1">
      <c r="A123" s="3">
        <v>62</v>
      </c>
      <c r="B123" s="77"/>
      <c r="C123" s="75"/>
      <c r="D123" s="9">
        <v>6060</v>
      </c>
      <c r="E123" s="1185" t="s">
        <v>248</v>
      </c>
      <c r="F123" s="1127">
        <v>5000</v>
      </c>
      <c r="G123" s="1132">
        <v>0</v>
      </c>
    </row>
    <row r="124" spans="1:7" s="1153" customFormat="1" ht="20.25" customHeight="1">
      <c r="A124" s="3"/>
      <c r="B124" s="1131"/>
      <c r="C124" s="1121">
        <v>80130</v>
      </c>
      <c r="D124" s="25"/>
      <c r="E124" s="1142" t="s">
        <v>372</v>
      </c>
      <c r="F124" s="1071">
        <f>SUM(F125:F127)</f>
        <v>24047</v>
      </c>
      <c r="G124" s="225">
        <f>SUM(G125:G127)</f>
        <v>0</v>
      </c>
    </row>
    <row r="125" spans="1:7" s="1153" customFormat="1" ht="33" customHeight="1">
      <c r="A125" s="3">
        <v>63</v>
      </c>
      <c r="B125" s="1161"/>
      <c r="C125" s="121"/>
      <c r="D125" s="1150">
        <v>6060</v>
      </c>
      <c r="E125" s="1152" t="s">
        <v>249</v>
      </c>
      <c r="F125" s="1127">
        <v>6000</v>
      </c>
      <c r="G125" s="1132">
        <v>0</v>
      </c>
    </row>
    <row r="126" spans="1:7" s="1153" customFormat="1" ht="34.5" customHeight="1">
      <c r="A126" s="3">
        <v>64</v>
      </c>
      <c r="B126" s="1161"/>
      <c r="C126" s="107"/>
      <c r="D126" s="1150">
        <v>6060</v>
      </c>
      <c r="E126" s="1152" t="s">
        <v>247</v>
      </c>
      <c r="F126" s="1127">
        <v>8047</v>
      </c>
      <c r="G126" s="1132">
        <v>0</v>
      </c>
    </row>
    <row r="127" spans="1:7" s="1153" customFormat="1" ht="26.25" customHeight="1">
      <c r="A127" s="3">
        <v>65</v>
      </c>
      <c r="B127" s="1161"/>
      <c r="C127" s="75"/>
      <c r="D127" s="1150">
        <v>6060</v>
      </c>
      <c r="E127" s="1152" t="s">
        <v>250</v>
      </c>
      <c r="F127" s="1127">
        <v>10000</v>
      </c>
      <c r="G127" s="1132">
        <v>0</v>
      </c>
    </row>
    <row r="128" spans="1:7" s="1157" customFormat="1" ht="20.25" customHeight="1">
      <c r="A128" s="11"/>
      <c r="B128" s="62">
        <v>854</v>
      </c>
      <c r="C128" s="1159"/>
      <c r="D128" s="1186"/>
      <c r="E128" s="1187" t="s">
        <v>354</v>
      </c>
      <c r="F128" s="1129">
        <f>F129</f>
        <v>12300</v>
      </c>
      <c r="G128" s="150">
        <f>G129</f>
        <v>0</v>
      </c>
    </row>
    <row r="129" spans="1:7" s="1156" customFormat="1" ht="24.75" customHeight="1">
      <c r="A129" s="25"/>
      <c r="B129" s="1121"/>
      <c r="C129" s="1130">
        <v>85403</v>
      </c>
      <c r="D129" s="1188"/>
      <c r="E129" s="1189" t="s">
        <v>251</v>
      </c>
      <c r="F129" s="1071">
        <f>F130</f>
        <v>12300</v>
      </c>
      <c r="G129" s="225">
        <f>G130</f>
        <v>0</v>
      </c>
    </row>
    <row r="130" spans="1:7" s="1153" customFormat="1" ht="24" customHeight="1">
      <c r="A130" s="3">
        <v>66</v>
      </c>
      <c r="B130" s="1131"/>
      <c r="C130" s="1184"/>
      <c r="D130" s="1154">
        <v>6060</v>
      </c>
      <c r="E130" s="1152" t="s">
        <v>252</v>
      </c>
      <c r="F130" s="1127">
        <v>12300</v>
      </c>
      <c r="G130" s="1132">
        <v>0</v>
      </c>
    </row>
    <row r="131" spans="1:7" ht="20.25" customHeight="1">
      <c r="A131" s="11"/>
      <c r="B131" s="62">
        <v>926</v>
      </c>
      <c r="C131" s="62"/>
      <c r="D131" s="120"/>
      <c r="E131" s="1128" t="s">
        <v>6</v>
      </c>
      <c r="F131" s="1129">
        <f>F132</f>
        <v>1344800</v>
      </c>
      <c r="G131" s="150">
        <f>G132</f>
        <v>0</v>
      </c>
    </row>
    <row r="132" spans="1:7" ht="24" customHeight="1">
      <c r="A132" s="1190"/>
      <c r="B132" s="1144"/>
      <c r="C132" s="1145">
        <v>92601</v>
      </c>
      <c r="D132" s="109"/>
      <c r="E132" s="338" t="s">
        <v>670</v>
      </c>
      <c r="F132" s="1071">
        <f>SUM(F133:F133)</f>
        <v>1344800</v>
      </c>
      <c r="G132" s="225">
        <f>SUM(G133:G133)</f>
        <v>0</v>
      </c>
    </row>
    <row r="133" spans="1:7" ht="33" customHeight="1">
      <c r="A133" s="17">
        <v>67</v>
      </c>
      <c r="B133" s="91"/>
      <c r="C133" s="1121"/>
      <c r="D133" s="1155">
        <v>6050</v>
      </c>
      <c r="E133" s="1" t="s">
        <v>253</v>
      </c>
      <c r="F133" s="1127">
        <v>1344800</v>
      </c>
      <c r="G133" s="1132">
        <v>0</v>
      </c>
    </row>
    <row r="134" spans="1:10" ht="28.5" customHeight="1">
      <c r="A134" s="11"/>
      <c r="B134" s="1191" t="s">
        <v>137</v>
      </c>
      <c r="C134" s="1192"/>
      <c r="D134" s="15"/>
      <c r="E134" s="1193"/>
      <c r="F134" s="170">
        <f>F13+F100</f>
        <v>40151441</v>
      </c>
      <c r="G134" s="170">
        <f>G13+G100</f>
        <v>5630793</v>
      </c>
      <c r="I134" s="1116"/>
      <c r="J134" s="1116"/>
    </row>
    <row r="135" spans="1:10" ht="21.75" customHeight="1">
      <c r="A135" s="140"/>
      <c r="B135" s="61"/>
      <c r="C135" s="61"/>
      <c r="D135" s="140"/>
      <c r="F135" s="106"/>
      <c r="G135" s="106"/>
      <c r="I135" s="1120"/>
      <c r="J135" s="1120"/>
    </row>
    <row r="136" spans="1:10" ht="22.5" customHeight="1">
      <c r="A136" s="140"/>
      <c r="B136" s="155"/>
      <c r="C136" s="155"/>
      <c r="D136" s="140"/>
      <c r="F136" s="519"/>
      <c r="G136" s="519"/>
      <c r="I136" s="1163"/>
      <c r="J136" s="1194"/>
    </row>
    <row r="137" spans="1:10" ht="12.75">
      <c r="A137" s="140"/>
      <c r="B137" s="155"/>
      <c r="C137" s="155"/>
      <c r="D137" s="140"/>
      <c r="F137" s="519"/>
      <c r="G137" s="519"/>
      <c r="H137" s="1163"/>
      <c r="I137" s="1163"/>
      <c r="J137" s="1163"/>
    </row>
    <row r="138" spans="6:10" ht="12.75">
      <c r="F138" s="1124"/>
      <c r="G138" s="1196"/>
      <c r="I138" s="1163"/>
      <c r="J138" s="1163"/>
    </row>
    <row r="139" spans="6:10" ht="12.75">
      <c r="F139" s="1197"/>
      <c r="G139" s="1196"/>
      <c r="I139" s="1163"/>
      <c r="J139" s="1163"/>
    </row>
    <row r="140" spans="6:10" ht="12.75">
      <c r="F140" s="1196"/>
      <c r="G140" s="1196"/>
      <c r="I140" s="1163"/>
      <c r="J140" s="1163"/>
    </row>
    <row r="141" spans="6:10" ht="12.75">
      <c r="F141" s="1196"/>
      <c r="G141" s="1196"/>
      <c r="I141" s="1163"/>
      <c r="J141" s="1163"/>
    </row>
    <row r="142" spans="6:7" ht="12.75">
      <c r="F142" s="1196"/>
      <c r="G142" s="1196"/>
    </row>
    <row r="143" spans="6:7" ht="12.75">
      <c r="F143" s="1196"/>
      <c r="G143" s="1196"/>
    </row>
    <row r="144" spans="6:7" ht="12.75">
      <c r="F144" s="1196"/>
      <c r="G144" s="1196"/>
    </row>
    <row r="145" spans="6:7" ht="12.75">
      <c r="F145" s="1196"/>
      <c r="G145" s="1196"/>
    </row>
    <row r="146" spans="6:7" ht="12.75">
      <c r="F146" s="1196"/>
      <c r="G146" s="1196"/>
    </row>
    <row r="147" spans="6:7" ht="12.75">
      <c r="F147" s="1196"/>
      <c r="G147" s="1196"/>
    </row>
    <row r="148" spans="6:7" ht="12.75">
      <c r="F148" s="1196"/>
      <c r="G148" s="1196"/>
    </row>
    <row r="149" spans="6:7" ht="12.75">
      <c r="F149" s="1196"/>
      <c r="G149" s="1196"/>
    </row>
  </sheetData>
  <sheetProtection/>
  <mergeCells count="1">
    <mergeCell ref="A94:A9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7109375" style="23" customWidth="1"/>
    <col min="2" max="2" width="31.7109375" style="23" customWidth="1"/>
    <col min="3" max="3" width="15.00390625" style="23" customWidth="1"/>
    <col min="4" max="4" width="8.57421875" style="23" customWidth="1"/>
    <col min="5" max="5" width="17.140625" style="23" customWidth="1"/>
    <col min="6" max="6" width="18.28125" style="23" customWidth="1"/>
    <col min="7" max="7" width="13.140625" style="23" customWidth="1"/>
    <col min="8" max="8" width="22.28125" style="23" customWidth="1"/>
    <col min="9" max="9" width="32.7109375" style="529" customWidth="1"/>
    <col min="10" max="10" width="18.140625" style="23" customWidth="1"/>
    <col min="11" max="11" width="9.140625" style="23" customWidth="1"/>
    <col min="12" max="12" width="10.140625" style="23" bestFit="1" customWidth="1"/>
    <col min="13" max="16384" width="9.140625" style="23" customWidth="1"/>
  </cols>
  <sheetData>
    <row r="1" spans="4:5" ht="20.25">
      <c r="D1" s="528"/>
      <c r="E1" s="528" t="s">
        <v>557</v>
      </c>
    </row>
    <row r="2" spans="4:5" ht="18.75">
      <c r="D2" s="262"/>
      <c r="E2" s="262" t="s">
        <v>471</v>
      </c>
    </row>
    <row r="3" spans="4:5" ht="18.75">
      <c r="D3" s="262"/>
      <c r="E3" s="262" t="s">
        <v>589</v>
      </c>
    </row>
    <row r="4" spans="4:5" ht="18.75">
      <c r="D4" s="262"/>
      <c r="E4" s="262" t="s">
        <v>478</v>
      </c>
    </row>
    <row r="5" spans="4:5" ht="18.75">
      <c r="D5" s="262"/>
      <c r="E5" s="262"/>
    </row>
    <row r="6" spans="1:12" ht="18">
      <c r="A6" s="530"/>
      <c r="B6" s="531"/>
      <c r="C6" s="531"/>
      <c r="D6" s="532"/>
      <c r="E6" s="533"/>
      <c r="F6" s="533"/>
      <c r="G6" s="533"/>
      <c r="H6" s="533"/>
      <c r="I6" s="534"/>
      <c r="J6" s="533"/>
      <c r="K6" s="535"/>
      <c r="L6" s="535"/>
    </row>
    <row r="7" spans="1:12" ht="20.25">
      <c r="A7" s="530"/>
      <c r="B7" s="536" t="s">
        <v>472</v>
      </c>
      <c r="C7" s="537"/>
      <c r="D7" s="538"/>
      <c r="E7" s="533"/>
      <c r="F7" s="533"/>
      <c r="G7" s="533"/>
      <c r="H7" s="533"/>
      <c r="I7" s="534"/>
      <c r="J7" s="533"/>
      <c r="K7" s="535"/>
      <c r="L7" s="535"/>
    </row>
    <row r="8" spans="1:12" ht="20.25">
      <c r="A8" s="530"/>
      <c r="B8" s="536" t="s">
        <v>473</v>
      </c>
      <c r="C8" s="537"/>
      <c r="D8" s="538"/>
      <c r="E8" s="533"/>
      <c r="F8" s="533"/>
      <c r="G8" s="533"/>
      <c r="H8" s="533"/>
      <c r="I8" s="534"/>
      <c r="J8" s="533"/>
      <c r="K8" s="535"/>
      <c r="L8" s="535"/>
    </row>
    <row r="9" spans="1:12" ht="20.25">
      <c r="A9" s="530"/>
      <c r="B9" s="536" t="s">
        <v>479</v>
      </c>
      <c r="C9" s="537"/>
      <c r="D9" s="538"/>
      <c r="E9" s="533"/>
      <c r="F9" s="533"/>
      <c r="G9" s="533"/>
      <c r="H9" s="533"/>
      <c r="I9" s="534"/>
      <c r="J9" s="533"/>
      <c r="K9" s="535"/>
      <c r="L9" s="535"/>
    </row>
    <row r="10" spans="1:12" ht="20.25">
      <c r="A10" s="530"/>
      <c r="B10" s="539"/>
      <c r="C10" s="537"/>
      <c r="D10" s="538"/>
      <c r="E10" s="533"/>
      <c r="F10" s="533"/>
      <c r="G10" s="533"/>
      <c r="H10" s="533"/>
      <c r="I10" s="534"/>
      <c r="J10" s="533"/>
      <c r="K10" s="535"/>
      <c r="L10" s="535"/>
    </row>
    <row r="11" spans="1:12" ht="12.75">
      <c r="A11" s="530"/>
      <c r="B11" s="533"/>
      <c r="C11" s="533"/>
      <c r="D11" s="540"/>
      <c r="E11" s="533"/>
      <c r="F11" s="541" t="s">
        <v>22</v>
      </c>
      <c r="G11" s="533"/>
      <c r="H11" s="533"/>
      <c r="I11" s="534"/>
      <c r="J11" s="533"/>
      <c r="K11" s="535"/>
      <c r="L11" s="535"/>
    </row>
    <row r="12" spans="1:12" ht="29.25" customHeight="1">
      <c r="A12" s="542"/>
      <c r="B12" s="543"/>
      <c r="C12" s="543"/>
      <c r="D12" s="544"/>
      <c r="E12" s="545" t="s">
        <v>480</v>
      </c>
      <c r="F12" s="546"/>
      <c r="G12" s="547"/>
      <c r="H12" s="533"/>
      <c r="I12" s="534"/>
      <c r="J12" s="548"/>
      <c r="K12" s="548"/>
      <c r="L12" s="535"/>
    </row>
    <row r="13" spans="1:12" s="558" customFormat="1" ht="44.25" customHeight="1">
      <c r="A13" s="549" t="s">
        <v>624</v>
      </c>
      <c r="B13" s="550" t="s">
        <v>29</v>
      </c>
      <c r="C13" s="551" t="s">
        <v>30</v>
      </c>
      <c r="D13" s="551" t="s">
        <v>31</v>
      </c>
      <c r="E13" s="552" t="s">
        <v>32</v>
      </c>
      <c r="F13" s="553" t="s">
        <v>474</v>
      </c>
      <c r="G13" s="554"/>
      <c r="H13" s="555"/>
      <c r="I13" s="556"/>
      <c r="J13" s="548"/>
      <c r="K13" s="548"/>
      <c r="L13" s="557"/>
    </row>
    <row r="14" spans="1:13" s="254" customFormat="1" ht="32.25" customHeight="1">
      <c r="A14" s="559" t="s">
        <v>425</v>
      </c>
      <c r="B14" s="560"/>
      <c r="C14" s="561"/>
      <c r="D14" s="561"/>
      <c r="E14" s="562">
        <f>E17+E20</f>
        <v>1440468.33</v>
      </c>
      <c r="F14" s="562">
        <f>F17+F20</f>
        <v>8162653.84</v>
      </c>
      <c r="G14" s="563"/>
      <c r="H14" s="564"/>
      <c r="I14" s="573">
        <f>E14+F14</f>
        <v>9603122.17</v>
      </c>
      <c r="J14" s="359"/>
      <c r="K14" s="359"/>
      <c r="L14" s="359"/>
      <c r="M14" s="566"/>
    </row>
    <row r="15" spans="1:12" s="254" customFormat="1" ht="51.75" customHeight="1">
      <c r="A15" s="462">
        <v>1</v>
      </c>
      <c r="B15" s="567" t="s">
        <v>475</v>
      </c>
      <c r="C15" s="568" t="s">
        <v>476</v>
      </c>
      <c r="D15" s="455"/>
      <c r="E15" s="569"/>
      <c r="F15" s="570"/>
      <c r="G15" s="571"/>
      <c r="H15" s="572"/>
      <c r="I15" s="573">
        <f>F17+F20+E20</f>
        <v>8282653.84</v>
      </c>
      <c r="J15" s="574"/>
      <c r="K15" s="575"/>
      <c r="L15" s="575"/>
    </row>
    <row r="16" spans="1:12" s="254" customFormat="1" ht="36.75" customHeight="1">
      <c r="A16" s="576"/>
      <c r="B16" s="513" t="s">
        <v>477</v>
      </c>
      <c r="C16" s="463"/>
      <c r="D16" s="126"/>
      <c r="E16" s="577"/>
      <c r="F16" s="577"/>
      <c r="G16" s="571"/>
      <c r="H16" s="572"/>
      <c r="I16" s="565"/>
      <c r="J16" s="574"/>
      <c r="K16" s="575"/>
      <c r="L16" s="575"/>
    </row>
    <row r="17" spans="1:12" s="254" customFormat="1" ht="70.5" customHeight="1">
      <c r="A17" s="464"/>
      <c r="B17" s="513" t="s">
        <v>481</v>
      </c>
      <c r="C17" s="466"/>
      <c r="D17" s="126" t="s">
        <v>265</v>
      </c>
      <c r="E17" s="579">
        <v>1320468.33</v>
      </c>
      <c r="F17" s="580">
        <v>7482653.84</v>
      </c>
      <c r="G17" s="571"/>
      <c r="H17" s="572"/>
      <c r="I17" s="565"/>
      <c r="J17" s="574"/>
      <c r="K17" s="575"/>
      <c r="L17" s="575"/>
    </row>
    <row r="18" spans="1:9" ht="48.75" customHeight="1">
      <c r="A18" s="578">
        <v>2</v>
      </c>
      <c r="B18" s="454" t="s">
        <v>34</v>
      </c>
      <c r="C18" s="475" t="s">
        <v>36</v>
      </c>
      <c r="D18" s="455"/>
      <c r="E18" s="469"/>
      <c r="F18" s="469"/>
      <c r="H18" s="572"/>
      <c r="I18" s="581"/>
    </row>
    <row r="19" spans="1:8" ht="69.75" customHeight="1">
      <c r="A19" s="458"/>
      <c r="B19" s="477" t="s">
        <v>50</v>
      </c>
      <c r="C19" s="461"/>
      <c r="D19" s="126"/>
      <c r="E19" s="473"/>
      <c r="F19" s="473"/>
      <c r="H19" s="572"/>
    </row>
    <row r="20" spans="1:8" ht="45" customHeight="1">
      <c r="A20" s="464"/>
      <c r="B20" s="477" t="s">
        <v>51</v>
      </c>
      <c r="C20" s="479"/>
      <c r="D20" s="415" t="s">
        <v>52</v>
      </c>
      <c r="E20" s="497">
        <v>120000</v>
      </c>
      <c r="F20" s="497">
        <v>680000</v>
      </c>
      <c r="H20" s="572"/>
    </row>
    <row r="21" spans="4:6" ht="12.75">
      <c r="D21" s="529"/>
      <c r="E21" s="529"/>
      <c r="F21" s="529"/>
    </row>
    <row r="22" spans="4:6" ht="12.75">
      <c r="D22" s="529"/>
      <c r="E22" s="529"/>
      <c r="F22" s="529"/>
    </row>
    <row r="23" spans="4:6" ht="12.75">
      <c r="D23" s="529"/>
      <c r="E23" s="529"/>
      <c r="F23" s="529"/>
    </row>
    <row r="24" spans="4:6" ht="12.75">
      <c r="D24" s="529"/>
      <c r="E24" s="529"/>
      <c r="F24" s="529"/>
    </row>
    <row r="25" spans="4:6" ht="12.75">
      <c r="D25" s="529"/>
      <c r="E25" s="529"/>
      <c r="F25" s="529"/>
    </row>
    <row r="26" spans="4:6" ht="12.75">
      <c r="D26" s="529"/>
      <c r="E26" s="529"/>
      <c r="F26" s="529"/>
    </row>
    <row r="27" spans="4:6" ht="12.75">
      <c r="D27" s="529"/>
      <c r="E27" s="529"/>
      <c r="F27" s="529"/>
    </row>
    <row r="28" spans="4:6" ht="12.75">
      <c r="D28" s="529"/>
      <c r="E28" s="529"/>
      <c r="F28" s="529"/>
    </row>
    <row r="29" spans="4:6" ht="12.75">
      <c r="D29" s="529"/>
      <c r="E29" s="529"/>
      <c r="F29" s="529"/>
    </row>
    <row r="30" spans="4:6" ht="12.75">
      <c r="D30" s="529"/>
      <c r="E30" s="529"/>
      <c r="F30" s="529"/>
    </row>
    <row r="31" spans="4:6" ht="12.75">
      <c r="D31" s="529"/>
      <c r="E31" s="529"/>
      <c r="F31" s="529"/>
    </row>
    <row r="32" spans="4:6" ht="12.75">
      <c r="D32" s="529"/>
      <c r="E32" s="529"/>
      <c r="F32" s="529"/>
    </row>
    <row r="33" spans="4:6" ht="12.75">
      <c r="D33" s="529"/>
      <c r="E33" s="529"/>
      <c r="F33" s="529"/>
    </row>
    <row r="34" spans="4:6" ht="12.75">
      <c r="D34" s="529"/>
      <c r="E34" s="529"/>
      <c r="F34" s="529"/>
    </row>
    <row r="35" spans="4:6" ht="12.75">
      <c r="D35" s="529"/>
      <c r="E35" s="529"/>
      <c r="F35" s="529"/>
    </row>
  </sheetData>
  <sheetProtection/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0"/>
  <sheetViews>
    <sheetView zoomScalePageLayoutView="0" workbookViewId="0" topLeftCell="A7">
      <selection activeCell="I20" sqref="I20"/>
    </sheetView>
  </sheetViews>
  <sheetFormatPr defaultColWidth="9.140625" defaultRowHeight="12.75"/>
  <cols>
    <col min="1" max="1" width="5.7109375" style="43" customWidth="1"/>
    <col min="2" max="2" width="38.57421875" style="43" customWidth="1"/>
    <col min="3" max="3" width="18.00390625" style="43" customWidth="1"/>
    <col min="4" max="4" width="8.7109375" style="43" customWidth="1"/>
    <col min="5" max="5" width="13.57421875" style="43" customWidth="1"/>
    <col min="6" max="6" width="15.140625" style="43" customWidth="1"/>
    <col min="7" max="7" width="13.57421875" style="263" customWidth="1"/>
    <col min="8" max="8" width="18.140625" style="263" customWidth="1"/>
    <col min="9" max="9" width="23.00390625" style="263" customWidth="1"/>
    <col min="10" max="10" width="20.28125" style="264" customWidth="1"/>
    <col min="11" max="11" width="18.140625" style="262" customWidth="1"/>
    <col min="12" max="12" width="15.7109375" style="262" customWidth="1"/>
    <col min="13" max="13" width="10.140625" style="262" bestFit="1" customWidth="1"/>
    <col min="14" max="14" width="9.140625" style="262" customWidth="1"/>
    <col min="15" max="16384" width="9.140625" style="43" customWidth="1"/>
  </cols>
  <sheetData>
    <row r="1" spans="3:4" ht="20.25">
      <c r="C1" s="618" t="s">
        <v>558</v>
      </c>
      <c r="D1" s="416"/>
    </row>
    <row r="2" spans="3:4" ht="18.75">
      <c r="C2" s="347" t="s">
        <v>85</v>
      </c>
      <c r="D2" s="416"/>
    </row>
    <row r="3" spans="3:4" ht="18.75">
      <c r="C3" s="347" t="s">
        <v>589</v>
      </c>
      <c r="D3" s="416"/>
    </row>
    <row r="4" spans="3:4" ht="18.75">
      <c r="C4" s="347" t="s">
        <v>86</v>
      </c>
      <c r="D4" s="416"/>
    </row>
    <row r="5" spans="3:4" ht="18.75">
      <c r="C5" s="416"/>
      <c r="D5" s="416"/>
    </row>
    <row r="6" spans="1:13" ht="18.75">
      <c r="A6" s="416"/>
      <c r="B6" s="416"/>
      <c r="C6" s="416"/>
      <c r="D6" s="416"/>
      <c r="E6" s="416"/>
      <c r="F6" s="416"/>
      <c r="G6" s="417"/>
      <c r="H6" s="417"/>
      <c r="I6" s="417"/>
      <c r="J6" s="418"/>
      <c r="K6" s="419"/>
      <c r="L6" s="419"/>
      <c r="M6" s="419"/>
    </row>
    <row r="7" spans="1:13" ht="20.25">
      <c r="A7" s="416"/>
      <c r="B7" s="420" t="s">
        <v>27</v>
      </c>
      <c r="C7" s="416"/>
      <c r="D7" s="416"/>
      <c r="E7" s="416"/>
      <c r="F7" s="416"/>
      <c r="G7" s="417"/>
      <c r="H7" s="417"/>
      <c r="I7" s="417"/>
      <c r="J7" s="418"/>
      <c r="K7" s="419"/>
      <c r="L7" s="419"/>
      <c r="M7" s="419"/>
    </row>
    <row r="8" spans="1:13" ht="20.25">
      <c r="A8" s="421"/>
      <c r="B8" s="420" t="s">
        <v>28</v>
      </c>
      <c r="C8" s="422"/>
      <c r="D8" s="423"/>
      <c r="E8" s="422"/>
      <c r="F8" s="422"/>
      <c r="G8" s="424"/>
      <c r="H8" s="424"/>
      <c r="I8" s="424"/>
      <c r="J8" s="425"/>
      <c r="K8" s="426"/>
      <c r="L8" s="419"/>
      <c r="M8" s="419"/>
    </row>
    <row r="9" spans="1:13" ht="20.25">
      <c r="A9" s="421"/>
      <c r="B9" s="420" t="s">
        <v>87</v>
      </c>
      <c r="C9" s="422"/>
      <c r="D9" s="423"/>
      <c r="E9" s="422"/>
      <c r="F9" s="422"/>
      <c r="G9" s="424"/>
      <c r="H9" s="424"/>
      <c r="I9" s="424"/>
      <c r="J9" s="425"/>
      <c r="K9" s="426"/>
      <c r="L9" s="419"/>
      <c r="M9" s="419"/>
    </row>
    <row r="10" spans="1:13" ht="18.75">
      <c r="A10" s="421"/>
      <c r="B10" s="427"/>
      <c r="C10" s="427"/>
      <c r="D10" s="428"/>
      <c r="E10" s="422"/>
      <c r="F10" s="422"/>
      <c r="G10" s="424"/>
      <c r="H10" s="424"/>
      <c r="I10" s="424"/>
      <c r="J10" s="425"/>
      <c r="K10" s="426"/>
      <c r="L10" s="419"/>
      <c r="M10" s="419"/>
    </row>
    <row r="11" spans="1:13" ht="18.75">
      <c r="A11" s="421"/>
      <c r="B11" s="422"/>
      <c r="C11" s="422"/>
      <c r="D11" s="423"/>
      <c r="E11" s="422"/>
      <c r="F11" s="429" t="s">
        <v>22</v>
      </c>
      <c r="G11" s="424"/>
      <c r="H11" s="424"/>
      <c r="I11" s="424"/>
      <c r="J11" s="425"/>
      <c r="K11" s="426"/>
      <c r="L11" s="419"/>
      <c r="M11" s="419"/>
    </row>
    <row r="12" spans="1:13" ht="29.25" customHeight="1">
      <c r="A12" s="430"/>
      <c r="B12" s="431"/>
      <c r="C12" s="431"/>
      <c r="D12" s="432"/>
      <c r="E12" s="433" t="s">
        <v>88</v>
      </c>
      <c r="F12" s="434"/>
      <c r="G12" s="424"/>
      <c r="H12" s="424"/>
      <c r="I12" s="424"/>
      <c r="J12" s="425"/>
      <c r="K12" s="426"/>
      <c r="L12" s="419"/>
      <c r="M12" s="419"/>
    </row>
    <row r="13" spans="1:14" s="446" customFormat="1" ht="41.25" customHeight="1">
      <c r="A13" s="435" t="s">
        <v>624</v>
      </c>
      <c r="B13" s="436" t="s">
        <v>29</v>
      </c>
      <c r="C13" s="437" t="s">
        <v>30</v>
      </c>
      <c r="D13" s="437" t="s">
        <v>31</v>
      </c>
      <c r="E13" s="438" t="s">
        <v>32</v>
      </c>
      <c r="F13" s="439" t="s">
        <v>33</v>
      </c>
      <c r="G13" s="440"/>
      <c r="H13" s="441"/>
      <c r="I13" s="442"/>
      <c r="J13" s="443"/>
      <c r="K13" s="426"/>
      <c r="L13" s="444"/>
      <c r="M13" s="444"/>
      <c r="N13" s="445"/>
    </row>
    <row r="14" spans="1:14" s="446" customFormat="1" ht="27.75" customHeight="1">
      <c r="A14" s="447" t="s">
        <v>425</v>
      </c>
      <c r="B14" s="448"/>
      <c r="C14" s="449"/>
      <c r="D14" s="449"/>
      <c r="E14" s="450">
        <f>E17+E23+E26+E29+E32+E35+E38+E44+E53+E56</f>
        <v>277270.22</v>
      </c>
      <c r="F14" s="451">
        <f>SUM(F17:F56)</f>
        <v>2408283.8899999997</v>
      </c>
      <c r="G14" s="440"/>
      <c r="H14" s="441"/>
      <c r="I14" s="441"/>
      <c r="J14" s="452"/>
      <c r="K14" s="426"/>
      <c r="L14" s="444"/>
      <c r="M14" s="444"/>
      <c r="N14" s="445"/>
    </row>
    <row r="15" spans="1:13" s="40" customFormat="1" ht="39" customHeight="1">
      <c r="A15" s="462">
        <v>1</v>
      </c>
      <c r="B15" s="454" t="s">
        <v>34</v>
      </c>
      <c r="C15" s="480" t="s">
        <v>36</v>
      </c>
      <c r="D15" s="468"/>
      <c r="E15" s="476"/>
      <c r="F15" s="469"/>
      <c r="G15" s="470"/>
      <c r="H15" s="441"/>
      <c r="I15" s="59"/>
      <c r="J15" s="452"/>
      <c r="K15" s="471"/>
      <c r="L15" s="472"/>
      <c r="M15" s="472"/>
    </row>
    <row r="16" spans="1:13" s="40" customFormat="1" ht="54.75" customHeight="1">
      <c r="A16" s="458"/>
      <c r="B16" s="477" t="s">
        <v>38</v>
      </c>
      <c r="C16" s="459"/>
      <c r="D16" s="129"/>
      <c r="E16" s="478"/>
      <c r="F16" s="473"/>
      <c r="G16" s="470"/>
      <c r="H16" s="441"/>
      <c r="I16" s="59"/>
      <c r="J16" s="452"/>
      <c r="K16" s="471"/>
      <c r="L16" s="472"/>
      <c r="M16" s="472"/>
    </row>
    <row r="17" spans="1:13" s="40" customFormat="1" ht="50.25" customHeight="1">
      <c r="A17" s="464"/>
      <c r="B17" s="477" t="s">
        <v>39</v>
      </c>
      <c r="C17" s="479"/>
      <c r="D17" s="467" t="s">
        <v>266</v>
      </c>
      <c r="E17" s="481">
        <v>39150.99</v>
      </c>
      <c r="F17" s="474">
        <v>221855.51</v>
      </c>
      <c r="G17" s="470"/>
      <c r="H17" s="441"/>
      <c r="I17" s="59"/>
      <c r="J17" s="452"/>
      <c r="K17" s="471"/>
      <c r="L17" s="472"/>
      <c r="M17" s="472"/>
    </row>
    <row r="18" spans="1:13" s="40" customFormat="1" ht="50.25" customHeight="1">
      <c r="A18" s="453">
        <v>2</v>
      </c>
      <c r="B18" s="454" t="s">
        <v>34</v>
      </c>
      <c r="C18" s="482" t="s">
        <v>40</v>
      </c>
      <c r="D18" s="483"/>
      <c r="E18" s="469"/>
      <c r="F18" s="469"/>
      <c r="G18" s="470"/>
      <c r="H18" s="441"/>
      <c r="I18" s="59"/>
      <c r="J18" s="452"/>
      <c r="K18" s="471"/>
      <c r="L18" s="472"/>
      <c r="M18" s="472"/>
    </row>
    <row r="19" spans="1:13" s="40" customFormat="1" ht="42.75" customHeight="1">
      <c r="A19" s="458"/>
      <c r="B19" s="465" t="s">
        <v>35</v>
      </c>
      <c r="C19" s="463"/>
      <c r="D19" s="484"/>
      <c r="E19" s="473"/>
      <c r="F19" s="473"/>
      <c r="G19" s="470"/>
      <c r="H19" s="441"/>
      <c r="I19" s="59"/>
      <c r="J19" s="452"/>
      <c r="K19" s="471"/>
      <c r="L19" s="472"/>
      <c r="M19" s="472"/>
    </row>
    <row r="20" spans="1:13" s="40" customFormat="1" ht="57" customHeight="1">
      <c r="A20" s="464"/>
      <c r="B20" s="465" t="s">
        <v>41</v>
      </c>
      <c r="C20" s="466"/>
      <c r="D20" s="467" t="s">
        <v>664</v>
      </c>
      <c r="E20" s="474" t="s">
        <v>42</v>
      </c>
      <c r="F20" s="474">
        <v>9180</v>
      </c>
      <c r="G20" s="470"/>
      <c r="H20" s="441"/>
      <c r="I20" s="59"/>
      <c r="J20" s="452"/>
      <c r="K20" s="471"/>
      <c r="L20" s="472"/>
      <c r="M20" s="472"/>
    </row>
    <row r="21" spans="1:13" s="40" customFormat="1" ht="44.25" customHeight="1">
      <c r="A21" s="453">
        <v>3</v>
      </c>
      <c r="B21" s="454" t="s">
        <v>34</v>
      </c>
      <c r="C21" s="482" t="s">
        <v>43</v>
      </c>
      <c r="D21" s="483"/>
      <c r="E21" s="469"/>
      <c r="F21" s="469"/>
      <c r="G21" s="470"/>
      <c r="H21" s="441"/>
      <c r="I21" s="59"/>
      <c r="J21" s="452"/>
      <c r="K21" s="471"/>
      <c r="L21" s="472"/>
      <c r="M21" s="472"/>
    </row>
    <row r="22" spans="1:13" s="40" customFormat="1" ht="35.25" customHeight="1">
      <c r="A22" s="458"/>
      <c r="B22" s="465" t="s">
        <v>44</v>
      </c>
      <c r="C22" s="463"/>
      <c r="D22" s="484"/>
      <c r="E22" s="473"/>
      <c r="F22" s="473"/>
      <c r="G22" s="470"/>
      <c r="H22" s="441"/>
      <c r="I22" s="59"/>
      <c r="J22" s="452"/>
      <c r="K22" s="471"/>
      <c r="L22" s="472"/>
      <c r="M22" s="472"/>
    </row>
    <row r="23" spans="1:13" s="40" customFormat="1" ht="48" customHeight="1">
      <c r="A23" s="464"/>
      <c r="B23" s="465" t="s">
        <v>45</v>
      </c>
      <c r="C23" s="466"/>
      <c r="D23" s="129" t="s">
        <v>664</v>
      </c>
      <c r="E23" s="485">
        <v>100</v>
      </c>
      <c r="F23" s="473">
        <v>11200</v>
      </c>
      <c r="G23" s="470"/>
      <c r="H23" s="441"/>
      <c r="I23" s="59"/>
      <c r="J23" s="452"/>
      <c r="K23" s="471"/>
      <c r="L23" s="472"/>
      <c r="M23" s="472"/>
    </row>
    <row r="24" spans="1:13" s="40" customFormat="1" ht="45" customHeight="1">
      <c r="A24" s="462">
        <v>4</v>
      </c>
      <c r="B24" s="454" t="s">
        <v>34</v>
      </c>
      <c r="C24" s="480" t="s">
        <v>36</v>
      </c>
      <c r="D24" s="455"/>
      <c r="E24" s="469"/>
      <c r="F24" s="469"/>
      <c r="G24" s="470"/>
      <c r="H24" s="441"/>
      <c r="I24" s="59"/>
      <c r="J24" s="452"/>
      <c r="K24" s="471"/>
      <c r="L24" s="472"/>
      <c r="M24" s="472"/>
    </row>
    <row r="25" spans="1:13" s="40" customFormat="1" ht="51" customHeight="1">
      <c r="A25" s="458"/>
      <c r="B25" s="477" t="s">
        <v>46</v>
      </c>
      <c r="C25" s="459"/>
      <c r="D25" s="126"/>
      <c r="E25" s="473"/>
      <c r="F25" s="473"/>
      <c r="G25" s="470"/>
      <c r="H25" s="441"/>
      <c r="I25" s="59"/>
      <c r="J25" s="452"/>
      <c r="K25" s="471"/>
      <c r="L25" s="472"/>
      <c r="M25" s="472"/>
    </row>
    <row r="26" spans="1:13" s="40" customFormat="1" ht="42" customHeight="1">
      <c r="A26" s="458"/>
      <c r="B26" s="477" t="s">
        <v>47</v>
      </c>
      <c r="C26" s="479"/>
      <c r="D26" s="415" t="s">
        <v>664</v>
      </c>
      <c r="E26" s="474">
        <v>33849.9</v>
      </c>
      <c r="F26" s="474">
        <v>191816.1</v>
      </c>
      <c r="G26" s="470"/>
      <c r="H26" s="441"/>
      <c r="I26" s="59"/>
      <c r="J26" s="452"/>
      <c r="K26" s="471"/>
      <c r="L26" s="472"/>
      <c r="M26" s="472"/>
    </row>
    <row r="27" spans="1:13" s="40" customFormat="1" ht="41.25" customHeight="1">
      <c r="A27" s="462">
        <v>5</v>
      </c>
      <c r="B27" s="454" t="s">
        <v>34</v>
      </c>
      <c r="C27" s="480" t="s">
        <v>36</v>
      </c>
      <c r="D27" s="455"/>
      <c r="E27" s="469"/>
      <c r="F27" s="469"/>
      <c r="G27" s="470"/>
      <c r="H27" s="441"/>
      <c r="I27" s="59"/>
      <c r="J27" s="452"/>
      <c r="K27" s="471"/>
      <c r="L27" s="472"/>
      <c r="M27" s="472"/>
    </row>
    <row r="28" spans="1:13" s="40" customFormat="1" ht="74.25" customHeight="1">
      <c r="A28" s="458"/>
      <c r="B28" s="477" t="s">
        <v>48</v>
      </c>
      <c r="C28" s="459"/>
      <c r="D28" s="126"/>
      <c r="E28" s="473"/>
      <c r="F28" s="473"/>
      <c r="G28" s="470"/>
      <c r="H28" s="441"/>
      <c r="I28" s="59"/>
      <c r="J28" s="452"/>
      <c r="K28" s="471"/>
      <c r="L28" s="472"/>
      <c r="M28" s="472"/>
    </row>
    <row r="29" spans="1:13" s="40" customFormat="1" ht="42" customHeight="1">
      <c r="A29" s="458"/>
      <c r="B29" s="477" t="s">
        <v>49</v>
      </c>
      <c r="C29" s="479"/>
      <c r="D29" s="415" t="s">
        <v>664</v>
      </c>
      <c r="E29" s="474">
        <v>26352.02</v>
      </c>
      <c r="F29" s="474">
        <v>149328.08</v>
      </c>
      <c r="G29" s="470"/>
      <c r="H29" s="441"/>
      <c r="I29" s="59"/>
      <c r="J29" s="452"/>
      <c r="K29" s="471"/>
      <c r="L29" s="472"/>
      <c r="M29" s="472"/>
    </row>
    <row r="30" spans="1:13" s="40" customFormat="1" ht="39" customHeight="1">
      <c r="A30" s="462">
        <v>6</v>
      </c>
      <c r="B30" s="454" t="s">
        <v>34</v>
      </c>
      <c r="C30" s="475" t="s">
        <v>36</v>
      </c>
      <c r="D30" s="126"/>
      <c r="E30" s="473"/>
      <c r="F30" s="473"/>
      <c r="G30" s="470"/>
      <c r="H30" s="441"/>
      <c r="I30" s="59"/>
      <c r="J30" s="452"/>
      <c r="K30" s="471"/>
      <c r="L30" s="472"/>
      <c r="M30" s="472"/>
    </row>
    <row r="31" spans="1:13" s="40" customFormat="1" ht="42" customHeight="1">
      <c r="A31" s="458"/>
      <c r="B31" s="477" t="s">
        <v>50</v>
      </c>
      <c r="C31" s="461"/>
      <c r="D31" s="126"/>
      <c r="E31" s="473"/>
      <c r="F31" s="473"/>
      <c r="G31" s="470"/>
      <c r="H31" s="441"/>
      <c r="I31" s="59"/>
      <c r="J31" s="452"/>
      <c r="K31" s="471"/>
      <c r="L31" s="472"/>
      <c r="M31" s="472"/>
    </row>
    <row r="32" spans="1:13" s="40" customFormat="1" ht="39" customHeight="1">
      <c r="A32" s="458"/>
      <c r="B32" s="486" t="s">
        <v>51</v>
      </c>
      <c r="C32" s="461"/>
      <c r="D32" s="415" t="s">
        <v>52</v>
      </c>
      <c r="E32" s="473">
        <v>65500.65</v>
      </c>
      <c r="F32" s="473">
        <v>371170.35</v>
      </c>
      <c r="G32" s="470"/>
      <c r="H32" s="441"/>
      <c r="I32" s="59"/>
      <c r="J32" s="452"/>
      <c r="K32" s="471"/>
      <c r="L32" s="472"/>
      <c r="M32" s="472"/>
    </row>
    <row r="33" spans="1:13" s="40" customFormat="1" ht="42" customHeight="1">
      <c r="A33" s="462">
        <v>7</v>
      </c>
      <c r="B33" s="454" t="s">
        <v>34</v>
      </c>
      <c r="C33" s="487" t="s">
        <v>36</v>
      </c>
      <c r="D33" s="468"/>
      <c r="E33" s="469"/>
      <c r="F33" s="488"/>
      <c r="G33" s="470"/>
      <c r="H33" s="441"/>
      <c r="I33" s="59"/>
      <c r="J33" s="452"/>
      <c r="K33" s="471"/>
      <c r="L33" s="472"/>
      <c r="M33" s="472"/>
    </row>
    <row r="34" spans="1:13" s="40" customFormat="1" ht="42" customHeight="1">
      <c r="A34" s="458"/>
      <c r="B34" s="477" t="s">
        <v>53</v>
      </c>
      <c r="C34" s="459"/>
      <c r="D34" s="129"/>
      <c r="E34" s="473"/>
      <c r="F34" s="489"/>
      <c r="G34" s="470"/>
      <c r="H34" s="441"/>
      <c r="I34" s="59"/>
      <c r="J34" s="452"/>
      <c r="K34" s="471"/>
      <c r="L34" s="472"/>
      <c r="M34" s="472"/>
    </row>
    <row r="35" spans="1:13" s="40" customFormat="1" ht="42" customHeight="1">
      <c r="A35" s="464"/>
      <c r="B35" s="477" t="s">
        <v>54</v>
      </c>
      <c r="C35" s="479"/>
      <c r="D35" s="415" t="s">
        <v>664</v>
      </c>
      <c r="E35" s="474">
        <v>89821.42</v>
      </c>
      <c r="F35" s="490">
        <v>508988.03</v>
      </c>
      <c r="G35" s="470"/>
      <c r="H35" s="441"/>
      <c r="I35" s="59"/>
      <c r="J35" s="452"/>
      <c r="K35" s="471"/>
      <c r="L35" s="472"/>
      <c r="M35" s="472"/>
    </row>
    <row r="36" spans="1:13" s="40" customFormat="1" ht="42.75" customHeight="1">
      <c r="A36" s="453">
        <v>8</v>
      </c>
      <c r="B36" s="454" t="s">
        <v>34</v>
      </c>
      <c r="C36" s="491" t="s">
        <v>55</v>
      </c>
      <c r="D36" s="126"/>
      <c r="E36" s="473"/>
      <c r="F36" s="473"/>
      <c r="G36" s="470"/>
      <c r="H36" s="441"/>
      <c r="I36" s="59"/>
      <c r="J36" s="452"/>
      <c r="K36" s="471"/>
      <c r="L36" s="472"/>
      <c r="M36" s="472"/>
    </row>
    <row r="37" spans="1:13" s="40" customFormat="1" ht="35.25" customHeight="1">
      <c r="A37" s="458"/>
      <c r="B37" s="356" t="s">
        <v>56</v>
      </c>
      <c r="C37" s="463"/>
      <c r="D37" s="492"/>
      <c r="E37" s="473"/>
      <c r="F37" s="473"/>
      <c r="G37" s="470"/>
      <c r="H37" s="441"/>
      <c r="I37" s="59"/>
      <c r="J37" s="452"/>
      <c r="K37" s="471"/>
      <c r="L37" s="472"/>
      <c r="M37" s="472"/>
    </row>
    <row r="38" spans="1:13" s="40" customFormat="1" ht="86.25" customHeight="1">
      <c r="A38" s="464"/>
      <c r="B38" s="356" t="s">
        <v>57</v>
      </c>
      <c r="C38" s="466"/>
      <c r="D38" s="493" t="s">
        <v>664</v>
      </c>
      <c r="E38" s="474">
        <v>495.24</v>
      </c>
      <c r="F38" s="474">
        <v>158591.88</v>
      </c>
      <c r="G38" s="470"/>
      <c r="H38" s="441"/>
      <c r="I38" s="59"/>
      <c r="J38" s="452"/>
      <c r="K38" s="471"/>
      <c r="L38" s="472"/>
      <c r="M38" s="472"/>
    </row>
    <row r="39" spans="1:13" s="40" customFormat="1" ht="54" customHeight="1">
      <c r="A39" s="462">
        <v>9</v>
      </c>
      <c r="B39" s="494" t="s">
        <v>58</v>
      </c>
      <c r="C39" s="482" t="s">
        <v>43</v>
      </c>
      <c r="D39" s="455"/>
      <c r="E39" s="469"/>
      <c r="F39" s="469"/>
      <c r="G39" s="470"/>
      <c r="H39" s="441"/>
      <c r="I39" s="59"/>
      <c r="J39" s="452"/>
      <c r="K39" s="471"/>
      <c r="L39" s="472"/>
      <c r="M39" s="472"/>
    </row>
    <row r="40" spans="1:13" s="40" customFormat="1" ht="52.5" customHeight="1">
      <c r="A40" s="458"/>
      <c r="B40" s="356" t="s">
        <v>59</v>
      </c>
      <c r="C40" s="463"/>
      <c r="D40" s="492"/>
      <c r="E40" s="473"/>
      <c r="F40" s="473"/>
      <c r="G40" s="470"/>
      <c r="H40" s="441"/>
      <c r="I40" s="59"/>
      <c r="J40" s="452"/>
      <c r="K40" s="471"/>
      <c r="L40" s="472"/>
      <c r="M40" s="472"/>
    </row>
    <row r="41" spans="1:13" s="40" customFormat="1" ht="58.5" customHeight="1">
      <c r="A41" s="464"/>
      <c r="B41" s="356" t="s">
        <v>60</v>
      </c>
      <c r="C41" s="466"/>
      <c r="D41" s="493" t="s">
        <v>664</v>
      </c>
      <c r="E41" s="474"/>
      <c r="F41" s="474">
        <v>6768</v>
      </c>
      <c r="G41" s="470"/>
      <c r="H41" s="441"/>
      <c r="I41" s="495"/>
      <c r="J41" s="452"/>
      <c r="K41" s="471"/>
      <c r="L41" s="472"/>
      <c r="M41" s="472"/>
    </row>
    <row r="42" spans="1:13" s="40" customFormat="1" ht="39" customHeight="1">
      <c r="A42" s="453">
        <v>10</v>
      </c>
      <c r="B42" s="454" t="s">
        <v>34</v>
      </c>
      <c r="C42" s="482" t="s">
        <v>43</v>
      </c>
      <c r="D42" s="483"/>
      <c r="E42" s="469"/>
      <c r="F42" s="469"/>
      <c r="G42" s="470"/>
      <c r="H42" s="441"/>
      <c r="I42" s="495"/>
      <c r="J42" s="452"/>
      <c r="K42" s="471"/>
      <c r="L42" s="472"/>
      <c r="M42" s="472"/>
    </row>
    <row r="43" spans="1:13" s="40" customFormat="1" ht="75" customHeight="1">
      <c r="A43" s="458"/>
      <c r="B43" s="465" t="s">
        <v>61</v>
      </c>
      <c r="C43" s="463"/>
      <c r="D43" s="484"/>
      <c r="E43" s="473"/>
      <c r="F43" s="473"/>
      <c r="G43" s="470"/>
      <c r="H43" s="441"/>
      <c r="I43" s="495"/>
      <c r="J43" s="452"/>
      <c r="K43" s="471"/>
      <c r="L43" s="472"/>
      <c r="M43" s="472"/>
    </row>
    <row r="44" spans="1:13" s="40" customFormat="1" ht="35.25" customHeight="1">
      <c r="A44" s="464"/>
      <c r="B44" s="465" t="s">
        <v>62</v>
      </c>
      <c r="C44" s="466"/>
      <c r="D44" s="467" t="s">
        <v>664</v>
      </c>
      <c r="E44" s="474">
        <v>22000</v>
      </c>
      <c r="F44" s="474">
        <v>54580</v>
      </c>
      <c r="G44" s="470"/>
      <c r="H44" s="441"/>
      <c r="I44" s="495"/>
      <c r="J44" s="452"/>
      <c r="K44" s="471"/>
      <c r="L44" s="472"/>
      <c r="M44" s="472"/>
    </row>
    <row r="45" spans="1:13" s="40" customFormat="1" ht="56.25" customHeight="1">
      <c r="A45" s="462">
        <v>11</v>
      </c>
      <c r="B45" s="454" t="s">
        <v>34</v>
      </c>
      <c r="C45" s="496" t="s">
        <v>63</v>
      </c>
      <c r="D45" s="468"/>
      <c r="E45" s="469"/>
      <c r="F45" s="469"/>
      <c r="G45" s="470"/>
      <c r="H45" s="441"/>
      <c r="I45" s="495"/>
      <c r="J45" s="452"/>
      <c r="K45" s="471"/>
      <c r="L45" s="472"/>
      <c r="M45" s="472"/>
    </row>
    <row r="46" spans="1:13" s="40" customFormat="1" ht="60.75" customHeight="1">
      <c r="A46" s="458"/>
      <c r="B46" s="465" t="s">
        <v>64</v>
      </c>
      <c r="C46" s="459"/>
      <c r="D46" s="129"/>
      <c r="E46" s="473"/>
      <c r="F46" s="473"/>
      <c r="G46" s="470"/>
      <c r="H46" s="441"/>
      <c r="I46" s="495"/>
      <c r="J46" s="452"/>
      <c r="K46" s="471"/>
      <c r="L46" s="472"/>
      <c r="M46" s="472"/>
    </row>
    <row r="47" spans="1:13" s="40" customFormat="1" ht="38.25" customHeight="1">
      <c r="A47" s="464"/>
      <c r="B47" s="465" t="s">
        <v>65</v>
      </c>
      <c r="C47" s="479"/>
      <c r="D47" s="129" t="s">
        <v>66</v>
      </c>
      <c r="E47" s="473" t="s">
        <v>42</v>
      </c>
      <c r="F47" s="473">
        <v>422070</v>
      </c>
      <c r="G47" s="470"/>
      <c r="H47" s="441"/>
      <c r="I47" s="495"/>
      <c r="J47" s="452"/>
      <c r="K47" s="471"/>
      <c r="L47" s="472"/>
      <c r="M47" s="472"/>
    </row>
    <row r="48" spans="1:13" s="40" customFormat="1" ht="38.25" customHeight="1">
      <c r="A48" s="462">
        <v>12</v>
      </c>
      <c r="B48" s="454" t="s">
        <v>34</v>
      </c>
      <c r="C48" s="496" t="s">
        <v>67</v>
      </c>
      <c r="D48" s="468"/>
      <c r="E48" s="476"/>
      <c r="F48" s="469"/>
      <c r="G48" s="470"/>
      <c r="H48" s="441"/>
      <c r="I48" s="495"/>
      <c r="J48" s="452"/>
      <c r="K48" s="471"/>
      <c r="L48" s="472"/>
      <c r="M48" s="472"/>
    </row>
    <row r="49" spans="1:13" s="40" customFormat="1" ht="91.5" customHeight="1">
      <c r="A49" s="458"/>
      <c r="B49" s="465" t="s">
        <v>68</v>
      </c>
      <c r="C49" s="459"/>
      <c r="D49" s="129"/>
      <c r="E49" s="478"/>
      <c r="F49" s="473"/>
      <c r="G49" s="470"/>
      <c r="H49" s="441"/>
      <c r="I49" s="495"/>
      <c r="J49" s="452"/>
      <c r="K49" s="471"/>
      <c r="L49" s="472"/>
      <c r="M49" s="472"/>
    </row>
    <row r="50" spans="1:13" s="40" customFormat="1" ht="38.25" customHeight="1">
      <c r="A50" s="464"/>
      <c r="B50" s="465" t="s">
        <v>255</v>
      </c>
      <c r="C50" s="479"/>
      <c r="D50" s="467" t="s">
        <v>125</v>
      </c>
      <c r="E50" s="474" t="s">
        <v>42</v>
      </c>
      <c r="F50" s="497">
        <v>192024</v>
      </c>
      <c r="G50" s="470"/>
      <c r="H50" s="441"/>
      <c r="I50" s="495"/>
      <c r="J50" s="452"/>
      <c r="K50" s="471"/>
      <c r="L50" s="472"/>
      <c r="M50" s="472"/>
    </row>
    <row r="51" spans="1:13" s="40" customFormat="1" ht="56.25" customHeight="1">
      <c r="A51" s="462">
        <v>13</v>
      </c>
      <c r="B51" s="1209" t="s">
        <v>34</v>
      </c>
      <c r="C51" s="482" t="s">
        <v>43</v>
      </c>
      <c r="D51" s="468"/>
      <c r="E51" s="476"/>
      <c r="F51" s="469"/>
      <c r="G51" s="470"/>
      <c r="H51" s="441"/>
      <c r="I51" s="59"/>
      <c r="J51" s="452"/>
      <c r="K51" s="471"/>
      <c r="L51" s="472"/>
      <c r="M51" s="472"/>
    </row>
    <row r="52" spans="1:13" s="40" customFormat="1" ht="105" customHeight="1">
      <c r="A52" s="458"/>
      <c r="B52" s="465" t="s">
        <v>256</v>
      </c>
      <c r="C52" s="459"/>
      <c r="D52" s="129"/>
      <c r="E52" s="478"/>
      <c r="F52" s="473"/>
      <c r="G52" s="470"/>
      <c r="H52" s="441"/>
      <c r="I52" s="59"/>
      <c r="J52" s="452"/>
      <c r="K52" s="471"/>
      <c r="L52" s="472"/>
      <c r="M52" s="472"/>
    </row>
    <row r="53" spans="1:13" s="40" customFormat="1" ht="30" customHeight="1">
      <c r="A53" s="458"/>
      <c r="B53" s="1210" t="s">
        <v>254</v>
      </c>
      <c r="C53" s="461"/>
      <c r="D53" s="129">
        <v>2014</v>
      </c>
      <c r="E53" s="478"/>
      <c r="F53" s="473">
        <v>67969.54</v>
      </c>
      <c r="G53" s="470"/>
      <c r="H53" s="441"/>
      <c r="I53" s="59"/>
      <c r="J53" s="452"/>
      <c r="K53" s="471"/>
      <c r="L53" s="472"/>
      <c r="M53" s="472"/>
    </row>
    <row r="54" spans="1:13" s="40" customFormat="1" ht="55.5" customHeight="1">
      <c r="A54" s="462">
        <v>14</v>
      </c>
      <c r="B54" s="498" t="s">
        <v>58</v>
      </c>
      <c r="C54" s="475" t="s">
        <v>69</v>
      </c>
      <c r="D54" s="468"/>
      <c r="E54" s="469"/>
      <c r="F54" s="469"/>
      <c r="G54" s="470"/>
      <c r="H54" s="441"/>
      <c r="I54" s="59"/>
      <c r="J54" s="452"/>
      <c r="K54" s="471"/>
      <c r="L54" s="472"/>
      <c r="M54" s="472"/>
    </row>
    <row r="55" spans="1:13" s="40" customFormat="1" ht="39.75" customHeight="1">
      <c r="A55" s="458"/>
      <c r="B55" s="465" t="s">
        <v>70</v>
      </c>
      <c r="C55" s="461"/>
      <c r="D55" s="129"/>
      <c r="E55" s="473"/>
      <c r="F55" s="473"/>
      <c r="G55" s="470"/>
      <c r="H55" s="441"/>
      <c r="I55" s="59"/>
      <c r="J55" s="452"/>
      <c r="K55" s="471"/>
      <c r="L55" s="472"/>
      <c r="M55" s="472"/>
    </row>
    <row r="56" spans="1:13" s="40" customFormat="1" ht="38.25" customHeight="1">
      <c r="A56" s="464"/>
      <c r="B56" s="465" t="s">
        <v>71</v>
      </c>
      <c r="C56" s="479"/>
      <c r="D56" s="467" t="s">
        <v>125</v>
      </c>
      <c r="E56" s="474"/>
      <c r="F56" s="474">
        <v>42742.4</v>
      </c>
      <c r="G56" s="470"/>
      <c r="H56" s="441"/>
      <c r="I56" s="59"/>
      <c r="J56" s="452"/>
      <c r="K56" s="471"/>
      <c r="L56" s="472"/>
      <c r="M56" s="472"/>
    </row>
    <row r="57" spans="1:11" ht="32.25" customHeight="1">
      <c r="A57" s="499" t="s">
        <v>673</v>
      </c>
      <c r="B57" s="500"/>
      <c r="C57" s="501"/>
      <c r="D57" s="502"/>
      <c r="E57" s="168">
        <f>E60+E63+E66+E69</f>
        <v>16200</v>
      </c>
      <c r="F57" s="168">
        <f>F60+F63+F66+F69</f>
        <v>450731.6</v>
      </c>
      <c r="H57" s="441"/>
      <c r="I57" s="503">
        <f>E57+F57</f>
        <v>466931.6</v>
      </c>
      <c r="J57" s="106"/>
      <c r="K57" s="245"/>
    </row>
    <row r="58" spans="1:9" ht="45" customHeight="1">
      <c r="A58" s="453">
        <v>1</v>
      </c>
      <c r="B58" s="498" t="s">
        <v>58</v>
      </c>
      <c r="C58" s="517" t="s">
        <v>74</v>
      </c>
      <c r="D58" s="455"/>
      <c r="E58" s="457"/>
      <c r="F58" s="456"/>
      <c r="H58" s="441"/>
      <c r="I58" s="59"/>
    </row>
    <row r="59" spans="1:9" ht="45" customHeight="1">
      <c r="A59" s="458"/>
      <c r="B59" s="465" t="s">
        <v>75</v>
      </c>
      <c r="C59" s="463"/>
      <c r="D59" s="126"/>
      <c r="E59" s="518"/>
      <c r="F59" s="460"/>
      <c r="H59" s="441"/>
      <c r="I59" s="59"/>
    </row>
    <row r="60" spans="1:10" ht="36" customHeight="1">
      <c r="A60" s="464"/>
      <c r="B60" s="465" t="s">
        <v>76</v>
      </c>
      <c r="C60" s="466"/>
      <c r="D60" s="415" t="s">
        <v>399</v>
      </c>
      <c r="E60" s="505"/>
      <c r="F60" s="358">
        <v>16777.6</v>
      </c>
      <c r="H60" s="441"/>
      <c r="I60" s="59"/>
      <c r="J60" s="519"/>
    </row>
    <row r="61" spans="1:8" ht="42" customHeight="1">
      <c r="A61" s="453">
        <v>2</v>
      </c>
      <c r="B61" s="454" t="s">
        <v>72</v>
      </c>
      <c r="C61" s="506" t="s">
        <v>73</v>
      </c>
      <c r="D61" s="507"/>
      <c r="E61" s="357"/>
      <c r="F61" s="508"/>
      <c r="H61" s="441"/>
    </row>
    <row r="62" spans="1:9" ht="36.75" customHeight="1">
      <c r="A62" s="458"/>
      <c r="B62" s="504" t="s">
        <v>77</v>
      </c>
      <c r="C62" s="509"/>
      <c r="D62" s="510"/>
      <c r="E62" s="511"/>
      <c r="F62" s="512"/>
      <c r="H62" s="441"/>
      <c r="I62" s="244"/>
    </row>
    <row r="63" spans="1:9" ht="36" customHeight="1">
      <c r="A63" s="464"/>
      <c r="B63" s="513" t="s">
        <v>78</v>
      </c>
      <c r="C63" s="514"/>
      <c r="D63" s="415" t="s">
        <v>399</v>
      </c>
      <c r="E63" s="516">
        <v>1200</v>
      </c>
      <c r="F63" s="516">
        <v>165580</v>
      </c>
      <c r="H63" s="441"/>
      <c r="I63" s="244"/>
    </row>
    <row r="64" spans="1:10" ht="39" customHeight="1">
      <c r="A64" s="453">
        <v>3</v>
      </c>
      <c r="B64" s="454" t="s">
        <v>79</v>
      </c>
      <c r="C64" s="475" t="s">
        <v>36</v>
      </c>
      <c r="D64" s="507"/>
      <c r="E64" s="357"/>
      <c r="F64" s="508"/>
      <c r="H64" s="441"/>
      <c r="I64" s="244"/>
      <c r="J64" s="519"/>
    </row>
    <row r="65" spans="1:8" ht="60.75" customHeight="1">
      <c r="A65" s="458"/>
      <c r="B65" s="504" t="s">
        <v>80</v>
      </c>
      <c r="C65" s="509"/>
      <c r="D65" s="510"/>
      <c r="E65" s="511"/>
      <c r="F65" s="512"/>
      <c r="H65" s="441"/>
    </row>
    <row r="66" spans="1:8" ht="46.5" customHeight="1">
      <c r="A66" s="464"/>
      <c r="B66" s="504" t="s">
        <v>81</v>
      </c>
      <c r="C66" s="514"/>
      <c r="D66" s="415" t="s">
        <v>399</v>
      </c>
      <c r="E66" s="516">
        <v>15000</v>
      </c>
      <c r="F66" s="516"/>
      <c r="H66" s="441"/>
    </row>
    <row r="67" spans="1:8" ht="40.5" customHeight="1">
      <c r="A67" s="453">
        <v>4</v>
      </c>
      <c r="B67" s="521" t="s">
        <v>82</v>
      </c>
      <c r="C67" s="522" t="s">
        <v>83</v>
      </c>
      <c r="D67" s="507" t="s">
        <v>400</v>
      </c>
      <c r="E67" s="357"/>
      <c r="F67" s="508"/>
      <c r="H67" s="441"/>
    </row>
    <row r="68" spans="1:11" ht="34.5" customHeight="1">
      <c r="A68" s="458"/>
      <c r="B68" s="513" t="s">
        <v>257</v>
      </c>
      <c r="C68" s="509"/>
      <c r="D68" s="510"/>
      <c r="E68" s="511"/>
      <c r="F68" s="512"/>
      <c r="H68" s="441"/>
      <c r="K68" s="520"/>
    </row>
    <row r="69" spans="1:8" ht="35.25" customHeight="1">
      <c r="A69" s="464"/>
      <c r="B69" s="513" t="s">
        <v>84</v>
      </c>
      <c r="C69" s="514"/>
      <c r="D69" s="515"/>
      <c r="E69" s="516"/>
      <c r="F69" s="516">
        <v>268374</v>
      </c>
      <c r="H69" s="441"/>
    </row>
    <row r="70" spans="4:8" ht="18.75">
      <c r="D70" s="523"/>
      <c r="E70" s="524"/>
      <c r="F70" s="265"/>
      <c r="H70" s="441"/>
    </row>
    <row r="71" spans="4:6" ht="18.75">
      <c r="D71" s="523"/>
      <c r="E71" s="265"/>
      <c r="F71" s="265"/>
    </row>
    <row r="72" spans="4:6" ht="18.75">
      <c r="D72" s="523"/>
      <c r="E72" s="265"/>
      <c r="F72" s="265"/>
    </row>
    <row r="73" spans="4:6" ht="18.75">
      <c r="D73" s="523"/>
      <c r="E73" s="265"/>
      <c r="F73" s="265"/>
    </row>
    <row r="74" spans="4:6" ht="18.75">
      <c r="D74" s="523"/>
      <c r="E74" s="265"/>
      <c r="F74" s="265"/>
    </row>
    <row r="75" spans="4:6" ht="18.75">
      <c r="D75" s="523"/>
      <c r="E75" s="265"/>
      <c r="F75" s="265"/>
    </row>
    <row r="76" spans="4:11" ht="18.75">
      <c r="D76" s="523"/>
      <c r="E76" s="524"/>
      <c r="F76" s="265"/>
      <c r="K76" s="520"/>
    </row>
    <row r="77" spans="4:6" ht="18.75">
      <c r="D77" s="523"/>
      <c r="E77" s="524"/>
      <c r="F77" s="265"/>
    </row>
    <row r="78" spans="4:6" ht="18.75">
      <c r="D78" s="523"/>
      <c r="E78" s="524"/>
      <c r="F78" s="265"/>
    </row>
    <row r="79" spans="4:6" ht="18.75">
      <c r="D79" s="523"/>
      <c r="E79" s="524"/>
      <c r="F79" s="265"/>
    </row>
    <row r="80" spans="5:6" ht="18.75">
      <c r="E80" s="246"/>
      <c r="F80" s="265"/>
    </row>
    <row r="81" spans="4:6" ht="18.75">
      <c r="D81" s="525"/>
      <c r="E81" s="265"/>
      <c r="F81" s="524"/>
    </row>
    <row r="82" spans="5:6" ht="18.75">
      <c r="E82" s="265"/>
      <c r="F82" s="524"/>
    </row>
    <row r="83" spans="3:6" ht="18.75">
      <c r="C83" s="51"/>
      <c r="D83" s="51"/>
      <c r="E83" s="246"/>
      <c r="F83" s="524"/>
    </row>
    <row r="84" spans="3:6" ht="18.75">
      <c r="C84" s="51"/>
      <c r="D84" s="51"/>
      <c r="E84" s="246"/>
      <c r="F84" s="524"/>
    </row>
    <row r="85" spans="3:11" ht="18.75">
      <c r="C85" s="51"/>
      <c r="D85" s="51"/>
      <c r="E85" s="246"/>
      <c r="F85" s="524"/>
      <c r="K85" s="520"/>
    </row>
    <row r="86" spans="3:6" ht="18.75">
      <c r="C86" s="51"/>
      <c r="D86" s="51"/>
      <c r="E86" s="526"/>
      <c r="F86" s="527"/>
    </row>
    <row r="87" spans="3:6" ht="18.75">
      <c r="C87" s="51"/>
      <c r="D87" s="51"/>
      <c r="E87" s="526"/>
      <c r="F87" s="527"/>
    </row>
    <row r="88" spans="3:6" ht="18.75">
      <c r="C88" s="51"/>
      <c r="D88" s="51"/>
      <c r="E88" s="524"/>
      <c r="F88" s="524"/>
    </row>
    <row r="89" spans="3:6" ht="18.75">
      <c r="C89" s="51"/>
      <c r="D89" s="51"/>
      <c r="E89" s="526"/>
      <c r="F89" s="527"/>
    </row>
    <row r="90" spans="3:6" ht="18.75">
      <c r="C90" s="51"/>
      <c r="D90" s="51"/>
      <c r="E90" s="524"/>
      <c r="F90" s="524"/>
    </row>
    <row r="91" spans="3:6" ht="18.75">
      <c r="C91" s="51"/>
      <c r="D91" s="51"/>
      <c r="E91" s="524"/>
      <c r="F91" s="524"/>
    </row>
    <row r="92" spans="3:6" ht="18.75">
      <c r="C92" s="51"/>
      <c r="D92" s="51"/>
      <c r="E92" s="524"/>
      <c r="F92" s="524"/>
    </row>
    <row r="93" spans="3:6" ht="18.75">
      <c r="C93" s="51"/>
      <c r="D93" s="51"/>
      <c r="E93" s="524"/>
      <c r="F93" s="524"/>
    </row>
    <row r="94" spans="3:6" ht="18.75">
      <c r="C94" s="51"/>
      <c r="D94" s="51"/>
      <c r="E94" s="524"/>
      <c r="F94" s="524"/>
    </row>
    <row r="95" spans="3:6" ht="18.75">
      <c r="C95" s="51"/>
      <c r="D95" s="51"/>
      <c r="E95" s="524"/>
      <c r="F95" s="524"/>
    </row>
    <row r="96" spans="3:6" ht="18.75">
      <c r="C96" s="51"/>
      <c r="D96" s="51"/>
      <c r="E96" s="524"/>
      <c r="F96" s="524"/>
    </row>
    <row r="97" spans="3:6" ht="18.75">
      <c r="C97" s="51"/>
      <c r="D97" s="51"/>
      <c r="E97" s="524"/>
      <c r="F97" s="524"/>
    </row>
    <row r="98" spans="5:6" ht="18.75">
      <c r="E98" s="524"/>
      <c r="F98" s="524"/>
    </row>
    <row r="99" spans="5:6" ht="18.75">
      <c r="E99" s="524"/>
      <c r="F99" s="524"/>
    </row>
    <row r="100" spans="5:6" ht="18.75">
      <c r="E100" s="524"/>
      <c r="F100" s="524"/>
    </row>
    <row r="101" spans="5:6" ht="18.75">
      <c r="E101" s="524"/>
      <c r="F101" s="524"/>
    </row>
    <row r="102" spans="5:6" ht="18.75">
      <c r="E102" s="524"/>
      <c r="F102" s="524"/>
    </row>
    <row r="103" spans="5:6" ht="18.75">
      <c r="E103" s="524"/>
      <c r="F103" s="524"/>
    </row>
    <row r="104" spans="5:6" ht="18.75">
      <c r="E104" s="524"/>
      <c r="F104" s="524"/>
    </row>
    <row r="105" spans="5:6" ht="18.75">
      <c r="E105" s="524"/>
      <c r="F105" s="524"/>
    </row>
    <row r="106" spans="5:6" ht="18.75">
      <c r="E106" s="524"/>
      <c r="F106" s="524"/>
    </row>
    <row r="107" spans="5:6" ht="18.75">
      <c r="E107" s="524"/>
      <c r="F107" s="524"/>
    </row>
    <row r="108" spans="5:6" ht="18.75">
      <c r="E108" s="524"/>
      <c r="F108" s="524"/>
    </row>
    <row r="109" spans="5:6" ht="18.75">
      <c r="E109" s="524"/>
      <c r="F109" s="524"/>
    </row>
    <row r="110" spans="5:6" ht="18.75">
      <c r="E110" s="524"/>
      <c r="F110" s="524"/>
    </row>
    <row r="111" spans="5:6" ht="18.75">
      <c r="E111" s="524"/>
      <c r="F111" s="524"/>
    </row>
    <row r="112" spans="5:6" ht="18.75">
      <c r="E112" s="524"/>
      <c r="F112" s="524"/>
    </row>
    <row r="113" spans="5:6" ht="18.75">
      <c r="E113" s="524"/>
      <c r="F113" s="524"/>
    </row>
    <row r="114" spans="5:6" ht="18.75">
      <c r="E114" s="524"/>
      <c r="F114" s="524"/>
    </row>
    <row r="115" spans="5:6" ht="18.75">
      <c r="E115" s="524"/>
      <c r="F115" s="524"/>
    </row>
    <row r="116" spans="5:6" ht="18.75">
      <c r="E116" s="524"/>
      <c r="F116" s="524"/>
    </row>
    <row r="117" spans="5:6" ht="18.75">
      <c r="E117" s="524"/>
      <c r="F117" s="524"/>
    </row>
    <row r="118" spans="5:6" ht="18.75">
      <c r="E118" s="524"/>
      <c r="F118" s="524"/>
    </row>
    <row r="119" spans="5:6" ht="18.75">
      <c r="E119" s="524"/>
      <c r="F119" s="524"/>
    </row>
    <row r="120" spans="5:6" ht="18.75">
      <c r="E120" s="524"/>
      <c r="F120" s="524"/>
    </row>
    <row r="121" spans="5:6" ht="18.75">
      <c r="E121" s="524"/>
      <c r="F121" s="524"/>
    </row>
    <row r="122" spans="5:6" ht="18.75">
      <c r="E122" s="524"/>
      <c r="F122" s="524"/>
    </row>
    <row r="123" spans="5:6" ht="18.75">
      <c r="E123" s="524"/>
      <c r="F123" s="524"/>
    </row>
    <row r="124" spans="5:6" ht="18.75">
      <c r="E124" s="524"/>
      <c r="F124" s="524"/>
    </row>
    <row r="125" spans="5:6" ht="18.75">
      <c r="E125" s="524"/>
      <c r="F125" s="524"/>
    </row>
    <row r="126" spans="5:6" ht="18.75">
      <c r="E126" s="524"/>
      <c r="F126" s="524"/>
    </row>
    <row r="127" spans="5:6" ht="18.75">
      <c r="E127" s="524"/>
      <c r="F127" s="524"/>
    </row>
    <row r="128" spans="5:6" ht="18.75">
      <c r="E128" s="524"/>
      <c r="F128" s="524"/>
    </row>
    <row r="129" spans="5:6" ht="18.75">
      <c r="E129" s="524"/>
      <c r="F129" s="524"/>
    </row>
    <row r="130" spans="5:6" ht="18.75">
      <c r="E130" s="524"/>
      <c r="F130" s="524"/>
    </row>
    <row r="131" spans="5:6" ht="18.75">
      <c r="E131" s="524"/>
      <c r="F131" s="524"/>
    </row>
    <row r="132" spans="5:6" ht="18.75">
      <c r="E132" s="524"/>
      <c r="F132" s="524"/>
    </row>
    <row r="133" spans="5:6" ht="18.75">
      <c r="E133" s="524"/>
      <c r="F133" s="524"/>
    </row>
    <row r="134" spans="5:6" ht="18.75">
      <c r="E134" s="524"/>
      <c r="F134" s="524"/>
    </row>
    <row r="135" spans="5:6" ht="18.75">
      <c r="E135" s="524"/>
      <c r="F135" s="524"/>
    </row>
    <row r="136" spans="5:6" ht="18.75">
      <c r="E136" s="524"/>
      <c r="F136" s="524"/>
    </row>
    <row r="137" spans="5:6" ht="18.75">
      <c r="E137" s="524"/>
      <c r="F137" s="524"/>
    </row>
    <row r="138" spans="5:6" ht="18.75">
      <c r="E138" s="524"/>
      <c r="F138" s="524"/>
    </row>
    <row r="139" spans="5:6" ht="18.75">
      <c r="E139" s="524"/>
      <c r="F139" s="524"/>
    </row>
    <row r="140" spans="5:6" ht="18.75">
      <c r="E140" s="524"/>
      <c r="F140" s="524"/>
    </row>
    <row r="141" spans="5:6" ht="18.75">
      <c r="E141" s="524"/>
      <c r="F141" s="524"/>
    </row>
    <row r="142" spans="5:6" ht="18.75">
      <c r="E142" s="524"/>
      <c r="F142" s="524"/>
    </row>
    <row r="143" spans="5:6" ht="18.75">
      <c r="E143" s="524"/>
      <c r="F143" s="524"/>
    </row>
    <row r="144" spans="5:6" ht="18.75">
      <c r="E144" s="524"/>
      <c r="F144" s="524"/>
    </row>
    <row r="145" spans="5:6" ht="18.75">
      <c r="E145" s="524"/>
      <c r="F145" s="524"/>
    </row>
    <row r="146" spans="5:6" ht="18.75">
      <c r="E146" s="524"/>
      <c r="F146" s="524"/>
    </row>
    <row r="147" spans="5:6" ht="18.75">
      <c r="E147" s="524"/>
      <c r="F147" s="524"/>
    </row>
    <row r="148" spans="5:6" ht="18.75">
      <c r="E148" s="524"/>
      <c r="F148" s="524"/>
    </row>
    <row r="149" spans="5:6" ht="18.75">
      <c r="E149" s="524"/>
      <c r="F149" s="524"/>
    </row>
    <row r="150" spans="5:6" ht="18.75">
      <c r="E150" s="524"/>
      <c r="F150" s="524"/>
    </row>
    <row r="151" spans="5:6" ht="18.75">
      <c r="E151" s="524"/>
      <c r="F151" s="524"/>
    </row>
    <row r="152" spans="5:6" ht="18.75">
      <c r="E152" s="524"/>
      <c r="F152" s="524"/>
    </row>
    <row r="153" spans="5:6" ht="18.75">
      <c r="E153" s="524"/>
      <c r="F153" s="524"/>
    </row>
    <row r="154" spans="5:6" ht="18.75">
      <c r="E154" s="524"/>
      <c r="F154" s="524"/>
    </row>
    <row r="155" spans="5:6" ht="18.75">
      <c r="E155" s="524"/>
      <c r="F155" s="524"/>
    </row>
    <row r="156" spans="5:6" ht="18.75">
      <c r="E156" s="524"/>
      <c r="F156" s="524"/>
    </row>
    <row r="157" spans="5:6" ht="18.75">
      <c r="E157" s="524"/>
      <c r="F157" s="524"/>
    </row>
    <row r="158" spans="5:6" ht="18.75">
      <c r="E158" s="524"/>
      <c r="F158" s="524"/>
    </row>
    <row r="159" spans="5:6" ht="18.75">
      <c r="E159" s="524"/>
      <c r="F159" s="524"/>
    </row>
    <row r="160" spans="5:6" ht="18.75">
      <c r="E160" s="524"/>
      <c r="F160" s="524"/>
    </row>
    <row r="161" spans="5:6" ht="18.75">
      <c r="E161" s="524"/>
      <c r="F161" s="524"/>
    </row>
    <row r="162" spans="5:6" ht="18.75">
      <c r="E162" s="524"/>
      <c r="F162" s="524"/>
    </row>
    <row r="163" spans="5:6" ht="18.75">
      <c r="E163" s="524"/>
      <c r="F163" s="524"/>
    </row>
    <row r="164" spans="5:6" ht="18.75">
      <c r="E164" s="524"/>
      <c r="F164" s="524"/>
    </row>
    <row r="165" spans="5:6" ht="18.75">
      <c r="E165" s="524"/>
      <c r="F165" s="524"/>
    </row>
    <row r="166" spans="5:6" ht="18.75">
      <c r="E166" s="524"/>
      <c r="F166" s="524"/>
    </row>
    <row r="167" spans="5:6" ht="18.75">
      <c r="E167" s="524"/>
      <c r="F167" s="524"/>
    </row>
    <row r="168" spans="5:6" ht="18.75">
      <c r="E168" s="524"/>
      <c r="F168" s="524"/>
    </row>
    <row r="169" spans="5:6" ht="18.75">
      <c r="E169" s="524"/>
      <c r="F169" s="524"/>
    </row>
    <row r="170" spans="5:6" ht="18.75">
      <c r="E170" s="524"/>
      <c r="F170" s="524"/>
    </row>
    <row r="171" spans="5:6" ht="18.75">
      <c r="E171" s="524"/>
      <c r="F171" s="524"/>
    </row>
    <row r="172" spans="5:6" ht="18.75">
      <c r="E172" s="524"/>
      <c r="F172" s="524"/>
    </row>
    <row r="173" spans="5:6" ht="18.75">
      <c r="E173" s="524"/>
      <c r="F173" s="524"/>
    </row>
    <row r="174" spans="5:6" ht="18.75">
      <c r="E174" s="524"/>
      <c r="F174" s="524"/>
    </row>
    <row r="175" spans="5:6" ht="18.75">
      <c r="E175" s="524"/>
      <c r="F175" s="524"/>
    </row>
    <row r="176" spans="5:6" ht="18.75">
      <c r="E176" s="524"/>
      <c r="F176" s="524"/>
    </row>
    <row r="177" spans="5:6" ht="18.75">
      <c r="E177" s="524"/>
      <c r="F177" s="524"/>
    </row>
    <row r="178" spans="5:6" ht="18.75">
      <c r="E178" s="524"/>
      <c r="F178" s="524"/>
    </row>
    <row r="179" spans="5:6" ht="18.75">
      <c r="E179" s="524"/>
      <c r="F179" s="524"/>
    </row>
    <row r="180" spans="5:6" ht="18.75">
      <c r="E180" s="524"/>
      <c r="F180" s="524"/>
    </row>
    <row r="181" spans="5:6" ht="18.75">
      <c r="E181" s="524"/>
      <c r="F181" s="524"/>
    </row>
    <row r="182" spans="5:6" ht="18.75">
      <c r="E182" s="524"/>
      <c r="F182" s="524"/>
    </row>
    <row r="183" spans="5:6" ht="18.75">
      <c r="E183" s="524"/>
      <c r="F183" s="524"/>
    </row>
    <row r="184" spans="5:6" ht="18.75">
      <c r="E184" s="524"/>
      <c r="F184" s="524"/>
    </row>
    <row r="185" spans="5:6" ht="18.75">
      <c r="E185" s="524"/>
      <c r="F185" s="524"/>
    </row>
    <row r="186" spans="5:6" ht="18.75">
      <c r="E186" s="524"/>
      <c r="F186" s="524"/>
    </row>
    <row r="187" spans="5:6" ht="18.75">
      <c r="E187" s="524"/>
      <c r="F187" s="524"/>
    </row>
    <row r="188" spans="5:6" ht="18.75">
      <c r="E188" s="524"/>
      <c r="F188" s="524"/>
    </row>
    <row r="189" spans="5:6" ht="18.75">
      <c r="E189" s="524"/>
      <c r="F189" s="524"/>
    </row>
    <row r="190" spans="5:6" ht="18.75">
      <c r="E190" s="524"/>
      <c r="F190" s="524"/>
    </row>
  </sheetData>
  <sheetProtection/>
  <printOptions/>
  <pageMargins left="0.5905511811023623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49">
      <selection activeCell="D97" sqref="D97"/>
    </sheetView>
  </sheetViews>
  <sheetFormatPr defaultColWidth="9.140625" defaultRowHeight="12.75"/>
  <cols>
    <col min="1" max="1" width="3.8515625" style="612" customWidth="1"/>
    <col min="2" max="2" width="6.7109375" style="612" customWidth="1"/>
    <col min="3" max="3" width="5.7109375" style="612" customWidth="1"/>
    <col min="4" max="4" width="21.140625" style="620" customWidth="1"/>
    <col min="5" max="5" width="11.8515625" style="612" customWidth="1"/>
    <col min="6" max="6" width="11.57421875" style="612" customWidth="1"/>
    <col min="7" max="7" width="7.140625" style="612" customWidth="1"/>
    <col min="8" max="8" width="12.7109375" style="612" customWidth="1"/>
    <col min="9" max="9" width="12.28125" style="612" customWidth="1"/>
    <col min="10" max="10" width="7.00390625" style="619" customWidth="1"/>
    <col min="11" max="11" width="10.8515625" style="612" bestFit="1" customWidth="1"/>
    <col min="12" max="16384" width="9.140625" style="612" customWidth="1"/>
  </cols>
  <sheetData>
    <row r="1" spans="1:11" ht="19.5">
      <c r="A1" s="619"/>
      <c r="B1" s="619"/>
      <c r="C1" s="619"/>
      <c r="E1" s="610"/>
      <c r="F1" s="610"/>
      <c r="G1" s="610"/>
      <c r="H1" s="611" t="s">
        <v>559</v>
      </c>
      <c r="K1" s="610"/>
    </row>
    <row r="2" spans="1:11" ht="18.75">
      <c r="A2" s="619"/>
      <c r="B2" s="619"/>
      <c r="C2" s="619"/>
      <c r="E2" s="610"/>
      <c r="F2" s="610"/>
      <c r="G2" s="610"/>
      <c r="H2" s="613" t="s">
        <v>588</v>
      </c>
      <c r="K2" s="610"/>
    </row>
    <row r="3" spans="1:11" ht="18.75">
      <c r="A3" s="619"/>
      <c r="B3" s="619"/>
      <c r="C3" s="619"/>
      <c r="E3" s="610"/>
      <c r="F3" s="610"/>
      <c r="G3" s="610"/>
      <c r="H3" s="613" t="s">
        <v>589</v>
      </c>
      <c r="K3" s="610"/>
    </row>
    <row r="4" spans="1:11" ht="18.75">
      <c r="A4" s="619"/>
      <c r="B4" s="619"/>
      <c r="C4" s="619"/>
      <c r="E4" s="610"/>
      <c r="F4" s="610"/>
      <c r="G4" s="610"/>
      <c r="H4" s="613" t="s">
        <v>560</v>
      </c>
      <c r="K4" s="610"/>
    </row>
    <row r="5" spans="1:11" ht="20.25">
      <c r="A5" s="619"/>
      <c r="B5" s="619"/>
      <c r="C5" s="619"/>
      <c r="E5" s="610"/>
      <c r="F5" s="610"/>
      <c r="G5" s="610"/>
      <c r="H5" s="614"/>
      <c r="K5" s="610"/>
    </row>
    <row r="6" spans="1:8" ht="18.75">
      <c r="A6" s="619"/>
      <c r="B6" s="619"/>
      <c r="C6" s="619"/>
      <c r="E6" s="615"/>
      <c r="F6" s="615"/>
      <c r="G6" s="615"/>
      <c r="H6" s="616"/>
    </row>
    <row r="7" spans="1:8" ht="15.75">
      <c r="A7" s="621" t="s">
        <v>561</v>
      </c>
      <c r="B7" s="619"/>
      <c r="C7" s="619"/>
      <c r="E7" s="615"/>
      <c r="F7" s="615"/>
      <c r="G7" s="615"/>
      <c r="H7" s="615"/>
    </row>
    <row r="8" spans="1:8" ht="15.75">
      <c r="A8" s="621" t="s">
        <v>562</v>
      </c>
      <c r="B8" s="619"/>
      <c r="C8" s="619"/>
      <c r="E8" s="615"/>
      <c r="F8" s="615"/>
      <c r="G8" s="615"/>
      <c r="H8" s="615"/>
    </row>
    <row r="9" spans="1:8" ht="15.75">
      <c r="A9" s="1249"/>
      <c r="B9" s="1250"/>
      <c r="C9" s="1250"/>
      <c r="D9" s="1250"/>
      <c r="E9" s="615"/>
      <c r="F9" s="615"/>
      <c r="G9" s="615"/>
      <c r="H9" s="615"/>
    </row>
    <row r="10" spans="1:9" ht="12.75">
      <c r="A10" s="622" t="s">
        <v>21</v>
      </c>
      <c r="B10" s="622"/>
      <c r="C10" s="622"/>
      <c r="D10" s="623"/>
      <c r="E10" s="624"/>
      <c r="F10" s="624"/>
      <c r="G10" s="624"/>
      <c r="H10" s="624"/>
      <c r="I10" s="625" t="s">
        <v>22</v>
      </c>
    </row>
    <row r="11" spans="1:10" ht="69.75" customHeight="1">
      <c r="A11" s="626" t="s">
        <v>23</v>
      </c>
      <c r="B11" s="626" t="s">
        <v>24</v>
      </c>
      <c r="C11" s="626" t="s">
        <v>393</v>
      </c>
      <c r="D11" s="627" t="s">
        <v>120</v>
      </c>
      <c r="E11" s="628" t="s">
        <v>563</v>
      </c>
      <c r="F11" s="628" t="s">
        <v>564</v>
      </c>
      <c r="G11" s="629" t="s">
        <v>397</v>
      </c>
      <c r="H11" s="628" t="s">
        <v>565</v>
      </c>
      <c r="I11" s="628" t="s">
        <v>110</v>
      </c>
      <c r="J11" s="630" t="s">
        <v>397</v>
      </c>
    </row>
    <row r="12" spans="1:10" ht="23.25" customHeight="1">
      <c r="A12" s="631">
        <v>600</v>
      </c>
      <c r="B12" s="632"/>
      <c r="C12" s="633"/>
      <c r="D12" s="634" t="s">
        <v>25</v>
      </c>
      <c r="E12" s="635">
        <f>E13</f>
        <v>1129013.75</v>
      </c>
      <c r="F12" s="635">
        <f>F13</f>
        <v>1188634.75</v>
      </c>
      <c r="G12" s="636">
        <f>F12/E12*100</f>
        <v>105.28080371031795</v>
      </c>
      <c r="H12" s="635">
        <f>H13</f>
        <v>1129013.75</v>
      </c>
      <c r="I12" s="635">
        <f>I13</f>
        <v>1188634.75</v>
      </c>
      <c r="J12" s="637">
        <f>I12/H12*100</f>
        <v>105.28080371031795</v>
      </c>
    </row>
    <row r="13" spans="1:10" ht="27.75" customHeight="1">
      <c r="A13" s="638"/>
      <c r="B13" s="639">
        <v>60004</v>
      </c>
      <c r="C13" s="640"/>
      <c r="D13" s="641" t="s">
        <v>26</v>
      </c>
      <c r="E13" s="642">
        <f>SUM(E14:E15)</f>
        <v>1129013.75</v>
      </c>
      <c r="F13" s="642">
        <f>SUM(F14:F15)</f>
        <v>1188634.75</v>
      </c>
      <c r="G13" s="643">
        <f>F13/E13*100</f>
        <v>105.28080371031795</v>
      </c>
      <c r="H13" s="642">
        <f>SUM(H14:H15)</f>
        <v>1129013.75</v>
      </c>
      <c r="I13" s="642">
        <f>SUM(I14:I15)</f>
        <v>1188634.75</v>
      </c>
      <c r="J13" s="643">
        <f>I13/H13*100</f>
        <v>105.28080371031795</v>
      </c>
    </row>
    <row r="14" spans="1:10" s="619" customFormat="1" ht="81.75" customHeight="1">
      <c r="A14" s="644"/>
      <c r="B14" s="645"/>
      <c r="C14" s="646">
        <v>2310</v>
      </c>
      <c r="D14" s="647" t="s">
        <v>566</v>
      </c>
      <c r="E14" s="648">
        <v>1129013.75</v>
      </c>
      <c r="F14" s="648">
        <v>1188634.75</v>
      </c>
      <c r="G14" s="649"/>
      <c r="H14" s="650"/>
      <c r="I14" s="651"/>
      <c r="J14" s="652"/>
    </row>
    <row r="15" spans="1:10" ht="39.75" customHeight="1">
      <c r="A15" s="653"/>
      <c r="B15" s="654"/>
      <c r="C15" s="655">
        <v>2650</v>
      </c>
      <c r="D15" s="656" t="s">
        <v>5</v>
      </c>
      <c r="E15" s="657"/>
      <c r="F15" s="657"/>
      <c r="G15" s="657"/>
      <c r="H15" s="657">
        <v>1129013.75</v>
      </c>
      <c r="I15" s="658">
        <v>1188634.75</v>
      </c>
      <c r="J15" s="659">
        <f>I15*100/H15</f>
        <v>105.28080371031797</v>
      </c>
    </row>
    <row r="16" spans="1:10" ht="27" customHeight="1">
      <c r="A16" s="660">
        <v>801</v>
      </c>
      <c r="B16" s="661"/>
      <c r="C16" s="661"/>
      <c r="D16" s="662" t="s">
        <v>148</v>
      </c>
      <c r="E16" s="663">
        <f>SUM(E17)</f>
        <v>630000</v>
      </c>
      <c r="F16" s="663">
        <f>SUM(F17)</f>
        <v>562056</v>
      </c>
      <c r="G16" s="664">
        <f>F16*100/E16</f>
        <v>89.21523809523809</v>
      </c>
      <c r="H16" s="665">
        <f>SUM(H17)</f>
        <v>630000</v>
      </c>
      <c r="I16" s="665">
        <f>SUM(I17)</f>
        <v>562056</v>
      </c>
      <c r="J16" s="666">
        <f>I16*100/H16</f>
        <v>89.21523809523809</v>
      </c>
    </row>
    <row r="17" spans="1:10" ht="39.75" customHeight="1">
      <c r="A17" s="667"/>
      <c r="B17" s="639">
        <v>80104</v>
      </c>
      <c r="C17" s="646"/>
      <c r="D17" s="641" t="s">
        <v>440</v>
      </c>
      <c r="E17" s="642">
        <f>SUM(E18)</f>
        <v>630000</v>
      </c>
      <c r="F17" s="642">
        <f>SUM(F18)</f>
        <v>562056</v>
      </c>
      <c r="G17" s="657">
        <f>F17*100/E17</f>
        <v>89.21523809523809</v>
      </c>
      <c r="H17" s="668">
        <f>SUM(H18:H26)</f>
        <v>630000</v>
      </c>
      <c r="I17" s="668">
        <f>SUM(I18:I26)</f>
        <v>562056</v>
      </c>
      <c r="J17" s="669">
        <f>I17*100/H17</f>
        <v>89.21523809523809</v>
      </c>
    </row>
    <row r="18" spans="1:10" ht="79.5" customHeight="1">
      <c r="A18" s="653"/>
      <c r="B18" s="670"/>
      <c r="C18" s="646">
        <v>2310</v>
      </c>
      <c r="D18" s="647" t="s">
        <v>566</v>
      </c>
      <c r="E18" s="671">
        <v>630000</v>
      </c>
      <c r="F18" s="668">
        <v>562056</v>
      </c>
      <c r="G18" s="657"/>
      <c r="H18" s="668"/>
      <c r="I18" s="672"/>
      <c r="J18" s="669"/>
    </row>
    <row r="19" spans="1:10" ht="26.25" customHeight="1">
      <c r="A19" s="653"/>
      <c r="B19" s="654"/>
      <c r="C19" s="673">
        <v>4010</v>
      </c>
      <c r="D19" s="674" t="s">
        <v>451</v>
      </c>
      <c r="E19" s="642"/>
      <c r="F19" s="668"/>
      <c r="G19" s="657"/>
      <c r="H19" s="668">
        <v>449145</v>
      </c>
      <c r="I19" s="672">
        <v>354137</v>
      </c>
      <c r="J19" s="669">
        <f>I19*100/H19</f>
        <v>78.84692025960436</v>
      </c>
    </row>
    <row r="20" spans="1:10" ht="26.25" customHeight="1">
      <c r="A20" s="653"/>
      <c r="B20" s="654"/>
      <c r="C20" s="673">
        <v>4040</v>
      </c>
      <c r="D20" s="674" t="s">
        <v>452</v>
      </c>
      <c r="E20" s="642"/>
      <c r="F20" s="668"/>
      <c r="G20" s="657"/>
      <c r="H20" s="668">
        <v>16401</v>
      </c>
      <c r="I20" s="672">
        <v>29025</v>
      </c>
      <c r="J20" s="669">
        <f>I20*100/H20</f>
        <v>176.97091640753612</v>
      </c>
    </row>
    <row r="21" spans="1:10" ht="25.5" customHeight="1">
      <c r="A21" s="653"/>
      <c r="B21" s="654"/>
      <c r="C21" s="673">
        <v>4110</v>
      </c>
      <c r="D21" s="674" t="s">
        <v>496</v>
      </c>
      <c r="E21" s="642"/>
      <c r="F21" s="668"/>
      <c r="G21" s="657"/>
      <c r="H21" s="668">
        <v>83234</v>
      </c>
      <c r="I21" s="672">
        <v>64854</v>
      </c>
      <c r="J21" s="669">
        <f>I21*100/H21</f>
        <v>77.91767787202345</v>
      </c>
    </row>
    <row r="22" spans="1:10" ht="25.5" customHeight="1">
      <c r="A22" s="653"/>
      <c r="B22" s="654"/>
      <c r="C22" s="673">
        <v>4120</v>
      </c>
      <c r="D22" s="674" t="s">
        <v>497</v>
      </c>
      <c r="E22" s="642"/>
      <c r="F22" s="668"/>
      <c r="G22" s="657"/>
      <c r="H22" s="668">
        <v>6166</v>
      </c>
      <c r="I22" s="672">
        <v>9287</v>
      </c>
      <c r="J22" s="669">
        <f>I22*100/H22</f>
        <v>150.61628284138826</v>
      </c>
    </row>
    <row r="23" spans="1:10" ht="27" customHeight="1">
      <c r="A23" s="653"/>
      <c r="B23" s="654"/>
      <c r="C23" s="673">
        <v>4210</v>
      </c>
      <c r="D23" s="674" t="s">
        <v>411</v>
      </c>
      <c r="E23" s="642"/>
      <c r="F23" s="668"/>
      <c r="G23" s="657"/>
      <c r="H23" s="668">
        <v>7239</v>
      </c>
      <c r="I23" s="672"/>
      <c r="J23" s="669"/>
    </row>
    <row r="24" spans="1:10" ht="21.75" customHeight="1">
      <c r="A24" s="653"/>
      <c r="B24" s="654"/>
      <c r="C24" s="675">
        <v>4260</v>
      </c>
      <c r="D24" s="676" t="s">
        <v>511</v>
      </c>
      <c r="E24" s="668"/>
      <c r="F24" s="668"/>
      <c r="G24" s="657"/>
      <c r="H24" s="668">
        <v>16401</v>
      </c>
      <c r="I24" s="672">
        <v>23219</v>
      </c>
      <c r="J24" s="669">
        <f>I24*100/H24</f>
        <v>141.57063593683313</v>
      </c>
    </row>
    <row r="25" spans="1:10" ht="21.75" customHeight="1">
      <c r="A25" s="653"/>
      <c r="B25" s="654"/>
      <c r="C25" s="675">
        <v>4300</v>
      </c>
      <c r="D25" s="676" t="s">
        <v>567</v>
      </c>
      <c r="E25" s="668"/>
      <c r="F25" s="668"/>
      <c r="G25" s="657"/>
      <c r="H25" s="668">
        <v>37421</v>
      </c>
      <c r="I25" s="672">
        <v>64118</v>
      </c>
      <c r="J25" s="669">
        <f>I25*100/H25</f>
        <v>171.3422944336068</v>
      </c>
    </row>
    <row r="26" spans="1:10" ht="24.75" customHeight="1">
      <c r="A26" s="653"/>
      <c r="B26" s="654"/>
      <c r="C26" s="673">
        <v>4440</v>
      </c>
      <c r="D26" s="674" t="s">
        <v>498</v>
      </c>
      <c r="E26" s="668"/>
      <c r="F26" s="668"/>
      <c r="G26" s="657"/>
      <c r="H26" s="668">
        <v>13993</v>
      </c>
      <c r="I26" s="672">
        <v>17416</v>
      </c>
      <c r="J26" s="669">
        <f>I26*100/H26</f>
        <v>124.46223111555778</v>
      </c>
    </row>
    <row r="27" spans="1:10" ht="21.75" customHeight="1">
      <c r="A27" s="677" t="s">
        <v>492</v>
      </c>
      <c r="B27" s="678"/>
      <c r="C27" s="679"/>
      <c r="D27" s="680"/>
      <c r="E27" s="681">
        <f>E12+E16</f>
        <v>1759013.75</v>
      </c>
      <c r="F27" s="681">
        <f>F12+F16</f>
        <v>1750690.75</v>
      </c>
      <c r="G27" s="663">
        <f>F27/E27*100</f>
        <v>99.52683712677062</v>
      </c>
      <c r="H27" s="681">
        <f>H12+H16</f>
        <v>1759013.75</v>
      </c>
      <c r="I27" s="681">
        <f>I12+I16</f>
        <v>1750690.75</v>
      </c>
      <c r="J27" s="663">
        <f>I27/H27*100</f>
        <v>99.52683712677062</v>
      </c>
    </row>
    <row r="28" spans="1:12" s="685" customFormat="1" ht="23.25" customHeight="1">
      <c r="A28" s="682">
        <v>852</v>
      </c>
      <c r="B28" s="631"/>
      <c r="C28" s="683"/>
      <c r="D28" s="634" t="s">
        <v>378</v>
      </c>
      <c r="E28" s="684">
        <f>E29+E53</f>
        <v>276000</v>
      </c>
      <c r="F28" s="684">
        <f>F29+F53</f>
        <v>278000</v>
      </c>
      <c r="G28" s="684">
        <f>F28/E28*100</f>
        <v>100.72463768115942</v>
      </c>
      <c r="H28" s="684">
        <f>H29+H53</f>
        <v>276000</v>
      </c>
      <c r="I28" s="684">
        <f>I29+I53</f>
        <v>278000</v>
      </c>
      <c r="J28" s="684">
        <f>I28/H28*100</f>
        <v>100.72463768115942</v>
      </c>
      <c r="L28" s="260"/>
    </row>
    <row r="29" spans="1:10" ht="24" customHeight="1">
      <c r="A29" s="686"/>
      <c r="B29" s="687">
        <v>85201</v>
      </c>
      <c r="C29" s="688"/>
      <c r="D29" s="689" t="s">
        <v>531</v>
      </c>
      <c r="E29" s="690">
        <f>E30</f>
        <v>122000</v>
      </c>
      <c r="F29" s="690">
        <f>F30</f>
        <v>120000</v>
      </c>
      <c r="G29" s="690">
        <f>F29/E29*100</f>
        <v>98.36065573770492</v>
      </c>
      <c r="H29" s="690">
        <f>SUM(H31:H52)</f>
        <v>122000</v>
      </c>
      <c r="I29" s="690">
        <f>SUM(I31:I52)</f>
        <v>120000</v>
      </c>
      <c r="J29" s="690">
        <f>I29/H29*100</f>
        <v>98.36065573770492</v>
      </c>
    </row>
    <row r="30" spans="1:11" ht="83.25" customHeight="1">
      <c r="A30" s="691"/>
      <c r="B30" s="692"/>
      <c r="C30" s="673">
        <v>2320</v>
      </c>
      <c r="D30" s="656" t="s">
        <v>568</v>
      </c>
      <c r="E30" s="690">
        <v>122000</v>
      </c>
      <c r="F30" s="690">
        <v>120000</v>
      </c>
      <c r="G30" s="684"/>
      <c r="H30" s="684"/>
      <c r="I30" s="684"/>
      <c r="J30" s="684"/>
      <c r="K30" s="693"/>
    </row>
    <row r="31" spans="1:11" ht="27" customHeight="1">
      <c r="A31" s="694"/>
      <c r="B31" s="692"/>
      <c r="C31" s="673">
        <v>3020</v>
      </c>
      <c r="D31" s="674" t="s">
        <v>712</v>
      </c>
      <c r="E31" s="690"/>
      <c r="F31" s="690"/>
      <c r="G31" s="690"/>
      <c r="H31" s="690">
        <v>30</v>
      </c>
      <c r="I31" s="690">
        <v>50</v>
      </c>
      <c r="J31" s="690">
        <f>I31*100/H31</f>
        <v>166.66666666666666</v>
      </c>
      <c r="K31" s="695"/>
    </row>
    <row r="32" spans="1:11" ht="19.5" customHeight="1">
      <c r="A32" s="691"/>
      <c r="B32" s="692"/>
      <c r="C32" s="673">
        <v>3110</v>
      </c>
      <c r="D32" s="674" t="s">
        <v>460</v>
      </c>
      <c r="E32" s="690"/>
      <c r="F32" s="690"/>
      <c r="G32" s="684"/>
      <c r="H32" s="690">
        <v>670</v>
      </c>
      <c r="I32" s="690">
        <v>720</v>
      </c>
      <c r="J32" s="690">
        <f aca="true" t="shared" si="0" ref="J32:J52">I32*100/H32</f>
        <v>107.46268656716418</v>
      </c>
      <c r="K32" s="695"/>
    </row>
    <row r="33" spans="1:11" ht="26.25" customHeight="1">
      <c r="A33" s="691"/>
      <c r="B33" s="692"/>
      <c r="C33" s="673">
        <v>4010</v>
      </c>
      <c r="D33" s="674" t="s">
        <v>451</v>
      </c>
      <c r="E33" s="690"/>
      <c r="F33" s="690"/>
      <c r="G33" s="684"/>
      <c r="H33" s="690">
        <v>78200</v>
      </c>
      <c r="I33" s="690">
        <v>75260</v>
      </c>
      <c r="J33" s="690">
        <f t="shared" si="0"/>
        <v>96.24040920716112</v>
      </c>
      <c r="K33" s="695"/>
    </row>
    <row r="34" spans="1:11" ht="25.5" customHeight="1">
      <c r="A34" s="691"/>
      <c r="B34" s="692"/>
      <c r="C34" s="673">
        <v>4040</v>
      </c>
      <c r="D34" s="674" t="s">
        <v>452</v>
      </c>
      <c r="E34" s="690"/>
      <c r="F34" s="690"/>
      <c r="G34" s="684"/>
      <c r="H34" s="690">
        <v>7500</v>
      </c>
      <c r="I34" s="690">
        <v>6240</v>
      </c>
      <c r="J34" s="690">
        <f t="shared" si="0"/>
        <v>83.2</v>
      </c>
      <c r="K34" s="695"/>
    </row>
    <row r="35" spans="1:11" ht="25.5" customHeight="1">
      <c r="A35" s="691"/>
      <c r="B35" s="692"/>
      <c r="C35" s="673">
        <v>4110</v>
      </c>
      <c r="D35" s="674" t="s">
        <v>496</v>
      </c>
      <c r="E35" s="690"/>
      <c r="F35" s="690"/>
      <c r="G35" s="684"/>
      <c r="H35" s="690">
        <v>14500</v>
      </c>
      <c r="I35" s="690">
        <v>13320</v>
      </c>
      <c r="J35" s="690">
        <f t="shared" si="0"/>
        <v>91.86206896551724</v>
      </c>
      <c r="K35" s="695"/>
    </row>
    <row r="36" spans="1:11" ht="19.5" customHeight="1">
      <c r="A36" s="691"/>
      <c r="B36" s="692"/>
      <c r="C36" s="673">
        <v>4120</v>
      </c>
      <c r="D36" s="674" t="s">
        <v>497</v>
      </c>
      <c r="E36" s="690"/>
      <c r="F36" s="690"/>
      <c r="G36" s="684"/>
      <c r="H36" s="690">
        <v>1600</v>
      </c>
      <c r="I36" s="690">
        <v>1800</v>
      </c>
      <c r="J36" s="690">
        <f t="shared" si="0"/>
        <v>112.5</v>
      </c>
      <c r="K36" s="695"/>
    </row>
    <row r="37" spans="1:11" ht="21" customHeight="1">
      <c r="A37" s="691"/>
      <c r="B37" s="692"/>
      <c r="C37" s="673">
        <v>4170</v>
      </c>
      <c r="D37" s="674" t="s">
        <v>503</v>
      </c>
      <c r="E37" s="690"/>
      <c r="F37" s="690"/>
      <c r="G37" s="684"/>
      <c r="H37" s="690">
        <v>250</v>
      </c>
      <c r="I37" s="690">
        <v>360</v>
      </c>
      <c r="J37" s="690">
        <f t="shared" si="0"/>
        <v>144</v>
      </c>
      <c r="K37" s="695"/>
    </row>
    <row r="38" spans="1:11" ht="23.25" customHeight="1">
      <c r="A38" s="691"/>
      <c r="B38" s="692"/>
      <c r="C38" s="673">
        <v>4210</v>
      </c>
      <c r="D38" s="674" t="s">
        <v>411</v>
      </c>
      <c r="E38" s="690"/>
      <c r="F38" s="690"/>
      <c r="G38" s="684"/>
      <c r="H38" s="690">
        <v>1250</v>
      </c>
      <c r="I38" s="690">
        <v>2100</v>
      </c>
      <c r="J38" s="690">
        <f t="shared" si="0"/>
        <v>168</v>
      </c>
      <c r="K38" s="695"/>
    </row>
    <row r="39" spans="1:11" ht="16.5" customHeight="1">
      <c r="A39" s="691"/>
      <c r="B39" s="692"/>
      <c r="C39" s="673">
        <v>4220</v>
      </c>
      <c r="D39" s="674" t="s">
        <v>111</v>
      </c>
      <c r="E39" s="690"/>
      <c r="F39" s="690"/>
      <c r="G39" s="684"/>
      <c r="H39" s="690">
        <v>260</v>
      </c>
      <c r="I39" s="690">
        <v>360</v>
      </c>
      <c r="J39" s="690">
        <f t="shared" si="0"/>
        <v>138.46153846153845</v>
      </c>
      <c r="K39" s="695"/>
    </row>
    <row r="40" spans="1:11" ht="30" customHeight="1">
      <c r="A40" s="691"/>
      <c r="B40" s="692"/>
      <c r="C40" s="673">
        <v>4240</v>
      </c>
      <c r="D40" s="674" t="s">
        <v>97</v>
      </c>
      <c r="E40" s="690"/>
      <c r="F40" s="690"/>
      <c r="G40" s="684"/>
      <c r="H40" s="690">
        <v>320</v>
      </c>
      <c r="I40" s="690">
        <v>600</v>
      </c>
      <c r="J40" s="690">
        <f t="shared" si="0"/>
        <v>187.5</v>
      </c>
      <c r="K40" s="695"/>
    </row>
    <row r="41" spans="1:11" ht="15" customHeight="1">
      <c r="A41" s="691"/>
      <c r="B41" s="692"/>
      <c r="C41" s="673">
        <v>4260</v>
      </c>
      <c r="D41" s="674" t="s">
        <v>511</v>
      </c>
      <c r="E41" s="690"/>
      <c r="F41" s="690"/>
      <c r="G41" s="684"/>
      <c r="H41" s="690">
        <v>2800</v>
      </c>
      <c r="I41" s="690">
        <v>3500</v>
      </c>
      <c r="J41" s="690">
        <f t="shared" si="0"/>
        <v>125</v>
      </c>
      <c r="K41" s="695"/>
    </row>
    <row r="42" spans="1:11" ht="15" customHeight="1">
      <c r="A42" s="691"/>
      <c r="B42" s="692"/>
      <c r="C42" s="673">
        <v>4270</v>
      </c>
      <c r="D42" s="674" t="s">
        <v>412</v>
      </c>
      <c r="E42" s="690"/>
      <c r="F42" s="690"/>
      <c r="G42" s="684"/>
      <c r="H42" s="690">
        <v>1000</v>
      </c>
      <c r="I42" s="690">
        <v>1800</v>
      </c>
      <c r="J42" s="690">
        <f t="shared" si="0"/>
        <v>180</v>
      </c>
      <c r="K42" s="695"/>
    </row>
    <row r="43" spans="1:11" ht="15" customHeight="1">
      <c r="A43" s="691"/>
      <c r="B43" s="692"/>
      <c r="C43" s="673">
        <v>4280</v>
      </c>
      <c r="D43" s="674" t="s">
        <v>714</v>
      </c>
      <c r="E43" s="690"/>
      <c r="F43" s="690"/>
      <c r="G43" s="684"/>
      <c r="H43" s="690">
        <v>10</v>
      </c>
      <c r="I43" s="690">
        <v>70</v>
      </c>
      <c r="J43" s="690">
        <f t="shared" si="0"/>
        <v>700</v>
      </c>
      <c r="K43" s="695"/>
    </row>
    <row r="44" spans="1:11" ht="16.5" customHeight="1">
      <c r="A44" s="691"/>
      <c r="B44" s="692"/>
      <c r="C44" s="673">
        <v>4300</v>
      </c>
      <c r="D44" s="674" t="s">
        <v>408</v>
      </c>
      <c r="E44" s="690"/>
      <c r="F44" s="690"/>
      <c r="G44" s="684"/>
      <c r="H44" s="690">
        <v>7850</v>
      </c>
      <c r="I44" s="690">
        <v>9000</v>
      </c>
      <c r="J44" s="690">
        <f t="shared" si="0"/>
        <v>114.64968152866243</v>
      </c>
      <c r="K44" s="695"/>
    </row>
    <row r="45" spans="1:11" ht="27.75" customHeight="1">
      <c r="A45" s="691"/>
      <c r="B45" s="692"/>
      <c r="C45" s="673">
        <v>4350</v>
      </c>
      <c r="D45" s="674" t="s">
        <v>506</v>
      </c>
      <c r="E45" s="690"/>
      <c r="F45" s="690"/>
      <c r="G45" s="684"/>
      <c r="H45" s="690">
        <v>70</v>
      </c>
      <c r="I45" s="690">
        <v>70</v>
      </c>
      <c r="J45" s="690">
        <f t="shared" si="0"/>
        <v>100</v>
      </c>
      <c r="K45" s="695"/>
    </row>
    <row r="46" spans="1:11" ht="51.75" customHeight="1">
      <c r="A46" s="691"/>
      <c r="B46" s="692"/>
      <c r="C46" s="673">
        <v>4370</v>
      </c>
      <c r="D46" s="674" t="s">
        <v>3</v>
      </c>
      <c r="E46" s="690"/>
      <c r="F46" s="690"/>
      <c r="G46" s="684"/>
      <c r="H46" s="690">
        <v>400</v>
      </c>
      <c r="I46" s="690">
        <v>600</v>
      </c>
      <c r="J46" s="690">
        <f t="shared" si="0"/>
        <v>150</v>
      </c>
      <c r="K46" s="695"/>
    </row>
    <row r="47" spans="1:11" ht="19.5" customHeight="1">
      <c r="A47" s="691"/>
      <c r="B47" s="692"/>
      <c r="C47" s="673">
        <v>4410</v>
      </c>
      <c r="D47" s="674" t="s">
        <v>500</v>
      </c>
      <c r="E47" s="690"/>
      <c r="F47" s="690"/>
      <c r="G47" s="684"/>
      <c r="H47" s="690">
        <v>810</v>
      </c>
      <c r="I47" s="690">
        <v>1100</v>
      </c>
      <c r="J47" s="690">
        <f t="shared" si="0"/>
        <v>135.80246913580248</v>
      </c>
      <c r="K47" s="695"/>
    </row>
    <row r="48" spans="1:11" ht="20.25" customHeight="1">
      <c r="A48" s="696"/>
      <c r="B48" s="692"/>
      <c r="C48" s="673">
        <v>4430</v>
      </c>
      <c r="D48" s="674" t="s">
        <v>387</v>
      </c>
      <c r="E48" s="690"/>
      <c r="F48" s="690"/>
      <c r="G48" s="690"/>
      <c r="H48" s="690">
        <v>70</v>
      </c>
      <c r="I48" s="690">
        <v>180</v>
      </c>
      <c r="J48" s="690">
        <f t="shared" si="0"/>
        <v>257.14285714285717</v>
      </c>
      <c r="K48" s="695"/>
    </row>
    <row r="49" spans="1:11" ht="36" customHeight="1">
      <c r="A49" s="696"/>
      <c r="B49" s="692"/>
      <c r="C49" s="673">
        <v>4440</v>
      </c>
      <c r="D49" s="674" t="s">
        <v>498</v>
      </c>
      <c r="E49" s="690"/>
      <c r="F49" s="690"/>
      <c r="G49" s="690"/>
      <c r="H49" s="690">
        <v>3900</v>
      </c>
      <c r="I49" s="690">
        <v>2040</v>
      </c>
      <c r="J49" s="690">
        <f t="shared" si="0"/>
        <v>52.30769230769231</v>
      </c>
      <c r="K49" s="695"/>
    </row>
    <row r="50" spans="1:11" ht="23.25" customHeight="1">
      <c r="A50" s="696"/>
      <c r="B50" s="692"/>
      <c r="C50" s="673">
        <v>4480</v>
      </c>
      <c r="D50" s="674" t="s">
        <v>351</v>
      </c>
      <c r="E50" s="690"/>
      <c r="F50" s="690"/>
      <c r="G50" s="690"/>
      <c r="H50" s="690">
        <v>370</v>
      </c>
      <c r="I50" s="690">
        <v>300</v>
      </c>
      <c r="J50" s="690">
        <f t="shared" si="0"/>
        <v>81.08108108108108</v>
      </c>
      <c r="K50" s="695"/>
    </row>
    <row r="51" spans="1:11" ht="36.75" customHeight="1">
      <c r="A51" s="696"/>
      <c r="B51" s="692"/>
      <c r="C51" s="673">
        <v>4520</v>
      </c>
      <c r="D51" s="674" t="s">
        <v>373</v>
      </c>
      <c r="E51" s="690"/>
      <c r="F51" s="690"/>
      <c r="G51" s="690"/>
      <c r="H51" s="690"/>
      <c r="I51" s="690">
        <v>150</v>
      </c>
      <c r="J51" s="690"/>
      <c r="K51" s="695"/>
    </row>
    <row r="52" spans="1:11" ht="36" customHeight="1">
      <c r="A52" s="696"/>
      <c r="B52" s="692"/>
      <c r="C52" s="673">
        <v>4700</v>
      </c>
      <c r="D52" s="674" t="s">
        <v>374</v>
      </c>
      <c r="E52" s="690"/>
      <c r="F52" s="690"/>
      <c r="G52" s="690"/>
      <c r="H52" s="690">
        <v>140</v>
      </c>
      <c r="I52" s="690">
        <v>380</v>
      </c>
      <c r="J52" s="690">
        <f t="shared" si="0"/>
        <v>271.42857142857144</v>
      </c>
      <c r="K52" s="695"/>
    </row>
    <row r="53" spans="1:11" ht="20.25" customHeight="1">
      <c r="A53" s="696"/>
      <c r="B53" s="687">
        <v>85204</v>
      </c>
      <c r="C53" s="697"/>
      <c r="D53" s="698" t="s">
        <v>601</v>
      </c>
      <c r="E53" s="690">
        <f>SUM(E54:E55)</f>
        <v>154000</v>
      </c>
      <c r="F53" s="690">
        <f>SUM(F54:F55)</f>
        <v>158000</v>
      </c>
      <c r="G53" s="690">
        <f>F53/E53*100</f>
        <v>102.59740259740259</v>
      </c>
      <c r="H53" s="690">
        <f>SUM(H54:H55)</f>
        <v>154000</v>
      </c>
      <c r="I53" s="690">
        <f>SUM(I54:I55)</f>
        <v>158000</v>
      </c>
      <c r="J53" s="690">
        <f>I53/H53*100</f>
        <v>102.59740259740259</v>
      </c>
      <c r="K53" s="695"/>
    </row>
    <row r="54" spans="1:11" ht="74.25" customHeight="1">
      <c r="A54" s="696"/>
      <c r="B54" s="692"/>
      <c r="C54" s="673">
        <v>2320</v>
      </c>
      <c r="D54" s="656" t="s">
        <v>568</v>
      </c>
      <c r="E54" s="690">
        <v>154000</v>
      </c>
      <c r="F54" s="690">
        <v>158000</v>
      </c>
      <c r="G54" s="690"/>
      <c r="H54" s="690"/>
      <c r="I54" s="690"/>
      <c r="J54" s="690"/>
      <c r="K54" s="695"/>
    </row>
    <row r="55" spans="1:11" ht="21.75" customHeight="1">
      <c r="A55" s="699"/>
      <c r="B55" s="700"/>
      <c r="C55" s="673">
        <v>3110</v>
      </c>
      <c r="D55" s="674" t="s">
        <v>460</v>
      </c>
      <c r="E55" s="690"/>
      <c r="F55" s="690"/>
      <c r="G55" s="690"/>
      <c r="H55" s="690">
        <v>154000</v>
      </c>
      <c r="I55" s="690">
        <v>158000</v>
      </c>
      <c r="J55" s="690">
        <f>I55*100/H55</f>
        <v>102.59740259740259</v>
      </c>
      <c r="K55" s="695"/>
    </row>
    <row r="56" spans="1:11" s="685" customFormat="1" ht="40.5" customHeight="1">
      <c r="A56" s="701">
        <v>853</v>
      </c>
      <c r="B56" s="702"/>
      <c r="C56" s="703"/>
      <c r="D56" s="704" t="s">
        <v>569</v>
      </c>
      <c r="E56" s="684">
        <f>E57</f>
        <v>20000</v>
      </c>
      <c r="F56" s="684">
        <f>F57</f>
        <v>20000</v>
      </c>
      <c r="G56" s="705">
        <f>F56/E56*100</f>
        <v>100</v>
      </c>
      <c r="H56" s="663">
        <f>H57</f>
        <v>20000</v>
      </c>
      <c r="I56" s="684">
        <f>I57</f>
        <v>20000</v>
      </c>
      <c r="J56" s="666">
        <f>I56/H56*100</f>
        <v>100</v>
      </c>
      <c r="K56" s="693"/>
    </row>
    <row r="57" spans="1:11" ht="39" customHeight="1">
      <c r="A57" s="696"/>
      <c r="B57" s="706">
        <v>85311</v>
      </c>
      <c r="C57" s="697"/>
      <c r="D57" s="698" t="s">
        <v>346</v>
      </c>
      <c r="E57" s="690">
        <f>SUM(E58:E59)</f>
        <v>20000</v>
      </c>
      <c r="F57" s="690">
        <f>SUM(F58:F59)</f>
        <v>20000</v>
      </c>
      <c r="G57" s="707">
        <f>F57/E57*100</f>
        <v>100</v>
      </c>
      <c r="H57" s="642">
        <f>SUM(H58:H59)</f>
        <v>20000</v>
      </c>
      <c r="I57" s="690">
        <f>SUM(I58:I59)</f>
        <v>20000</v>
      </c>
      <c r="J57" s="669">
        <f>I57/H57*100</f>
        <v>100</v>
      </c>
      <c r="K57" s="695"/>
    </row>
    <row r="58" spans="1:11" ht="70.5" customHeight="1">
      <c r="A58" s="696"/>
      <c r="B58" s="645"/>
      <c r="C58" s="673">
        <v>2320</v>
      </c>
      <c r="D58" s="656" t="s">
        <v>568</v>
      </c>
      <c r="E58" s="690">
        <v>20000</v>
      </c>
      <c r="F58" s="690">
        <v>20000</v>
      </c>
      <c r="G58" s="707"/>
      <c r="H58" s="642"/>
      <c r="I58" s="690"/>
      <c r="J58" s="666"/>
      <c r="K58" s="695"/>
    </row>
    <row r="59" spans="1:11" ht="52.5" customHeight="1">
      <c r="A59" s="699"/>
      <c r="B59" s="700"/>
      <c r="C59" s="673">
        <v>2580</v>
      </c>
      <c r="D59" s="674" t="s">
        <v>348</v>
      </c>
      <c r="E59" s="690"/>
      <c r="F59" s="690"/>
      <c r="G59" s="705"/>
      <c r="H59" s="642">
        <v>20000</v>
      </c>
      <c r="I59" s="690">
        <v>20000</v>
      </c>
      <c r="J59" s="669">
        <f>I59*100/H59</f>
        <v>100</v>
      </c>
      <c r="K59" s="695"/>
    </row>
    <row r="60" spans="1:10" ht="25.5" customHeight="1">
      <c r="A60" s="702">
        <v>921</v>
      </c>
      <c r="B60" s="660"/>
      <c r="C60" s="708"/>
      <c r="D60" s="662" t="s">
        <v>570</v>
      </c>
      <c r="E60" s="635">
        <f>SUM(E61)</f>
        <v>80000</v>
      </c>
      <c r="F60" s="635">
        <f>SUM(F61)</f>
        <v>80000</v>
      </c>
      <c r="G60" s="705">
        <f>F60/E60*100</f>
        <v>100</v>
      </c>
      <c r="H60" s="635">
        <f>SUM(H61)</f>
        <v>80000</v>
      </c>
      <c r="I60" s="635">
        <f>SUM(I61)</f>
        <v>80000</v>
      </c>
      <c r="J60" s="666">
        <f>I60/H60*100</f>
        <v>100</v>
      </c>
    </row>
    <row r="61" spans="1:10" ht="19.5" customHeight="1">
      <c r="A61" s="709"/>
      <c r="B61" s="710">
        <v>92116</v>
      </c>
      <c r="C61" s="711"/>
      <c r="D61" s="689" t="s">
        <v>402</v>
      </c>
      <c r="E61" s="712">
        <f>SUM(E62:E63)</f>
        <v>80000</v>
      </c>
      <c r="F61" s="712">
        <f>SUM(F62:F63)</f>
        <v>80000</v>
      </c>
      <c r="G61" s="707">
        <f>F61/E61*100</f>
        <v>100</v>
      </c>
      <c r="H61" s="712">
        <f>SUM(H62:H63)</f>
        <v>80000</v>
      </c>
      <c r="I61" s="712">
        <f>SUM(I62:I63)</f>
        <v>80000</v>
      </c>
      <c r="J61" s="669">
        <f>I61/H61*100</f>
        <v>100</v>
      </c>
    </row>
    <row r="62" spans="1:10" ht="81.75" customHeight="1">
      <c r="A62" s="709"/>
      <c r="B62" s="713"/>
      <c r="C62" s="714">
        <v>2320</v>
      </c>
      <c r="D62" s="656" t="s">
        <v>568</v>
      </c>
      <c r="E62" s="715">
        <v>80000</v>
      </c>
      <c r="F62" s="715">
        <v>80000</v>
      </c>
      <c r="G62" s="707"/>
      <c r="H62" s="716"/>
      <c r="I62" s="651"/>
      <c r="J62" s="669"/>
    </row>
    <row r="63" spans="1:10" ht="42" customHeight="1">
      <c r="A63" s="717"/>
      <c r="B63" s="718"/>
      <c r="C63" s="626">
        <v>2480</v>
      </c>
      <c r="D63" s="647" t="s">
        <v>614</v>
      </c>
      <c r="E63" s="712"/>
      <c r="F63" s="712"/>
      <c r="G63" s="707"/>
      <c r="H63" s="642">
        <v>80000</v>
      </c>
      <c r="I63" s="719">
        <v>80000</v>
      </c>
      <c r="J63" s="669">
        <f>I63*100/H63</f>
        <v>100</v>
      </c>
    </row>
    <row r="64" spans="1:10" ht="23.25" customHeight="1">
      <c r="A64" s="677" t="s">
        <v>493</v>
      </c>
      <c r="B64" s="678"/>
      <c r="C64" s="678"/>
      <c r="D64" s="680"/>
      <c r="E64" s="720">
        <f>E28+E56+E60</f>
        <v>376000</v>
      </c>
      <c r="F64" s="720">
        <f>F28+F56+F60</f>
        <v>378000</v>
      </c>
      <c r="G64" s="721">
        <f>F64/E64*100</f>
        <v>100.53191489361701</v>
      </c>
      <c r="H64" s="720">
        <f>H28+H56+H60</f>
        <v>376000</v>
      </c>
      <c r="I64" s="720">
        <f>I28+I56+I60</f>
        <v>378000</v>
      </c>
      <c r="J64" s="666">
        <f>I64/H64*100</f>
        <v>100.53191489361701</v>
      </c>
    </row>
    <row r="65" spans="1:10" s="726" customFormat="1" ht="20.25" customHeight="1">
      <c r="A65" s="722" t="s">
        <v>138</v>
      </c>
      <c r="B65" s="678"/>
      <c r="C65" s="678"/>
      <c r="D65" s="723"/>
      <c r="E65" s="724">
        <f>SUM(E27,E64)</f>
        <v>2135013.75</v>
      </c>
      <c r="F65" s="724">
        <f>SUM(F27,F64)</f>
        <v>2128690.75</v>
      </c>
      <c r="G65" s="721">
        <f>F65/E65*100</f>
        <v>99.70384265675104</v>
      </c>
      <c r="H65" s="725">
        <f>SUM(H27,H64)</f>
        <v>2135013.75</v>
      </c>
      <c r="I65" s="725">
        <f>SUM(I27,I64)</f>
        <v>2128690.75</v>
      </c>
      <c r="J65" s="666">
        <f>I65/H65*100</f>
        <v>99.70384265675104</v>
      </c>
    </row>
    <row r="66" spans="4:10" ht="15">
      <c r="D66" s="727"/>
      <c r="E66" s="726"/>
      <c r="F66" s="726"/>
      <c r="G66" s="726"/>
      <c r="H66" s="726"/>
      <c r="I66" s="726"/>
      <c r="J66" s="726"/>
    </row>
    <row r="67" spans="4:10" ht="15">
      <c r="D67" s="727"/>
      <c r="E67" s="726"/>
      <c r="F67" s="726"/>
      <c r="G67" s="726"/>
      <c r="H67" s="726"/>
      <c r="I67" s="726"/>
      <c r="J67" s="726"/>
    </row>
    <row r="68" spans="4:6" ht="12.75">
      <c r="D68" s="727"/>
      <c r="F68" s="695"/>
    </row>
    <row r="69" spans="4:6" ht="12.75">
      <c r="D69" s="727"/>
      <c r="F69" s="695"/>
    </row>
    <row r="70" ht="12.75">
      <c r="D70" s="727"/>
    </row>
    <row r="71" ht="11.25" customHeight="1">
      <c r="D71" s="727"/>
    </row>
    <row r="72" ht="12.75" hidden="1">
      <c r="D72" s="727"/>
    </row>
    <row r="73" ht="12" customHeight="1">
      <c r="D73" s="727"/>
    </row>
    <row r="74" ht="12.75">
      <c r="D74" s="727"/>
    </row>
    <row r="75" ht="12.75">
      <c r="D75" s="727"/>
    </row>
    <row r="76" ht="12.75">
      <c r="D76" s="727"/>
    </row>
    <row r="77" ht="12.75">
      <c r="D77" s="727"/>
    </row>
    <row r="78" ht="12.75">
      <c r="D78" s="727"/>
    </row>
    <row r="79" ht="12.75">
      <c r="D79" s="727"/>
    </row>
    <row r="80" ht="12.75">
      <c r="D80" s="727"/>
    </row>
    <row r="81" ht="12.75">
      <c r="D81" s="727"/>
    </row>
    <row r="82" ht="12.75">
      <c r="D82" s="727"/>
    </row>
    <row r="83" ht="12.75">
      <c r="D83" s="727"/>
    </row>
    <row r="84" ht="12.75">
      <c r="D84" s="727"/>
    </row>
    <row r="85" ht="12.75">
      <c r="D85" s="727"/>
    </row>
    <row r="86" ht="12.75">
      <c r="D86" s="727"/>
    </row>
    <row r="87" ht="12.75">
      <c r="D87" s="727"/>
    </row>
    <row r="88" ht="12.75">
      <c r="D88" s="727"/>
    </row>
    <row r="89" ht="12.75">
      <c r="D89" s="727"/>
    </row>
    <row r="90" ht="12.75">
      <c r="D90" s="727"/>
    </row>
    <row r="91" ht="12.75">
      <c r="D91" s="727"/>
    </row>
    <row r="92" ht="12.75">
      <c r="D92" s="727"/>
    </row>
    <row r="93" ht="12.75">
      <c r="D93" s="727"/>
    </row>
    <row r="94" ht="12.75">
      <c r="D94" s="727"/>
    </row>
    <row r="95" ht="12.75">
      <c r="D95" s="727"/>
    </row>
    <row r="96" ht="12.75">
      <c r="D96" s="727"/>
    </row>
    <row r="97" ht="12.75">
      <c r="D97" s="727"/>
    </row>
    <row r="98" ht="12.75">
      <c r="D98" s="727"/>
    </row>
    <row r="99" ht="12.75">
      <c r="D99" s="727"/>
    </row>
  </sheetData>
  <sheetProtection/>
  <mergeCells count="1">
    <mergeCell ref="A9:D9"/>
  </mergeCells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28125" style="730" customWidth="1"/>
    <col min="2" max="2" width="6.00390625" style="730" customWidth="1"/>
    <col min="3" max="3" width="5.421875" style="730" customWidth="1"/>
    <col min="4" max="4" width="29.140625" style="730" customWidth="1"/>
    <col min="5" max="5" width="14.7109375" style="730" customWidth="1"/>
    <col min="6" max="6" width="17.8515625" style="730" customWidth="1"/>
    <col min="7" max="7" width="18.140625" style="730" customWidth="1"/>
    <col min="8" max="8" width="9.140625" style="730" customWidth="1"/>
    <col min="9" max="9" width="10.00390625" style="730" bestFit="1" customWidth="1"/>
    <col min="10" max="10" width="10.00390625" style="728" bestFit="1" customWidth="1"/>
    <col min="11" max="16384" width="9.140625" style="730" customWidth="1"/>
  </cols>
  <sheetData>
    <row r="1" spans="1:8" ht="12.75">
      <c r="A1" s="728"/>
      <c r="B1" s="728"/>
      <c r="C1" s="728"/>
      <c r="D1" s="728"/>
      <c r="E1" s="729"/>
      <c r="F1" s="729"/>
      <c r="G1" s="729"/>
      <c r="H1" s="729"/>
    </row>
    <row r="2" spans="1:10" s="732" customFormat="1" ht="20.25">
      <c r="A2" s="731"/>
      <c r="B2" s="731"/>
      <c r="C2" s="731"/>
      <c r="D2" s="731"/>
      <c r="F2" s="733" t="s">
        <v>571</v>
      </c>
      <c r="G2" s="610"/>
      <c r="J2" s="731"/>
    </row>
    <row r="3" spans="1:10" s="732" customFormat="1" ht="18.75">
      <c r="A3" s="731"/>
      <c r="B3" s="731"/>
      <c r="C3" s="731"/>
      <c r="D3" s="731"/>
      <c r="E3" s="610"/>
      <c r="F3" s="734" t="s">
        <v>572</v>
      </c>
      <c r="G3" s="735"/>
      <c r="J3" s="731"/>
    </row>
    <row r="4" spans="1:10" s="732" customFormat="1" ht="18.75">
      <c r="A4" s="731"/>
      <c r="B4" s="731"/>
      <c r="C4" s="731"/>
      <c r="D4" s="736"/>
      <c r="E4" s="610"/>
      <c r="F4" s="734" t="s">
        <v>589</v>
      </c>
      <c r="G4" s="735"/>
      <c r="J4" s="731"/>
    </row>
    <row r="5" spans="1:10" s="732" customFormat="1" ht="18.75">
      <c r="A5" s="731"/>
      <c r="B5" s="731"/>
      <c r="C5" s="731"/>
      <c r="D5" s="737"/>
      <c r="E5" s="610"/>
      <c r="F5" s="734" t="s">
        <v>573</v>
      </c>
      <c r="G5" s="735"/>
      <c r="J5" s="731"/>
    </row>
    <row r="6" spans="1:10" s="732" customFormat="1" ht="18.75">
      <c r="A6" s="731"/>
      <c r="B6" s="731"/>
      <c r="C6" s="731"/>
      <c r="D6" s="731"/>
      <c r="E6" s="610"/>
      <c r="F6" s="610"/>
      <c r="G6" s="610"/>
      <c r="J6" s="731"/>
    </row>
    <row r="7" spans="1:8" ht="12.75">
      <c r="A7" s="728"/>
      <c r="B7" s="728"/>
      <c r="C7" s="728"/>
      <c r="D7" s="728"/>
      <c r="H7" s="729"/>
    </row>
    <row r="8" spans="1:10" s="732" customFormat="1" ht="18.75">
      <c r="A8" s="738" t="s">
        <v>574</v>
      </c>
      <c r="B8" s="619"/>
      <c r="C8" s="619"/>
      <c r="D8" s="619"/>
      <c r="E8" s="615"/>
      <c r="F8" s="615"/>
      <c r="G8" s="615"/>
      <c r="H8" s="739"/>
      <c r="J8" s="731"/>
    </row>
    <row r="9" spans="1:10" s="732" customFormat="1" ht="18.75">
      <c r="A9" s="738" t="s">
        <v>575</v>
      </c>
      <c r="B9" s="619"/>
      <c r="C9" s="619"/>
      <c r="D9" s="619"/>
      <c r="E9" s="615"/>
      <c r="F9" s="615"/>
      <c r="G9" s="615"/>
      <c r="H9" s="739"/>
      <c r="J9" s="731"/>
    </row>
    <row r="10" spans="1:10" s="732" customFormat="1" ht="18.75">
      <c r="A10" s="740" t="s">
        <v>262</v>
      </c>
      <c r="B10" s="741"/>
      <c r="C10" s="622"/>
      <c r="D10" s="742"/>
      <c r="E10" s="615"/>
      <c r="F10" s="615"/>
      <c r="G10" s="615"/>
      <c r="H10" s="739"/>
      <c r="J10" s="731"/>
    </row>
    <row r="11" spans="1:10" s="732" customFormat="1" ht="12.75">
      <c r="A11" s="743"/>
      <c r="B11" s="744"/>
      <c r="C11" s="745"/>
      <c r="D11" s="746"/>
      <c r="E11" s="739"/>
      <c r="F11" s="739"/>
      <c r="G11" s="739"/>
      <c r="H11" s="739"/>
      <c r="J11" s="731"/>
    </row>
    <row r="12" spans="1:10" s="732" customFormat="1" ht="12.75">
      <c r="A12" s="745" t="s">
        <v>21</v>
      </c>
      <c r="B12" s="744"/>
      <c r="C12" s="745"/>
      <c r="D12" s="746"/>
      <c r="E12" s="747"/>
      <c r="F12" s="747"/>
      <c r="G12" s="748" t="s">
        <v>576</v>
      </c>
      <c r="H12" s="739"/>
      <c r="J12" s="731"/>
    </row>
    <row r="13" spans="1:10" s="732" customFormat="1" ht="12.75">
      <c r="A13" s="745"/>
      <c r="B13" s="744"/>
      <c r="C13" s="745"/>
      <c r="D13" s="746"/>
      <c r="E13" s="747"/>
      <c r="F13" s="747"/>
      <c r="G13" s="748"/>
      <c r="H13" s="739"/>
      <c r="J13" s="731"/>
    </row>
    <row r="14" spans="1:10" s="732" customFormat="1" ht="12.75">
      <c r="A14" s="749" t="s">
        <v>21</v>
      </c>
      <c r="B14" s="749"/>
      <c r="C14" s="749"/>
      <c r="D14" s="750"/>
      <c r="E14" s="751" t="s">
        <v>21</v>
      </c>
      <c r="F14" s="752" t="s">
        <v>708</v>
      </c>
      <c r="G14" s="753" t="s">
        <v>21</v>
      </c>
      <c r="H14" s="754"/>
      <c r="J14" s="731"/>
    </row>
    <row r="15" spans="1:10" s="732" customFormat="1" ht="84.75" customHeight="1">
      <c r="A15" s="755" t="s">
        <v>23</v>
      </c>
      <c r="B15" s="755" t="s">
        <v>24</v>
      </c>
      <c r="C15" s="755" t="s">
        <v>393</v>
      </c>
      <c r="D15" s="756" t="s">
        <v>120</v>
      </c>
      <c r="E15" s="757" t="s">
        <v>577</v>
      </c>
      <c r="F15" s="758" t="s">
        <v>578</v>
      </c>
      <c r="G15" s="759" t="s">
        <v>579</v>
      </c>
      <c r="H15" s="760"/>
      <c r="J15" s="731"/>
    </row>
    <row r="16" spans="1:10" s="732" customFormat="1" ht="18.75" customHeight="1">
      <c r="A16" s="1251" t="s">
        <v>425</v>
      </c>
      <c r="B16" s="1252"/>
      <c r="C16" s="1252"/>
      <c r="D16" s="1253"/>
      <c r="E16" s="761">
        <f>E17</f>
        <v>628300</v>
      </c>
      <c r="F16" s="761">
        <f>F17</f>
        <v>443310</v>
      </c>
      <c r="G16" s="761">
        <f>G17</f>
        <v>184990</v>
      </c>
      <c r="H16" s="762"/>
      <c r="J16" s="731"/>
    </row>
    <row r="17" spans="1:10" s="732" customFormat="1" ht="21" customHeight="1">
      <c r="A17" s="763">
        <v>852</v>
      </c>
      <c r="B17" s="764" t="s">
        <v>21</v>
      </c>
      <c r="C17" s="764"/>
      <c r="D17" s="765" t="s">
        <v>378</v>
      </c>
      <c r="E17" s="766">
        <f>E18+E20+E22</f>
        <v>628300</v>
      </c>
      <c r="F17" s="766">
        <f>F18+F20+F22</f>
        <v>443310</v>
      </c>
      <c r="G17" s="766">
        <f>G18+G20+G22</f>
        <v>184990</v>
      </c>
      <c r="H17" s="767"/>
      <c r="I17" s="768"/>
      <c r="J17" s="731"/>
    </row>
    <row r="18" spans="1:11" s="775" customFormat="1" ht="21" customHeight="1">
      <c r="A18" s="769"/>
      <c r="B18" s="770">
        <v>85203</v>
      </c>
      <c r="C18" s="771"/>
      <c r="D18" s="772" t="s">
        <v>429</v>
      </c>
      <c r="E18" s="773">
        <f>SUM(E19:E19)</f>
        <v>2000</v>
      </c>
      <c r="F18" s="773">
        <f>SUM(F19:F19)</f>
        <v>1900</v>
      </c>
      <c r="G18" s="773">
        <f>SUM(G19:G19)</f>
        <v>100</v>
      </c>
      <c r="H18" s="774"/>
      <c r="J18" s="776"/>
      <c r="K18" s="777"/>
    </row>
    <row r="19" spans="1:11" s="785" customFormat="1" ht="18" customHeight="1">
      <c r="A19" s="778"/>
      <c r="B19" s="779"/>
      <c r="C19" s="780" t="s">
        <v>430</v>
      </c>
      <c r="D19" s="781" t="s">
        <v>431</v>
      </c>
      <c r="E19" s="782">
        <v>2000</v>
      </c>
      <c r="F19" s="782">
        <f>E19-G19</f>
        <v>1900</v>
      </c>
      <c r="G19" s="783">
        <f>E19*5/100</f>
        <v>100</v>
      </c>
      <c r="H19" s="784"/>
      <c r="J19" s="776"/>
      <c r="K19" s="777"/>
    </row>
    <row r="20" spans="1:11" s="775" customFormat="1" ht="54" customHeight="1">
      <c r="A20" s="786"/>
      <c r="B20" s="771">
        <v>85212</v>
      </c>
      <c r="C20" s="787"/>
      <c r="D20" s="788" t="s">
        <v>542</v>
      </c>
      <c r="E20" s="789">
        <f>E21</f>
        <v>614300</v>
      </c>
      <c r="F20" s="789">
        <f>F21</f>
        <v>430010</v>
      </c>
      <c r="G20" s="789">
        <f>G21</f>
        <v>184290</v>
      </c>
      <c r="H20" s="774"/>
      <c r="J20" s="776"/>
      <c r="K20" s="777"/>
    </row>
    <row r="21" spans="1:11" s="785" customFormat="1" ht="42.75" customHeight="1">
      <c r="A21" s="778"/>
      <c r="B21" s="779"/>
      <c r="C21" s="780" t="s">
        <v>580</v>
      </c>
      <c r="D21" s="781" t="s">
        <v>581</v>
      </c>
      <c r="E21" s="782">
        <v>614300</v>
      </c>
      <c r="F21" s="782">
        <f>E21-G21</f>
        <v>430010</v>
      </c>
      <c r="G21" s="783">
        <f>E21*30/100</f>
        <v>184290</v>
      </c>
      <c r="H21" s="784"/>
      <c r="J21" s="776"/>
      <c r="K21" s="777"/>
    </row>
    <row r="22" spans="1:11" s="732" customFormat="1" ht="30" customHeight="1">
      <c r="A22" s="790"/>
      <c r="B22" s="791">
        <v>85228</v>
      </c>
      <c r="C22" s="792" t="s">
        <v>21</v>
      </c>
      <c r="D22" s="772" t="s">
        <v>462</v>
      </c>
      <c r="E22" s="773">
        <f>SUM(E23:E23)</f>
        <v>12000</v>
      </c>
      <c r="F22" s="773">
        <f>SUM(F23:F23)</f>
        <v>11400</v>
      </c>
      <c r="G22" s="773">
        <f>SUM(G23:G23)</f>
        <v>600</v>
      </c>
      <c r="H22" s="793"/>
      <c r="J22" s="776"/>
      <c r="K22" s="777"/>
    </row>
    <row r="23" spans="1:11" s="785" customFormat="1" ht="21" customHeight="1">
      <c r="A23" s="794"/>
      <c r="B23" s="795"/>
      <c r="C23" s="796" t="s">
        <v>430</v>
      </c>
      <c r="D23" s="797" t="s">
        <v>431</v>
      </c>
      <c r="E23" s="782">
        <v>12000</v>
      </c>
      <c r="F23" s="782">
        <f>E23-G23</f>
        <v>11400</v>
      </c>
      <c r="G23" s="783">
        <f>E23*5/100</f>
        <v>600</v>
      </c>
      <c r="H23" s="798"/>
      <c r="J23" s="776"/>
      <c r="K23" s="777"/>
    </row>
    <row r="24" spans="1:11" s="732" customFormat="1" ht="22.5" customHeight="1">
      <c r="A24" s="1251" t="s">
        <v>673</v>
      </c>
      <c r="B24" s="1252"/>
      <c r="C24" s="1252"/>
      <c r="D24" s="1253"/>
      <c r="E24" s="761">
        <f>E25+E32</f>
        <v>3201909</v>
      </c>
      <c r="F24" s="761">
        <f>F25+F32</f>
        <v>2406613.55</v>
      </c>
      <c r="G24" s="761">
        <f>G25+G32</f>
        <v>795295.45</v>
      </c>
      <c r="H24" s="762"/>
      <c r="J24" s="776"/>
      <c r="K24" s="777"/>
    </row>
    <row r="25" spans="1:11" s="732" customFormat="1" ht="22.5" customHeight="1">
      <c r="A25" s="763">
        <v>700</v>
      </c>
      <c r="B25" s="764"/>
      <c r="C25" s="764"/>
      <c r="D25" s="799" t="s">
        <v>370</v>
      </c>
      <c r="E25" s="766">
        <f>SUM(E26)</f>
        <v>3176000</v>
      </c>
      <c r="F25" s="766">
        <f>SUM(F26)</f>
        <v>2382000</v>
      </c>
      <c r="G25" s="766">
        <f>SUM(G26)</f>
        <v>794000</v>
      </c>
      <c r="H25" s="767"/>
      <c r="J25" s="776"/>
      <c r="K25" s="777"/>
    </row>
    <row r="26" spans="1:11" s="732" customFormat="1" ht="29.25" customHeight="1">
      <c r="A26" s="800"/>
      <c r="B26" s="792">
        <v>70005</v>
      </c>
      <c r="C26" s="792"/>
      <c r="D26" s="801" t="s">
        <v>142</v>
      </c>
      <c r="E26" s="773">
        <f>SUM(E27:E31)</f>
        <v>3176000</v>
      </c>
      <c r="F26" s="773">
        <f>SUM(F27:F31)</f>
        <v>2382000</v>
      </c>
      <c r="G26" s="773">
        <f>SUM(G27:G31)</f>
        <v>794000</v>
      </c>
      <c r="H26" s="793"/>
      <c r="I26" s="768"/>
      <c r="J26" s="776"/>
      <c r="K26" s="777"/>
    </row>
    <row r="27" spans="1:11" s="785" customFormat="1" ht="42.75" customHeight="1">
      <c r="A27" s="794"/>
      <c r="B27" s="802"/>
      <c r="C27" s="803" t="s">
        <v>432</v>
      </c>
      <c r="D27" s="804" t="s">
        <v>582</v>
      </c>
      <c r="E27" s="782">
        <v>2650000</v>
      </c>
      <c r="F27" s="782">
        <f>E27-G27</f>
        <v>1987500</v>
      </c>
      <c r="G27" s="783">
        <f>E27*25/100</f>
        <v>662500</v>
      </c>
      <c r="H27" s="798"/>
      <c r="I27" s="777"/>
      <c r="J27" s="776"/>
      <c r="K27" s="777"/>
    </row>
    <row r="28" spans="1:11" s="785" customFormat="1" ht="87.75" customHeight="1">
      <c r="A28" s="794"/>
      <c r="B28" s="802"/>
      <c r="C28" s="803" t="s">
        <v>433</v>
      </c>
      <c r="D28" s="804" t="s">
        <v>89</v>
      </c>
      <c r="E28" s="782">
        <v>8000</v>
      </c>
      <c r="F28" s="782">
        <f>E28-G28</f>
        <v>6000</v>
      </c>
      <c r="G28" s="783">
        <f>E28*25/100</f>
        <v>2000</v>
      </c>
      <c r="H28" s="798"/>
      <c r="I28" s="777"/>
      <c r="J28" s="776"/>
      <c r="K28" s="777"/>
    </row>
    <row r="29" spans="1:11" s="785" customFormat="1" ht="54.75" customHeight="1">
      <c r="A29" s="794"/>
      <c r="B29" s="802"/>
      <c r="C29" s="803" t="s">
        <v>90</v>
      </c>
      <c r="D29" s="804" t="s">
        <v>91</v>
      </c>
      <c r="E29" s="782">
        <v>50000</v>
      </c>
      <c r="F29" s="782">
        <f>E29-G29</f>
        <v>37500</v>
      </c>
      <c r="G29" s="783">
        <f>E29*25/100</f>
        <v>12500</v>
      </c>
      <c r="H29" s="798"/>
      <c r="I29" s="777"/>
      <c r="J29" s="776"/>
      <c r="K29" s="777"/>
    </row>
    <row r="30" spans="1:11" s="785" customFormat="1" ht="42" customHeight="1">
      <c r="A30" s="794"/>
      <c r="B30" s="802"/>
      <c r="C30" s="803" t="s">
        <v>92</v>
      </c>
      <c r="D30" s="804" t="s">
        <v>93</v>
      </c>
      <c r="E30" s="782">
        <v>450000</v>
      </c>
      <c r="F30" s="782">
        <f>E30-G30</f>
        <v>337500</v>
      </c>
      <c r="G30" s="783">
        <f>E30*25/100</f>
        <v>112500</v>
      </c>
      <c r="H30" s="798"/>
      <c r="I30" s="777"/>
      <c r="J30" s="776"/>
      <c r="K30" s="777"/>
    </row>
    <row r="31" spans="1:11" s="785" customFormat="1" ht="24.75" customHeight="1">
      <c r="A31" s="794"/>
      <c r="B31" s="802"/>
      <c r="C31" s="803" t="s">
        <v>131</v>
      </c>
      <c r="D31" s="804" t="s">
        <v>342</v>
      </c>
      <c r="E31" s="782">
        <v>18000</v>
      </c>
      <c r="F31" s="782">
        <f>E31-G31</f>
        <v>13500</v>
      </c>
      <c r="G31" s="783">
        <f>E31*25/100</f>
        <v>4500</v>
      </c>
      <c r="H31" s="798"/>
      <c r="I31" s="777"/>
      <c r="J31" s="776"/>
      <c r="K31" s="777"/>
    </row>
    <row r="32" spans="1:11" s="732" customFormat="1" ht="27" customHeight="1">
      <c r="A32" s="763">
        <v>754</v>
      </c>
      <c r="B32" s="764"/>
      <c r="C32" s="764"/>
      <c r="D32" s="799" t="s">
        <v>145</v>
      </c>
      <c r="E32" s="766">
        <f>SUM(E33)</f>
        <v>25909</v>
      </c>
      <c r="F32" s="766">
        <f>SUM(F33)</f>
        <v>24613.55</v>
      </c>
      <c r="G32" s="766">
        <f>SUM(G33)</f>
        <v>1295.45</v>
      </c>
      <c r="H32" s="805"/>
      <c r="I32" s="768"/>
      <c r="J32" s="776"/>
      <c r="K32" s="777"/>
    </row>
    <row r="33" spans="1:11" s="732" customFormat="1" ht="27" customHeight="1">
      <c r="A33" s="800"/>
      <c r="B33" s="791">
        <v>75411</v>
      </c>
      <c r="C33" s="792"/>
      <c r="D33" s="801" t="s">
        <v>355</v>
      </c>
      <c r="E33" s="773">
        <f>SUM(E34:E36)</f>
        <v>25909</v>
      </c>
      <c r="F33" s="773">
        <f>SUM(F34:F36)</f>
        <v>24613.55</v>
      </c>
      <c r="G33" s="773">
        <f>SUM(G34:G36)</f>
        <v>1295.45</v>
      </c>
      <c r="H33" s="805"/>
      <c r="I33" s="768"/>
      <c r="J33" s="776"/>
      <c r="K33" s="777"/>
    </row>
    <row r="34" spans="1:11" s="732" customFormat="1" ht="20.25" customHeight="1">
      <c r="A34" s="806"/>
      <c r="B34" s="807"/>
      <c r="C34" s="808" t="s">
        <v>427</v>
      </c>
      <c r="D34" s="781" t="s">
        <v>428</v>
      </c>
      <c r="E34" s="809">
        <v>88</v>
      </c>
      <c r="F34" s="809">
        <f>E34-G34</f>
        <v>83.6</v>
      </c>
      <c r="G34" s="783">
        <f>E34*5/100</f>
        <v>4.4</v>
      </c>
      <c r="H34" s="805"/>
      <c r="J34" s="776"/>
      <c r="K34" s="777"/>
    </row>
    <row r="35" spans="1:11" s="732" customFormat="1" ht="85.5" customHeight="1">
      <c r="A35" s="806"/>
      <c r="B35" s="810"/>
      <c r="C35" s="811" t="s">
        <v>433</v>
      </c>
      <c r="D35" s="797" t="s">
        <v>89</v>
      </c>
      <c r="E35" s="809">
        <v>25761</v>
      </c>
      <c r="F35" s="809">
        <f>E35-G35</f>
        <v>24472.95</v>
      </c>
      <c r="G35" s="783">
        <f>E35*5/100</f>
        <v>1288.05</v>
      </c>
      <c r="H35" s="805"/>
      <c r="J35" s="776"/>
      <c r="K35" s="777"/>
    </row>
    <row r="36" spans="1:11" s="785" customFormat="1" ht="18.75" customHeight="1">
      <c r="A36" s="794"/>
      <c r="B36" s="802"/>
      <c r="C36" s="796" t="s">
        <v>94</v>
      </c>
      <c r="D36" s="797" t="s">
        <v>95</v>
      </c>
      <c r="E36" s="809">
        <v>60</v>
      </c>
      <c r="F36" s="809">
        <f>E36-G36</f>
        <v>57</v>
      </c>
      <c r="G36" s="783">
        <f>E36*5/100</f>
        <v>3</v>
      </c>
      <c r="H36" s="798"/>
      <c r="J36" s="776"/>
      <c r="K36" s="777"/>
    </row>
    <row r="37" spans="1:11" s="732" customFormat="1" ht="27" customHeight="1">
      <c r="A37" s="1254" t="s">
        <v>137</v>
      </c>
      <c r="B37" s="1255"/>
      <c r="C37" s="1255"/>
      <c r="D37" s="1256"/>
      <c r="E37" s="766">
        <f>E24+E16</f>
        <v>3830209</v>
      </c>
      <c r="F37" s="766">
        <f>F24+F16</f>
        <v>2849923.55</v>
      </c>
      <c r="G37" s="766">
        <f>G24+G16</f>
        <v>980285.45</v>
      </c>
      <c r="H37" s="767"/>
      <c r="I37" s="768"/>
      <c r="J37" s="776"/>
      <c r="K37" s="777"/>
    </row>
    <row r="38" s="732" customFormat="1" ht="12.75">
      <c r="J38" s="731"/>
    </row>
    <row r="39" s="732" customFormat="1" ht="12.75">
      <c r="J39" s="731"/>
    </row>
    <row r="40" s="732" customFormat="1" ht="12.75">
      <c r="J40" s="731"/>
    </row>
    <row r="41" s="732" customFormat="1" ht="12.75">
      <c r="J41" s="731"/>
    </row>
    <row r="42" s="732" customFormat="1" ht="12.75">
      <c r="J42" s="731"/>
    </row>
    <row r="43" s="732" customFormat="1" ht="12.75">
      <c r="J43" s="731"/>
    </row>
    <row r="44" s="732" customFormat="1" ht="12.75">
      <c r="J44" s="731"/>
    </row>
    <row r="45" s="732" customFormat="1" ht="12.75">
      <c r="J45" s="731"/>
    </row>
    <row r="48" spans="1:8" ht="12.75">
      <c r="A48" s="728"/>
      <c r="B48" s="728"/>
      <c r="C48" s="728"/>
      <c r="D48" s="728"/>
      <c r="E48" s="729"/>
      <c r="F48" s="729"/>
      <c r="G48" s="729"/>
      <c r="H48" s="729"/>
    </row>
    <row r="49" spans="1:7" ht="15">
      <c r="A49" s="728"/>
      <c r="B49" s="728"/>
      <c r="C49" s="728"/>
      <c r="D49" s="728"/>
      <c r="E49" s="812" t="s">
        <v>21</v>
      </c>
      <c r="F49" s="812"/>
      <c r="G49" s="812"/>
    </row>
    <row r="50" spans="1:7" ht="12.75">
      <c r="A50" s="728"/>
      <c r="B50" s="728"/>
      <c r="C50" s="728"/>
      <c r="D50" s="728"/>
      <c r="E50" s="813" t="s">
        <v>21</v>
      </c>
      <c r="F50" s="813"/>
      <c r="G50" s="813"/>
    </row>
    <row r="51" spans="1:7" ht="12.75">
      <c r="A51" s="728"/>
      <c r="B51" s="728"/>
      <c r="C51" s="728"/>
      <c r="D51" s="728"/>
      <c r="E51" s="813" t="s">
        <v>21</v>
      </c>
      <c r="F51" s="813"/>
      <c r="G51" s="813"/>
    </row>
    <row r="52" spans="1:7" ht="12.75">
      <c r="A52" s="728"/>
      <c r="B52" s="728"/>
      <c r="C52" s="728"/>
      <c r="D52" s="728"/>
      <c r="E52" s="813" t="s">
        <v>21</v>
      </c>
      <c r="F52" s="813"/>
      <c r="G52" s="813"/>
    </row>
    <row r="53" spans="1:7" ht="12.75">
      <c r="A53" s="728"/>
      <c r="B53" s="728"/>
      <c r="C53" s="728"/>
      <c r="D53" s="728"/>
      <c r="E53" s="813"/>
      <c r="F53" s="813"/>
      <c r="G53" s="813"/>
    </row>
    <row r="54" spans="5:7" ht="12.75">
      <c r="E54" s="813"/>
      <c r="F54" s="813"/>
      <c r="G54" s="813"/>
    </row>
    <row r="55" spans="5:7" ht="12.75">
      <c r="E55" s="813"/>
      <c r="F55" s="813"/>
      <c r="G55" s="813"/>
    </row>
    <row r="56" spans="5:7" ht="12.75">
      <c r="E56" s="813"/>
      <c r="F56" s="813"/>
      <c r="G56" s="813"/>
    </row>
    <row r="57" spans="5:7" ht="12.75">
      <c r="E57" s="813"/>
      <c r="F57" s="813"/>
      <c r="G57" s="813"/>
    </row>
    <row r="58" spans="5:7" ht="12.75">
      <c r="E58" s="813"/>
      <c r="F58" s="813"/>
      <c r="G58" s="813"/>
    </row>
    <row r="59" spans="5:7" ht="12.75">
      <c r="E59" s="813"/>
      <c r="F59" s="813"/>
      <c r="G59" s="813"/>
    </row>
    <row r="60" spans="5:7" ht="12.75">
      <c r="E60" s="813"/>
      <c r="F60" s="813"/>
      <c r="G60" s="813"/>
    </row>
    <row r="61" spans="5:7" ht="12.75">
      <c r="E61" s="813"/>
      <c r="F61" s="813"/>
      <c r="G61" s="813"/>
    </row>
    <row r="62" spans="5:7" ht="12.75">
      <c r="E62" s="813"/>
      <c r="F62" s="813"/>
      <c r="G62" s="813"/>
    </row>
    <row r="63" spans="5:7" ht="12.75">
      <c r="E63" s="813"/>
      <c r="F63" s="813"/>
      <c r="G63" s="813"/>
    </row>
    <row r="64" spans="5:7" ht="12.75">
      <c r="E64" s="813"/>
      <c r="F64" s="813"/>
      <c r="G64" s="813"/>
    </row>
  </sheetData>
  <sheetProtection/>
  <mergeCells count="3">
    <mergeCell ref="A16:D16"/>
    <mergeCell ref="A24:D24"/>
    <mergeCell ref="A37:D37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00390625" style="612" customWidth="1"/>
    <col min="2" max="2" width="6.8515625" style="612" customWidth="1"/>
    <col min="3" max="3" width="4.8515625" style="612" customWidth="1"/>
    <col min="4" max="4" width="21.00390625" style="620" customWidth="1"/>
    <col min="5" max="5" width="11.7109375" style="612" customWidth="1"/>
    <col min="6" max="6" width="10.421875" style="612" customWidth="1"/>
    <col min="7" max="7" width="7.140625" style="612" customWidth="1"/>
    <col min="8" max="8" width="11.7109375" style="612" customWidth="1"/>
    <col min="9" max="9" width="12.421875" style="619" customWidth="1"/>
    <col min="10" max="10" width="6.7109375" style="612" customWidth="1"/>
    <col min="11" max="16384" width="9.140625" style="612" customWidth="1"/>
  </cols>
  <sheetData>
    <row r="2" spans="5:11" ht="19.5">
      <c r="E2" s="814"/>
      <c r="F2" s="814"/>
      <c r="G2" s="814"/>
      <c r="H2" s="611" t="s">
        <v>583</v>
      </c>
      <c r="J2" s="610"/>
      <c r="K2" s="610"/>
    </row>
    <row r="3" spans="5:11" ht="18.75">
      <c r="E3" s="814"/>
      <c r="F3" s="814"/>
      <c r="G3" s="814"/>
      <c r="H3" s="613" t="s">
        <v>588</v>
      </c>
      <c r="J3" s="610"/>
      <c r="K3" s="610"/>
    </row>
    <row r="4" spans="5:11" ht="18.75">
      <c r="E4" s="814"/>
      <c r="F4" s="814"/>
      <c r="G4" s="814"/>
      <c r="H4" s="613" t="s">
        <v>589</v>
      </c>
      <c r="J4" s="610"/>
      <c r="K4" s="610"/>
    </row>
    <row r="5" spans="5:11" ht="18.75">
      <c r="E5" s="814"/>
      <c r="F5" s="814"/>
      <c r="G5" s="814"/>
      <c r="H5" s="613" t="s">
        <v>560</v>
      </c>
      <c r="J5" s="610"/>
      <c r="K5" s="610"/>
    </row>
    <row r="6" spans="5:11" ht="20.25">
      <c r="E6" s="814"/>
      <c r="F6" s="814"/>
      <c r="G6" s="814"/>
      <c r="H6" s="614"/>
      <c r="J6" s="610"/>
      <c r="K6" s="610"/>
    </row>
    <row r="7" spans="5:11" ht="20.25">
      <c r="E7" s="814"/>
      <c r="F7" s="814"/>
      <c r="G7" s="814"/>
      <c r="H7" s="614"/>
      <c r="J7" s="610"/>
      <c r="K7" s="610"/>
    </row>
    <row r="8" spans="5:11" ht="20.25">
      <c r="E8" s="814"/>
      <c r="F8" s="814"/>
      <c r="G8" s="814"/>
      <c r="H8" s="614"/>
      <c r="J8" s="610"/>
      <c r="K8" s="610"/>
    </row>
    <row r="9" spans="1:9" ht="12.75">
      <c r="A9" s="619"/>
      <c r="B9" s="619"/>
      <c r="C9" s="619"/>
      <c r="E9" s="615"/>
      <c r="F9" s="615"/>
      <c r="G9" s="615"/>
      <c r="H9" s="815"/>
      <c r="I9" s="816"/>
    </row>
    <row r="10" spans="1:8" ht="15.75">
      <c r="A10" s="621" t="s">
        <v>584</v>
      </c>
      <c r="B10" s="619"/>
      <c r="C10" s="619"/>
      <c r="E10" s="615"/>
      <c r="F10" s="615"/>
      <c r="G10" s="615"/>
      <c r="H10" s="615"/>
    </row>
    <row r="11" spans="1:8" ht="15.75">
      <c r="A11" s="621" t="s">
        <v>585</v>
      </c>
      <c r="B11" s="619"/>
      <c r="C11" s="619"/>
      <c r="E11" s="615"/>
      <c r="F11" s="615"/>
      <c r="G11" s="615"/>
      <c r="H11" s="615"/>
    </row>
    <row r="12" spans="1:8" ht="15.75">
      <c r="A12" s="621"/>
      <c r="B12" s="619"/>
      <c r="C12" s="619"/>
      <c r="E12" s="615"/>
      <c r="F12" s="615"/>
      <c r="G12" s="615"/>
      <c r="H12" s="615"/>
    </row>
    <row r="13" spans="1:8" ht="12.75">
      <c r="A13" s="685"/>
      <c r="B13" s="619"/>
      <c r="C13" s="619"/>
      <c r="E13" s="615"/>
      <c r="F13" s="615"/>
      <c r="G13" s="615"/>
      <c r="H13" s="615"/>
    </row>
    <row r="14" spans="1:9" ht="16.5" customHeight="1">
      <c r="A14" s="622" t="s">
        <v>21</v>
      </c>
      <c r="B14" s="622"/>
      <c r="C14" s="622"/>
      <c r="D14" s="623"/>
      <c r="E14" s="624"/>
      <c r="F14" s="624"/>
      <c r="G14" s="624"/>
      <c r="H14" s="624"/>
      <c r="I14" s="815" t="s">
        <v>22</v>
      </c>
    </row>
    <row r="15" spans="1:10" ht="69.75" customHeight="1">
      <c r="A15" s="661" t="s">
        <v>23</v>
      </c>
      <c r="B15" s="661" t="s">
        <v>24</v>
      </c>
      <c r="C15" s="661" t="s">
        <v>393</v>
      </c>
      <c r="D15" s="817" t="s">
        <v>120</v>
      </c>
      <c r="E15" s="628" t="s">
        <v>563</v>
      </c>
      <c r="F15" s="628" t="s">
        <v>564</v>
      </c>
      <c r="G15" s="629" t="s">
        <v>397</v>
      </c>
      <c r="H15" s="628" t="s">
        <v>565</v>
      </c>
      <c r="I15" s="628" t="s">
        <v>110</v>
      </c>
      <c r="J15" s="630" t="s">
        <v>397</v>
      </c>
    </row>
    <row r="16" spans="1:10" s="726" customFormat="1" ht="21" customHeight="1">
      <c r="A16" s="818">
        <v>750</v>
      </c>
      <c r="B16" s="819"/>
      <c r="C16" s="818"/>
      <c r="D16" s="820" t="s">
        <v>144</v>
      </c>
      <c r="E16" s="635">
        <f>SUM(E17)</f>
        <v>3000</v>
      </c>
      <c r="F16" s="635">
        <f>SUM(F17)</f>
        <v>3000</v>
      </c>
      <c r="G16" s="821">
        <f>F16/E16*100</f>
        <v>100</v>
      </c>
      <c r="H16" s="635">
        <f>SUM(H17)</f>
        <v>3000</v>
      </c>
      <c r="I16" s="635">
        <f>SUM(I17)</f>
        <v>3000</v>
      </c>
      <c r="J16" s="721">
        <f>I16/H16*100</f>
        <v>100</v>
      </c>
    </row>
    <row r="17" spans="1:10" s="726" customFormat="1" ht="19.5" customHeight="1">
      <c r="A17" s="822"/>
      <c r="B17" s="823">
        <v>75045</v>
      </c>
      <c r="C17" s="711"/>
      <c r="D17" s="824" t="s">
        <v>446</v>
      </c>
      <c r="E17" s="712">
        <f>SUM(E18:E19)</f>
        <v>3000</v>
      </c>
      <c r="F17" s="712">
        <f>SUM(F18:F19)</f>
        <v>3000</v>
      </c>
      <c r="G17" s="825">
        <f>F17/E17*100</f>
        <v>100</v>
      </c>
      <c r="H17" s="712">
        <f>H18+H19</f>
        <v>3000</v>
      </c>
      <c r="I17" s="712">
        <f>I18+I19</f>
        <v>3000</v>
      </c>
      <c r="J17" s="826">
        <f>I17/H17*100</f>
        <v>100</v>
      </c>
    </row>
    <row r="18" spans="1:10" ht="75" customHeight="1">
      <c r="A18" s="822"/>
      <c r="B18" s="827"/>
      <c r="C18" s="626">
        <v>2120</v>
      </c>
      <c r="D18" s="647" t="s">
        <v>526</v>
      </c>
      <c r="E18" s="828">
        <v>3000</v>
      </c>
      <c r="F18" s="828">
        <v>3000</v>
      </c>
      <c r="G18" s="821"/>
      <c r="H18" s="829"/>
      <c r="I18" s="830"/>
      <c r="J18" s="826"/>
    </row>
    <row r="19" spans="1:10" ht="19.5" customHeight="1">
      <c r="A19" s="831"/>
      <c r="B19" s="832"/>
      <c r="C19" s="714">
        <v>4300</v>
      </c>
      <c r="D19" s="656" t="s">
        <v>408</v>
      </c>
      <c r="E19" s="833"/>
      <c r="F19" s="833"/>
      <c r="G19" s="821"/>
      <c r="H19" s="833">
        <v>3000</v>
      </c>
      <c r="I19" s="833">
        <v>3000</v>
      </c>
      <c r="J19" s="834">
        <f>I19*100/H19</f>
        <v>100</v>
      </c>
    </row>
    <row r="20" spans="1:10" s="838" customFormat="1" ht="21.75" customHeight="1">
      <c r="A20" s="835" t="s">
        <v>493</v>
      </c>
      <c r="B20" s="836"/>
      <c r="C20" s="708"/>
      <c r="D20" s="837"/>
      <c r="E20" s="725">
        <f>SUM(E16,)</f>
        <v>3000</v>
      </c>
      <c r="F20" s="725">
        <f>SUM(F16,)</f>
        <v>3000</v>
      </c>
      <c r="G20" s="821">
        <f>F20/E20*100</f>
        <v>100</v>
      </c>
      <c r="H20" s="725">
        <f>SUM(H16,)</f>
        <v>3000</v>
      </c>
      <c r="I20" s="725">
        <f>SUM(I16,)</f>
        <v>3000</v>
      </c>
      <c r="J20" s="721">
        <f>I20/H20*100</f>
        <v>100</v>
      </c>
    </row>
    <row r="21" spans="1:10" s="839" customFormat="1" ht="26.25" customHeight="1">
      <c r="A21" s="1257" t="s">
        <v>138</v>
      </c>
      <c r="B21" s="1258"/>
      <c r="C21" s="1258"/>
      <c r="D21" s="1259"/>
      <c r="E21" s="725">
        <f>E20</f>
        <v>3000</v>
      </c>
      <c r="F21" s="725">
        <f>F20</f>
        <v>3000</v>
      </c>
      <c r="G21" s="821">
        <f>F21/E21*100</f>
        <v>100</v>
      </c>
      <c r="H21" s="725">
        <f>H20</f>
        <v>3000</v>
      </c>
      <c r="I21" s="725">
        <f>I20</f>
        <v>3000</v>
      </c>
      <c r="J21" s="721">
        <f>I21/H21*100</f>
        <v>100</v>
      </c>
    </row>
    <row r="22" spans="1:10" ht="12.75">
      <c r="A22" s="840"/>
      <c r="B22" s="840"/>
      <c r="C22" s="841"/>
      <c r="D22" s="842"/>
      <c r="E22" s="840"/>
      <c r="F22" s="840"/>
      <c r="G22" s="840"/>
      <c r="H22" s="843"/>
      <c r="I22" s="840"/>
      <c r="J22" s="840"/>
    </row>
    <row r="23" spans="1:10" ht="12.75">
      <c r="A23" s="840"/>
      <c r="B23" s="840"/>
      <c r="C23" s="841"/>
      <c r="D23" s="842"/>
      <c r="E23" s="840"/>
      <c r="F23" s="840"/>
      <c r="G23" s="840"/>
      <c r="H23" s="843"/>
      <c r="I23" s="840"/>
      <c r="J23" s="840"/>
    </row>
    <row r="24" spans="3:8" ht="12.75">
      <c r="C24" s="844"/>
      <c r="D24" s="845"/>
      <c r="H24" s="846"/>
    </row>
    <row r="25" spans="3:8" ht="12.75">
      <c r="C25" s="844"/>
      <c r="D25" s="845"/>
      <c r="H25" s="846"/>
    </row>
    <row r="26" spans="3:8" ht="12.75">
      <c r="C26" s="844"/>
      <c r="D26" s="845"/>
      <c r="H26" s="846"/>
    </row>
    <row r="27" spans="3:8" ht="12.75">
      <c r="C27" s="844"/>
      <c r="D27" s="845"/>
      <c r="H27" s="846"/>
    </row>
    <row r="28" spans="3:8" ht="12.75">
      <c r="C28" s="844"/>
      <c r="D28" s="845"/>
      <c r="H28" s="846"/>
    </row>
    <row r="29" spans="3:8" ht="12.75">
      <c r="C29" s="844"/>
      <c r="D29" s="845"/>
      <c r="H29" s="846"/>
    </row>
    <row r="30" spans="3:8" ht="12.75">
      <c r="C30" s="844"/>
      <c r="D30" s="845"/>
      <c r="H30" s="846"/>
    </row>
    <row r="31" spans="3:8" ht="12.75">
      <c r="C31" s="844"/>
      <c r="D31" s="845"/>
      <c r="H31" s="846"/>
    </row>
    <row r="32" spans="3:8" ht="12.75">
      <c r="C32" s="844"/>
      <c r="H32" s="846"/>
    </row>
    <row r="33" spans="3:8" ht="12.75">
      <c r="C33" s="844"/>
      <c r="H33" s="846"/>
    </row>
    <row r="34" spans="3:8" ht="12.75">
      <c r="C34" s="844"/>
      <c r="H34" s="846"/>
    </row>
    <row r="35" spans="3:8" ht="12.75">
      <c r="C35" s="844"/>
      <c r="H35" s="846"/>
    </row>
    <row r="36" spans="3:8" ht="12.75">
      <c r="C36" s="844"/>
      <c r="H36" s="846"/>
    </row>
    <row r="37" spans="3:8" ht="12.75">
      <c r="C37" s="844"/>
      <c r="H37" s="846"/>
    </row>
    <row r="38" spans="3:8" ht="12.75">
      <c r="C38" s="844"/>
      <c r="H38" s="846"/>
    </row>
    <row r="39" spans="3:8" ht="12.75">
      <c r="C39" s="844"/>
      <c r="H39" s="846"/>
    </row>
    <row r="40" spans="3:8" ht="12.75">
      <c r="C40" s="844"/>
      <c r="H40" s="846"/>
    </row>
    <row r="41" spans="3:8" ht="12.75">
      <c r="C41" s="844"/>
      <c r="H41" s="846"/>
    </row>
    <row r="42" spans="3:8" ht="12.75">
      <c r="C42" s="844"/>
      <c r="H42" s="846"/>
    </row>
    <row r="43" spans="3:8" ht="12.75">
      <c r="C43" s="844"/>
      <c r="H43" s="846"/>
    </row>
    <row r="44" spans="3:8" ht="12.75">
      <c r="C44" s="844"/>
      <c r="H44" s="846"/>
    </row>
    <row r="45" spans="3:8" ht="12.75">
      <c r="C45" s="844"/>
      <c r="H45" s="846"/>
    </row>
    <row r="46" spans="3:8" ht="12.75">
      <c r="C46" s="844"/>
      <c r="H46" s="846"/>
    </row>
    <row r="47" spans="3:8" ht="12.75">
      <c r="C47" s="844"/>
      <c r="H47" s="846"/>
    </row>
    <row r="48" spans="3:8" ht="12.75">
      <c r="C48" s="844"/>
      <c r="H48" s="846"/>
    </row>
    <row r="49" spans="3:8" ht="12.75">
      <c r="C49" s="844"/>
      <c r="H49" s="846"/>
    </row>
    <row r="50" spans="3:8" ht="12.75">
      <c r="C50" s="844"/>
      <c r="H50" s="846"/>
    </row>
    <row r="51" spans="3:8" ht="12.75">
      <c r="C51" s="844"/>
      <c r="H51" s="846"/>
    </row>
    <row r="52" spans="3:8" ht="12.75">
      <c r="C52" s="844"/>
      <c r="H52" s="846"/>
    </row>
    <row r="53" spans="3:8" ht="12.75">
      <c r="C53" s="844"/>
      <c r="H53" s="846"/>
    </row>
    <row r="54" spans="3:8" ht="12.75">
      <c r="C54" s="844"/>
      <c r="H54" s="846"/>
    </row>
    <row r="55" spans="3:8" ht="12.75">
      <c r="C55" s="844"/>
      <c r="H55" s="846"/>
    </row>
    <row r="56" spans="3:8" ht="12.75">
      <c r="C56" s="844"/>
      <c r="H56" s="846"/>
    </row>
    <row r="57" spans="3:8" ht="12.75">
      <c r="C57" s="844"/>
      <c r="H57" s="846"/>
    </row>
    <row r="58" spans="3:8" ht="12.75">
      <c r="C58" s="844"/>
      <c r="H58" s="846"/>
    </row>
    <row r="59" spans="3:8" ht="12.75">
      <c r="C59" s="844"/>
      <c r="H59" s="846"/>
    </row>
    <row r="60" spans="3:8" ht="12.75">
      <c r="C60" s="844"/>
      <c r="H60" s="846"/>
    </row>
    <row r="61" spans="3:8" ht="12.75">
      <c r="C61" s="844"/>
      <c r="H61" s="846"/>
    </row>
    <row r="62" spans="3:8" ht="12.75">
      <c r="C62" s="844"/>
      <c r="H62" s="846"/>
    </row>
    <row r="63" spans="3:8" ht="12.75">
      <c r="C63" s="844"/>
      <c r="H63" s="846"/>
    </row>
    <row r="64" spans="3:8" ht="12.75">
      <c r="C64" s="844"/>
      <c r="H64" s="846"/>
    </row>
    <row r="65" spans="3:8" ht="12.75">
      <c r="C65" s="844"/>
      <c r="H65" s="846"/>
    </row>
    <row r="66" spans="3:8" ht="12.75">
      <c r="C66" s="844"/>
      <c r="H66" s="846"/>
    </row>
    <row r="67" spans="3:8" ht="12.75">
      <c r="C67" s="844"/>
      <c r="H67" s="846"/>
    </row>
    <row r="68" spans="3:8" ht="12.75">
      <c r="C68" s="844"/>
      <c r="H68" s="846"/>
    </row>
  </sheetData>
  <sheetProtection/>
  <mergeCells count="1">
    <mergeCell ref="A21:D2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2013-11-15T09:24:09Z</cp:lastPrinted>
  <dcterms:created xsi:type="dcterms:W3CDTF">2007-04-04T08:35:31Z</dcterms:created>
  <dcterms:modified xsi:type="dcterms:W3CDTF">2013-11-15T14:02:54Z</dcterms:modified>
  <cp:category/>
  <cp:version/>
  <cp:contentType/>
  <cp:contentStatus/>
</cp:coreProperties>
</file>