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RM nr  z 26.03. 2014." sheetId="1" r:id="rId1"/>
    <sheet name="zał. nr 1" sheetId="2" r:id="rId2"/>
    <sheet name="Zał. nr 2" sheetId="3" r:id="rId3"/>
    <sheet name="Zał. nr3" sheetId="4" r:id="rId4"/>
    <sheet name="Zał. nr 4" sheetId="5" r:id="rId5"/>
    <sheet name="Arkusz3" sheetId="6" r:id="rId6"/>
    <sheet name="Wolny" sheetId="7" r:id="rId7"/>
  </sheets>
  <definedNames>
    <definedName name="_xlnm.Print_Titles" localSheetId="1">'zał. nr 1'!$11:$13</definedName>
    <definedName name="_xlnm.Print_Titles" localSheetId="2">'Zał. nr 2'!$12:$13</definedName>
    <definedName name="_xlnm.Print_Titles" localSheetId="3">'Zał. nr3'!$12:$12</definedName>
  </definedNames>
  <calcPr fullCalcOnLoad="1"/>
</workbook>
</file>

<file path=xl/sharedStrings.xml><?xml version="1.0" encoding="utf-8"?>
<sst xmlns="http://schemas.openxmlformats.org/spreadsheetml/2006/main" count="737" uniqueCount="497">
  <si>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</si>
  <si>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</si>
  <si>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</si>
  <si>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</si>
  <si>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</si>
  <si>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</si>
  <si>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</si>
  <si>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</si>
  <si>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konserwatorsko-restauracyjne ołtarza pw Serca Jezusa - nawa pólnocna - Parafia pw Św. Bartłomieja</t>
  </si>
  <si>
    <t>prace konserwatorsko-renowacyjne przy ambonie z kościoła Franciszkanów - Klasztor Franciszkanów (OFM)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</si>
  <si>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</si>
  <si>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</si>
  <si>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</si>
  <si>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</si>
  <si>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</si>
  <si>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</si>
  <si>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</si>
  <si>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</si>
  <si>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</si>
  <si>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</si>
  <si>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</si>
  <si>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</si>
  <si>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</si>
  <si>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</si>
  <si>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</si>
  <si>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</si>
  <si>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</si>
  <si>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>działalność na rzecz rozwoju gospodarczego wspierającego lokalny rynek pracy</t>
  </si>
  <si>
    <t>OGÓŁEM</t>
  </si>
  <si>
    <t>. "Jesteś przedsiębiorczy! Zacznij działać już dziś w Koninie"w ramach programu POKL (dotacja celowa)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</si>
  <si>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</si>
  <si>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</si>
  <si>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</si>
  <si>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</si>
  <si>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</si>
  <si>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</si>
  <si>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</si>
  <si>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</si>
  <si>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</si>
  <si>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</si>
  <si>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</si>
  <si>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</si>
  <si>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</si>
  <si>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</si>
  <si>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</si>
  <si>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</si>
  <si>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</si>
  <si>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</si>
  <si>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</si>
  <si>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</si>
  <si>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</si>
  <si>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Gospodarka mieszkaniowa</t>
  </si>
  <si>
    <t>Gospodarka gruntami i nieruchomościami</t>
  </si>
  <si>
    <t>Nabycie nieruchomości gruntowych</t>
  </si>
  <si>
    <t>Pozostała działalność</t>
  </si>
  <si>
    <t>Działalność usługowa</t>
  </si>
  <si>
    <t>Administracja publiczna</t>
  </si>
  <si>
    <t>Urzędy gmin (miast i miast na prawach powiatu)</t>
  </si>
  <si>
    <t>Bezpieczeństwo publiczne i ochrona przeciwpożarowa</t>
  </si>
  <si>
    <t>Obrona cywilna</t>
  </si>
  <si>
    <t>Różne rozliczenia</t>
  </si>
  <si>
    <t>Rezerwy ogólne i celowe</t>
  </si>
  <si>
    <t>Rezerwa celowa na inwestycje i zakupy inwestycyjne</t>
  </si>
  <si>
    <t>Oświata i wychowanie</t>
  </si>
  <si>
    <t>Szkoły podstawowe</t>
  </si>
  <si>
    <t>Przedszkola</t>
  </si>
  <si>
    <t>Ochrona zdrowia</t>
  </si>
  <si>
    <t>Gospodarka komunalna i ochrona środowiska</t>
  </si>
  <si>
    <t>Oświetlenie ulic, placów i dróg</t>
  </si>
  <si>
    <t>Obiekty sportowe</t>
  </si>
  <si>
    <t>RAZEM POWIAT</t>
  </si>
  <si>
    <t>Drogi publiczne w miastach na prawach powiatu</t>
  </si>
  <si>
    <t>Komendy powiatowe Państwowej Straży Pożarnej</t>
  </si>
  <si>
    <t>Zwiększa się plan wydatków o kwotę</t>
  </si>
  <si>
    <t>Lp</t>
  </si>
  <si>
    <t xml:space="preserve">Kultura fizyczna </t>
  </si>
  <si>
    <t>Ośrodki dokumentacji geodezyjnej i kartograficznej</t>
  </si>
  <si>
    <t>Pozostałe zadania w zakresie polityki społecznej</t>
  </si>
  <si>
    <t xml:space="preserve">Pozostała działalność </t>
  </si>
  <si>
    <t>Gospodarka odpadami</t>
  </si>
  <si>
    <t xml:space="preserve">Usuwanie wyrobów zawierających azbest z nieruchomości położonych na terenie miasta Konina 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</si>
  <si>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</si>
  <si>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</si>
  <si>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</si>
  <si>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</si>
  <si>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</si>
  <si>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</si>
  <si>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</si>
  <si>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</si>
  <si>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</si>
  <si>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</si>
  <si>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2) dochody powiatu ogółem                                                                                  </t>
  </si>
  <si>
    <t xml:space="preserve">             Zmniejsza się</t>
  </si>
  <si>
    <t xml:space="preserve">          Zwiększa się</t>
  </si>
  <si>
    <t>W części dotyczącej dochodów  powiatu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</si>
  <si>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</si>
  <si>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</si>
  <si>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</si>
  <si>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</si>
  <si>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</si>
  <si>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</si>
  <si>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</si>
  <si>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</si>
  <si>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</si>
  <si>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</si>
  <si>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</si>
  <si>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</si>
  <si>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</si>
  <si>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</si>
  <si>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</si>
  <si>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</si>
  <si>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</si>
  <si>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</si>
  <si>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</si>
  <si>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</si>
  <si>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</si>
  <si>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</si>
  <si>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</si>
  <si>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</si>
  <si>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</si>
  <si>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</si>
  <si>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>3. W Załączniku Nr 1 do uchwały budżetowej dokonuje się następujących zmian:</t>
  </si>
  <si>
    <t>Przebudowa ulicy Stodolnianej w Koninie</t>
  </si>
  <si>
    <t>Rozbudowa skrzyżowania ulic Stanisława Staszica, Romana Dmowskiego i Tadeusza Kościuszki na skrzyżowanie typu "rondo" w Koninie</t>
  </si>
  <si>
    <t>Adaptacja budynku przy ul. Benesza 1 w Koninie  na cele administracyjne</t>
  </si>
  <si>
    <t>Ochotnicze Straże Pożarne</t>
  </si>
  <si>
    <t xml:space="preserve">Zakupy inwestycyjne </t>
  </si>
  <si>
    <t>Gimnazja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</si>
  <si>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</si>
  <si>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</si>
  <si>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Budowa kanalizacji deszczowej na terenie osiedla Pątnów  w Koninie</t>
  </si>
  <si>
    <t>Budowa przyłączy kanalizacyjnych i przyłączenie nieruchomości do miejskiej sieci kanalizacyjnej</t>
  </si>
  <si>
    <t>Przebudowa ul. Żwirki i Wigury wraz z kanalizacją deszczową</t>
  </si>
  <si>
    <t>Przebudowa pomieszczeń garażowych budynku strażnicy wraz z modernizacją kanalizacji deszczowej oraz wymianą nawierzchni placu manewrowego JRG Nr 1 i Komendy Miejskiej Państwowej Straży Pożarnej w Koninie</t>
  </si>
  <si>
    <t>600</t>
  </si>
  <si>
    <t>60016</t>
  </si>
  <si>
    <t>6050</t>
  </si>
  <si>
    <t>801</t>
  </si>
  <si>
    <t>80104</t>
  </si>
  <si>
    <t>4210</t>
  </si>
  <si>
    <t xml:space="preserve">         1) dochody gminy ogółem                                                                                  </t>
  </si>
  <si>
    <t>758</t>
  </si>
  <si>
    <t>75818</t>
  </si>
  <si>
    <t>4810</t>
  </si>
  <si>
    <t>4300</t>
  </si>
  <si>
    <t>6. W Załączniku Nr 2 do uchwały budżetowej dokonuje się następujących zmian:</t>
  </si>
  <si>
    <t>Stołówki szkolne i przedszkolne</t>
  </si>
  <si>
    <t xml:space="preserve">         W uchwale Nr 700 Rady Miasta Konina z dnia 18 grudnia 2013 r. w sprawie uchwalenia budżetu</t>
  </si>
  <si>
    <t xml:space="preserve">Plan wydatków majątkowych realizowanych ze środków </t>
  </si>
  <si>
    <t>budżetowych miasta Konina na 2014 rok</t>
  </si>
  <si>
    <t xml:space="preserve">           Plan na 2014 rok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</si>
  <si>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</si>
  <si>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</si>
  <si>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</si>
  <si>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</si>
  <si>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</si>
  <si>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</si>
  <si>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</si>
  <si>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</si>
  <si>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</si>
  <si>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Opracowanie  dokumentacji projektowo-kosztorysowej na budowę ul. Grójeckiej w Koninie</t>
  </si>
  <si>
    <t>Budowa czterech domków mieszkalnych oraz rozbudowa budynku gospodarczego w Koninie przy ul. M. Dąbrowskiej</t>
  </si>
  <si>
    <t>Rewitalizacja Starówki - budowa budynków mieszkalnych wielorodzinnych pomiędzy ulicą Wodną i Grunwaldzką w Koninie</t>
  </si>
  <si>
    <t>Doposażenie techniczne urzędu</t>
  </si>
  <si>
    <t>Opracowanie dokumentacji projektowo-kosztorysowej na budowę sali gimnastycznej Szkoły Podstawowej   Nr 1 w Koninie</t>
  </si>
  <si>
    <t>Budowa kompleksu boisk przy Szkole Podstawowej Nr 4 w Koninie</t>
  </si>
  <si>
    <t xml:space="preserve">Wykonanie piłkochwytu na boisku Szkoły Podstawowej Nr 1 </t>
  </si>
  <si>
    <t>Adaptacja płyty asfaltowej na placu szkolnym na kort tenisowy przy Szkole Podstawowej Nr 3</t>
  </si>
  <si>
    <t>Zakup piłkochwytów w Szkole Podstawowej Nr 9</t>
  </si>
  <si>
    <t>Zakup serwera do pracowni komputerowej w Szkole Podstawowej Nr 10</t>
  </si>
  <si>
    <t>Budowa parkingu przy Przedszkolu Nr 7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</si>
  <si>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</si>
  <si>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</si>
  <si>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</si>
  <si>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Opracowanie dokumentacji projektowo-kosztorysowej na budowę boisk przy  Gimnazjum Nr 1 w Koninie</t>
  </si>
  <si>
    <t>Zakup obieraczki do ziemniaków do kuchni w Szkole Podstawowej Nr 1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</si>
  <si>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</si>
  <si>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</si>
  <si>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</si>
  <si>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</si>
  <si>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</si>
  <si>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</si>
  <si>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</si>
  <si>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</si>
  <si>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"Twoja firma - wspomagamy przedsiębiorczych w Koninie" - w ramach programu POKL (dotacja celowa)</t>
  </si>
  <si>
    <t>Modernizacja oświetlenia ulicznego miasta  Konina na energooszczędne</t>
  </si>
  <si>
    <t>Wniesienie wkładu pieniężnego na budowę sieci kanalizacji sanitarnej i wodociągu w ulicy Rudzickiej</t>
  </si>
  <si>
    <t>Wniesienie wkładu pieniężnego do spółki Geotermia Konin Spółka z o.o. w Koninie</t>
  </si>
  <si>
    <t>Budowa placów zabaw na os. Laskówiec i Grójec w Koninie</t>
  </si>
  <si>
    <t xml:space="preserve">Uzbrojenie terenów inwestycyjnych w obrębie Konin - Międzylesie 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</si>
  <si>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</si>
  <si>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</si>
  <si>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</si>
  <si>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 xml:space="preserve">Termomodernizacja budynków Konińskiego Domu Kultury, Młodzieżowego Domu Kultury oraz Miejskiej Biblioteki Publicznej w Koninie </t>
  </si>
  <si>
    <t>Przebudowa parkingu przy ul. Kard. S. Wyszyńskiego 19 i 21 w Koninie</t>
  </si>
  <si>
    <t>Przebudowa mostu im. Józefa Piłsudskiego w Koninie</t>
  </si>
  <si>
    <t>Turystyka</t>
  </si>
  <si>
    <t>Opracowanie dokumentacji projektowej na budowę toalet przy Bulwarze Nadwarciańskim w Koninie</t>
  </si>
  <si>
    <t xml:space="preserve">Zakup sprzętu komputerowego 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</si>
  <si>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</si>
  <si>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</si>
  <si>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</si>
  <si>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</si>
  <si>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</si>
  <si>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</si>
  <si>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</si>
  <si>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</si>
  <si>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Edukacyjna opieka wychowawcza</t>
  </si>
  <si>
    <t>Specjalne ośrodki szkolno-wychowawcze</t>
  </si>
  <si>
    <t>Zakup kserokopiarki w SOS-W w Koninie</t>
  </si>
  <si>
    <t>Rozbudowa boisk przy ZSGE ul. Kard. Wyszyńskiego 3  w Koninie</t>
  </si>
  <si>
    <t xml:space="preserve">ZAŁĄCZNIK nr  1 </t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</si>
  <si>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</si>
  <si>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</si>
  <si>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</si>
  <si>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Wyszczególnienie</t>
  </si>
  <si>
    <t xml:space="preserve">Określenie zadań </t>
  </si>
  <si>
    <t>Plan  na 2014 rok</t>
  </si>
  <si>
    <t>Razem zadania gminy</t>
  </si>
  <si>
    <t xml:space="preserve">Dotacje podmiotowe </t>
  </si>
  <si>
    <t>dotacja dla niepublicznego przedszkola i punktów przedszkolnych rozdz. 80104</t>
  </si>
  <si>
    <t>dotacja dla niepublicznego gimnazjum  rozdz.80110</t>
  </si>
  <si>
    <t>Dotacje celowe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</si>
  <si>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</si>
  <si>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</si>
  <si>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</si>
  <si>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</si>
  <si>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</si>
  <si>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</si>
  <si>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</si>
  <si>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</si>
  <si>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</si>
  <si>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organizacja imprez mikołajkowo-bożonarodzeniowych połączonych z oddziaływaniem profilaktycznym dla dzieci i młodzieży z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</si>
  <si>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</si>
  <si>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</si>
  <si>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</si>
  <si>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</si>
  <si>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</si>
  <si>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</si>
  <si>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</si>
  <si>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6800</t>
  </si>
  <si>
    <t>W części dotyczącej zadań  powiatowej</t>
  </si>
  <si>
    <t>pkt 3) kwotę rezerwy celowej na inwestycje i zakupy inwestycyjne</t>
  </si>
  <si>
    <t>b) kwotę części powiatowej</t>
  </si>
  <si>
    <t>0970</t>
  </si>
  <si>
    <t>Modernizacja węzła sanitarnego przy sali gimnastycznej wraz z korytarzem w Szkole Podstawowej nr 12 w Koninie</t>
  </si>
  <si>
    <t>Zakup zmywarki do kuchni w Szkole Podstawowej Nr 1</t>
  </si>
  <si>
    <t>4040</t>
  </si>
  <si>
    <t>Budowa ulicy Brunatnej w Koninie - etap I</t>
  </si>
  <si>
    <t>Budowa drogi - łącznik od ul. Przemysłowej do ul. Kleczewskiej w Koninie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</si>
  <si>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</si>
  <si>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</si>
  <si>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900</t>
  </si>
  <si>
    <t>2360</t>
  </si>
  <si>
    <t xml:space="preserve">z dnia 26 lutego 2014 roku       </t>
  </si>
  <si>
    <t>"Jesteś przedsiębiorczy! Zacznij działać już dziś w Koninie"w ramach programu POKL (dotacja celowa)</t>
  </si>
  <si>
    <t>Zakup i montaż wiat  przystankowych</t>
  </si>
  <si>
    <t>Lokalny transport zbiorowy</t>
  </si>
  <si>
    <t>Przebudowa i rozbudowa budynków komunalnych przy ul. Wiosny Ludów 11 i 13 w Koninie</t>
  </si>
  <si>
    <t>4270</t>
  </si>
  <si>
    <t xml:space="preserve">prace konserwatorskie obrazu Św. Rocha z wyposażenia kościoła parafii Rzymskokatolickiej p.w. św.Wojciecha w Koninie </t>
  </si>
  <si>
    <t>realizacja zadania pn. "Klub wsparcia rodziny z dzieckiem z niepełnosprawnością"</t>
  </si>
  <si>
    <t>Zakup i montaż urządzeń na plac zabaw dla Przedszkola nr 17 w Koninie</t>
  </si>
  <si>
    <t>4. W § 1 ust. 3</t>
  </si>
  <si>
    <t>5. W Załączniku Nr 2 do uchwały budżetowej dokonuje się następujących zmian:</t>
  </si>
  <si>
    <t xml:space="preserve">zaliczanych do sektora finansów publicznych na cele publiczne związane z realizacją zadań </t>
  </si>
  <si>
    <t xml:space="preserve">Wykonanie, dostawa i montaż regałów  przesuwanych do  pomieszczenia Archiwum w budynku przy ul. Andrzeja Benesza 
 w Koninie
</t>
  </si>
  <si>
    <t>90095</t>
  </si>
  <si>
    <t>8. W § 1  w ust. 5</t>
  </si>
  <si>
    <r>
      <t xml:space="preserve">10.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</si>
  <si>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t>na 2014 rok:  Nr 721 Rady Miasta Konina z dnia 29 stycznia 2014 r.; Nr  11/2014 Prezydenta Miasta Konina</t>
  </si>
  <si>
    <t xml:space="preserve">Opracowanie dokumentacji projektowej na nowy przebieg cieku wodnego zlokalizowanego na terenie Międzylesia m. Konina </t>
  </si>
  <si>
    <t xml:space="preserve">do Uchwały nr  728  </t>
  </si>
  <si>
    <t xml:space="preserve">                                     UCHWAŁA  NR      </t>
  </si>
  <si>
    <t xml:space="preserve">                                     z dnia  26 marca  2014 roku</t>
  </si>
  <si>
    <t>75801</t>
  </si>
  <si>
    <t>2920</t>
  </si>
  <si>
    <t>6060</t>
  </si>
  <si>
    <t>80110</t>
  </si>
  <si>
    <t>4140</t>
  </si>
  <si>
    <t>4260</t>
  </si>
  <si>
    <t>851</t>
  </si>
  <si>
    <t>85154</t>
  </si>
  <si>
    <t>Wniesienie wkładu pieniężnego na budowę wodociągu w ulicy Piaskowej, Borowej i Świerkowej</t>
  </si>
  <si>
    <t>6010</t>
  </si>
  <si>
    <t>75814</t>
  </si>
  <si>
    <t>6680</t>
  </si>
  <si>
    <t>Projekt</t>
  </si>
  <si>
    <t>dz. 600 rozdz.60016  § 6050   zwiększa się o kwotę</t>
  </si>
  <si>
    <t>Wykonanie instalacji ewakuacyjnej w Przedszkolu nr 7 w Koninie</t>
  </si>
  <si>
    <t>Zakup kuchni gazowej dla Przedszkola nr 7 w Koninie</t>
  </si>
  <si>
    <t>dz. 600 rozdz.60015 § 6050 zwiększa się o kwotę</t>
  </si>
  <si>
    <t>Zmniejsza się plan wydatków o kwotę</t>
  </si>
  <si>
    <t>dz. 758 rozdz.75818  § 6800   zmniejsza się o kwotę</t>
  </si>
  <si>
    <t>Zakup obieraczki do ziemniaków dla przedszkola nr 17 w Koninie</t>
  </si>
  <si>
    <t>Przebudowa chodnika przy ul. Przemysłowej w Koninie</t>
  </si>
  <si>
    <t>Przebudowa chodnika przy ul. Zofii Nałkowskiej w Koninie</t>
  </si>
  <si>
    <t>Zakup kotła warzelnego do kuchni dla Przedszkola nr 16 w Koninie</t>
  </si>
  <si>
    <t>dz. 801 rozdz.80104  zwiększa się o kwotę</t>
  </si>
  <si>
    <t>§ 6050   zwiększa się o kwotę</t>
  </si>
  <si>
    <t>§ 6060   zwiększa się o kwotę</t>
  </si>
  <si>
    <t xml:space="preserve">Wniesienie wkładu pieniężnego na budowę sieci kanalizacji sanitarnej </t>
  </si>
  <si>
    <t xml:space="preserve"> i wodociągu w ulicy Rudzickiej</t>
  </si>
  <si>
    <t xml:space="preserve">Wniesienie wkładu pieniężnego na budowę wodociągu w ulicy Piaskowej, </t>
  </si>
  <si>
    <t xml:space="preserve"> Borowej i Świerkowej</t>
  </si>
  <si>
    <t xml:space="preserve">        b) dochody majątkowe w wysokości                                        </t>
  </si>
  <si>
    <t xml:space="preserve">do Uchwały nr  </t>
  </si>
  <si>
    <t xml:space="preserve">z dnia 26 marca 2014 roku       </t>
  </si>
  <si>
    <t>Załącznik nr 2</t>
  </si>
  <si>
    <t xml:space="preserve">Wniesienie wkładu pieniężnego na budowę  kanalizacji sanitarnej </t>
  </si>
  <si>
    <t xml:space="preserve">oraz  wodociągu  w ulicach Matejki i Wyspiańskiego </t>
  </si>
  <si>
    <t xml:space="preserve">Wniesienie wkładu pieniężnego na budowę kanalizacji sanitarnej oraz  wodociągu  w ulicach Matejki i Wyspiańskiego </t>
  </si>
  <si>
    <t>756</t>
  </si>
  <si>
    <t>75615</t>
  </si>
  <si>
    <t>75616</t>
  </si>
  <si>
    <t>0310</t>
  </si>
  <si>
    <t xml:space="preserve">Wniesienie wkładu pieniężnego na budowę sieci wodociągowej w ulicach </t>
  </si>
  <si>
    <t>Staromorzysławskiej, Działkowej i Granicznej</t>
  </si>
  <si>
    <t>Wniesienie wkładu pieniężnego na budowę sieci wodociągowej w ulicach Staromorzysławskiej, Działkowej i Granicznej</t>
  </si>
  <si>
    <t>852</t>
  </si>
  <si>
    <t>85219</t>
  </si>
  <si>
    <t>dz. 852 rozdz.85219  6060 zwiększa się o kwotę</t>
  </si>
  <si>
    <t>80130</t>
  </si>
  <si>
    <t>80101</t>
  </si>
  <si>
    <t>4110</t>
  </si>
  <si>
    <t>80103</t>
  </si>
  <si>
    <t>80148</t>
  </si>
  <si>
    <t>854</t>
  </si>
  <si>
    <t>85401</t>
  </si>
  <si>
    <t>85412</t>
  </si>
  <si>
    <t>4010</t>
  </si>
  <si>
    <t>4120</t>
  </si>
  <si>
    <t>0960</t>
  </si>
  <si>
    <t>0830</t>
  </si>
  <si>
    <t>0920</t>
  </si>
  <si>
    <t>853</t>
  </si>
  <si>
    <t>85395</t>
  </si>
  <si>
    <t>4017</t>
  </si>
  <si>
    <t>4019</t>
  </si>
  <si>
    <t>4117</t>
  </si>
  <si>
    <t>4119</t>
  </si>
  <si>
    <t>4127</t>
  </si>
  <si>
    <t>4129</t>
  </si>
  <si>
    <t>4177</t>
  </si>
  <si>
    <t>4179</t>
  </si>
  <si>
    <t>2009</t>
  </si>
  <si>
    <t>90015</t>
  </si>
  <si>
    <t>700</t>
  </si>
  <si>
    <t>70005</t>
  </si>
  <si>
    <t>90004</t>
  </si>
  <si>
    <t>6230</t>
  </si>
  <si>
    <t>2900</t>
  </si>
  <si>
    <t>§ 6010 zmniejsza się o kwotę</t>
  </si>
  <si>
    <t>§ 6230 zmniejsza się o kwotę</t>
  </si>
  <si>
    <t xml:space="preserve">Budowa przyłączy kanalizacyjnych i przyłączenie nieruchomości </t>
  </si>
  <si>
    <t xml:space="preserve"> do miejskiej sieci kanalizacyjnej</t>
  </si>
  <si>
    <t>dz. 900 rozdz.90095  zmniejsza się o kwotę</t>
  </si>
  <si>
    <t>dz. 900  zwiększa się o kwotę</t>
  </si>
  <si>
    <t xml:space="preserve">          rozdz.90095 § 6010 zwiększa się o kwotę</t>
  </si>
  <si>
    <t xml:space="preserve">          rozdz.90015 § 6050 zwiększa się o kwotę</t>
  </si>
  <si>
    <t>Opracowanie dokumentacji projektowo-  kosztorysowej na budowę oświetlenia</t>
  </si>
  <si>
    <t>ulic Konwaliowej i Malwowej w Koninie</t>
  </si>
  <si>
    <t>7. W § 1  ust. 4 otrzymuje brzmienie w treści:</t>
  </si>
  <si>
    <t xml:space="preserve">      Prawo ochrony środowiska z tego:</t>
  </si>
  <si>
    <t>(dz.900)</t>
  </si>
  <si>
    <t>(dz. 600; 900 i 921)"</t>
  </si>
  <si>
    <t xml:space="preserve">        "Ustala się kwotę wydatków na ochronę środowiska związanych z realizacją ustawy </t>
  </si>
  <si>
    <t xml:space="preserve">         a)      wydatki bieżące  </t>
  </si>
  <si>
    <t xml:space="preserve">         b)      wydatki majątkowe  </t>
  </si>
  <si>
    <t>Opracowanie dokumentacji projektowo-  kosztorysowej na budowę oświetlenia ulic Konwaliowej i Malwowej w Koninie</t>
  </si>
  <si>
    <t>DRUK nr  822</t>
  </si>
  <si>
    <t>dz. 758 rozdz.75818  § 6800   zwiększa się o kwotę</t>
  </si>
  <si>
    <t xml:space="preserve">Zakup samochodu przystosowanego do przewozu osob </t>
  </si>
  <si>
    <t>niepełnosprawnych - MOPR w Koninie</t>
  </si>
  <si>
    <t>ZAŁĄCZNIK nr 2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</si>
  <si>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</si>
  <si>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</si>
  <si>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2014 rok</t>
  </si>
  <si>
    <t xml:space="preserve">                  2014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</si>
  <si>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</si>
  <si>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</si>
  <si>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</si>
  <si>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</si>
  <si>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</si>
  <si>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</si>
  <si>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</si>
  <si>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</si>
  <si>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</si>
  <si>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</si>
  <si>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</si>
  <si>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</si>
  <si>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>Przedszkole nr 2 w Koninie "Kraina Wesołej Zabawy"</t>
  </si>
  <si>
    <t>cel: Rozwój wykształcenia i kompetencji w regionach</t>
  </si>
  <si>
    <t>Podniesienie i uzupełnienie kwalifikacji kadry pedagogicznej i administracyjnej poprzez realizacje projektu Pt. "Dokształcanie to Twoja szansa"</t>
  </si>
  <si>
    <t>2012-2014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</si>
  <si>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</si>
  <si>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</si>
  <si>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</si>
  <si>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</si>
  <si>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</si>
  <si>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</si>
  <si>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</si>
  <si>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</si>
  <si>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</si>
  <si>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</si>
  <si>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</si>
  <si>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</si>
  <si>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</si>
  <si>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</si>
  <si>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</si>
  <si>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</si>
  <si>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</si>
  <si>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</si>
  <si>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</si>
  <si>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</si>
  <si>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</si>
  <si>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</si>
  <si>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</si>
  <si>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</si>
  <si>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</si>
  <si>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</si>
  <si>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</si>
  <si>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</si>
  <si>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</si>
  <si>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cel: podniesienie jakości edukacji w przedszkolu poprzez stworzenie warunków do zdobywania kompetencji zawodowych i językowych  związanych ze specyfikacją placowki dla 10 osób kadry edukacyjnej, przyczyniając się do osiągnięcia jak najlepszych efektów pracy z dzieckiem w tym niepełnosprawnym i jego rodziną</t>
  </si>
  <si>
    <t>projekt pt. "Nowa edukacja - nowe wyzwania"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</si>
  <si>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</si>
  <si>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</si>
  <si>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</si>
  <si>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</si>
  <si>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zmiany" </t>
  </si>
  <si>
    <t>2014/2015</t>
  </si>
  <si>
    <t>cel: Stworzenie warunków do podniesienia i uzupełnienia kwalifikacji związanych z wdrożeniem rozwiazań ekologicznych i zdrowotnych oraz zdobycia kompetencji jezykowych  wśrod nauczycieli</t>
  </si>
  <si>
    <t xml:space="preserve">Projekt pt. "Nowe horyzonty w edukacji dziecka" </t>
  </si>
  <si>
    <t>Zadania powiatu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</si>
  <si>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</si>
  <si>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</si>
  <si>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</si>
  <si>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2012/2014</t>
  </si>
  <si>
    <t>Europejski Fundusz Społeczny - Program  Operacyjny  Kapitał Ludzki</t>
  </si>
  <si>
    <t>ZS im. Kopernika w  Koninie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</si>
  <si>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</si>
  <si>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</si>
  <si>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</si>
  <si>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</si>
  <si>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</si>
  <si>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„Uczenie się przez całe życie”  Leonardo da Vinci</t>
  </si>
  <si>
    <t>ZSB  w Koninie</t>
  </si>
  <si>
    <t>2013/2014</t>
  </si>
  <si>
    <t>cel: doskonalenie kompetencji zawodowych  oraz szkolenie językowe i kulturowe</t>
  </si>
  <si>
    <t>„Mistrz w zawodzie - praktyki zagraniczne dla uczniów”</t>
  </si>
  <si>
    <t xml:space="preserve">do Uchwały nr    </t>
  </si>
  <si>
    <t xml:space="preserve">PLAN DOTACJI DLA PODMIOTÓW ZALICZANYCH DO SEKTORA FINANSÓW </t>
  </si>
  <si>
    <t xml:space="preserve">PUBLICZNYCH NA CELE PUBLICZNE ZWIĄZANE Z REALIZACJĄ ZADAŃ MIASTA  </t>
  </si>
  <si>
    <t>NA 2014 ROK</t>
  </si>
  <si>
    <t>Plan na 2014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</si>
  <si>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</si>
  <si>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</si>
  <si>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</si>
  <si>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</si>
  <si>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</si>
  <si>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na realizacje zadania pn. "Aglomeracja konińska - współpraca JST kluczem do nowoczesnego rozwoju gospodarczego"</t>
  </si>
  <si>
    <t xml:space="preserve">Oświata i wychowanie </t>
  </si>
  <si>
    <t>koszty utrzymania dzieci  z miasta Konina umieszczonych w  przedszklolu na terenie innej gminy</t>
  </si>
  <si>
    <t>Dotacja celowa na zakupy inwestycyjne dla Oddziału Leczenia Uzależnień Wojewódzkiego Szpitala Zespolonego w Koninie - zakup kombajnu wielofunkcyjnego i rzutnika multimedialnego</t>
  </si>
  <si>
    <t>Gospodarka komunalna  i ochrona środowiska</t>
  </si>
  <si>
    <t xml:space="preserve">dotacja dla KDK na wykonanie Termomodernizacji budynków Konińskiego Domu Kultury, Młodzieżowego Domu Kultury oraz Miejskiej Biblioteki Publicznej w Koninie </t>
  </si>
  <si>
    <t>Miejska Biblioteka Publiczna</t>
  </si>
  <si>
    <t>koszty utrzymania dzieci  z miasta Konina umieszczonych w placówkach opiekuńczych na terenie kraju</t>
  </si>
  <si>
    <t>prowadzenie działalności Powiatowego Urzędu Pracy</t>
  </si>
  <si>
    <t>Załącznik nr  4</t>
  </si>
  <si>
    <t xml:space="preserve">do Uchwały nr </t>
  </si>
  <si>
    <t>kwotę środków i dotacji na realizację zadań w ramach</t>
  </si>
  <si>
    <t>programów i projektów funduszy strukturalnych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</si>
  <si>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</si>
  <si>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o których mowa w art. 5 ust. 1 pkt 2 i 3 ufp w części związanej</t>
  </si>
  <si>
    <t>z realizacją zadań jst</t>
  </si>
  <si>
    <t>" Limit wydatków bieżących na programy finansowane z udziałem środków, o których</t>
  </si>
  <si>
    <r>
      <t xml:space="preserve">mowa w art. 5 ust. 1 pkt 2 i 3 ustawy o finansach publicznych na 2014 rok" </t>
    </r>
    <r>
      <rPr>
        <sz val="13"/>
        <rFont val="Times New Roman"/>
        <family val="1"/>
      </rPr>
      <t xml:space="preserve">otrzymuje </t>
    </r>
  </si>
  <si>
    <r>
      <t xml:space="preserve">brzmienie w treści </t>
    </r>
    <r>
      <rPr>
        <b/>
        <sz val="13"/>
        <rFont val="Times New Roman"/>
        <family val="1"/>
      </rPr>
      <t xml:space="preserve">Załącznika nr  2 </t>
    </r>
    <r>
      <rPr>
        <sz val="13"/>
        <rFont val="Times New Roman"/>
        <family val="1"/>
      </rPr>
      <t>do niniejszej uchwały</t>
    </r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</si>
  <si>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</si>
  <si>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do sektora finansów publicznych na cele publiczne związane z realizacją zadań miasta na 2014 rok"</t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</si>
  <si>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</si>
  <si>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t xml:space="preserve">pkt 1)  kwotę rezerwy ogólnej </t>
  </si>
  <si>
    <t xml:space="preserve">          w tym:</t>
  </si>
  <si>
    <t>Zakup samochodu służbowego do przewozu  osób niepełnosprawnych-MOPR KONIN</t>
  </si>
  <si>
    <t>Dostawa i montaż wyświetlaczy czasu</t>
  </si>
  <si>
    <t>Dostawa i montaż znaków aktywnych</t>
  </si>
  <si>
    <t>75618</t>
  </si>
  <si>
    <t>0490</t>
  </si>
  <si>
    <t xml:space="preserve">miasta Konina na 2014 rok zmienionej  uchwałami i zarządzeniami w sprawie zmian w budżecie miasta Konina </t>
  </si>
  <si>
    <t xml:space="preserve"> - wprowadza się następujące zmiany:</t>
  </si>
  <si>
    <t>z dnia 7 lutego 2014 r.; Nr 728 Rady Miasta Konina z dnia 26 lutego 2014 r.; Nr 19/2014 Prezydenta Miasta Konina</t>
  </si>
  <si>
    <t xml:space="preserve">z dnia 27 lutego 2014 r.; Nr 29/2014 Prezydenta Miasta Koninaz dnia 14 marca 2014 r.; </t>
  </si>
  <si>
    <t>9. Załącznik nr 5 do uchwały budżetowej obejmujący:</t>
  </si>
  <si>
    <r>
      <t xml:space="preserve">11.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</si>
  <si>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>12. W § 4 do uchwały budżetowej dokonuje się następujących zmian: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</si>
</sst>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79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b/>
      <i/>
      <sz val="16"/>
      <name val="Times New Roman"/>
      <family val="1"/>
    </font>
    <font>
      <sz val="9"/>
      <name val="Arial"/>
      <family val="0"/>
    </font>
    <font>
      <b/>
      <sz val="10"/>
      <color indexed="12"/>
      <name val="Times New Roman"/>
      <family val="1"/>
    </font>
    <font>
      <sz val="10"/>
      <color indexed="10"/>
      <name val="Arial"/>
      <family val="0"/>
    </font>
    <font>
      <sz val="11"/>
      <name val="Times New Roman CE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Times New Roman"/>
      <family val="1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color indexed="48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1"/>
      <name val="Arial"/>
      <family val="2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center"/>
      <protection/>
    </xf>
    <xf numFmtId="4" fontId="2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4" fontId="3" fillId="0" borderId="0" xfId="19" applyNumberFormat="1" applyFont="1" applyFill="1">
      <alignment/>
      <protection/>
    </xf>
    <xf numFmtId="0" fontId="9" fillId="0" borderId="1" xfId="18" applyFont="1" applyFill="1" applyBorder="1">
      <alignment/>
      <protection/>
    </xf>
    <xf numFmtId="0" fontId="9" fillId="0" borderId="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3" xfId="18" applyFont="1" applyFill="1" applyBorder="1" applyAlignment="1">
      <alignment horizontal="center" vertical="top"/>
      <protection/>
    </xf>
    <xf numFmtId="0" fontId="10" fillId="0" borderId="4" xfId="18" applyFont="1" applyFill="1" applyBorder="1" applyAlignment="1">
      <alignment vertical="center" wrapText="1"/>
      <protection/>
    </xf>
    <xf numFmtId="0" fontId="3" fillId="0" borderId="0" xfId="18" applyFont="1" applyFill="1">
      <alignment/>
      <protection/>
    </xf>
    <xf numFmtId="0" fontId="9" fillId="0" borderId="0" xfId="18" applyFont="1" applyFill="1">
      <alignment/>
      <protection/>
    </xf>
    <xf numFmtId="4" fontId="2" fillId="0" borderId="0" xfId="18" applyNumberFormat="1" applyFont="1" applyFill="1">
      <alignment/>
      <protection/>
    </xf>
    <xf numFmtId="4" fontId="5" fillId="0" borderId="0" xfId="18" applyNumberFormat="1" applyFont="1" applyFill="1" applyBorder="1" applyAlignment="1">
      <alignment horizontal="right"/>
      <protection/>
    </xf>
    <xf numFmtId="0" fontId="15" fillId="0" borderId="0" xfId="18" applyFont="1" applyFill="1">
      <alignment/>
      <protection/>
    </xf>
    <xf numFmtId="4" fontId="11" fillId="0" borderId="0" xfId="18" applyNumberFormat="1" applyFont="1" applyFill="1" applyAlignment="1">
      <alignment vertical="center"/>
      <protection/>
    </xf>
    <xf numFmtId="4" fontId="11" fillId="0" borderId="0" xfId="18" applyNumberFormat="1" applyFont="1" applyFill="1">
      <alignment/>
      <protection/>
    </xf>
    <xf numFmtId="4" fontId="7" fillId="0" borderId="0" xfId="22" applyNumberFormat="1" applyFont="1" applyFill="1" applyAlignment="1">
      <alignment horizontal="right"/>
      <protection/>
    </xf>
    <xf numFmtId="0" fontId="2" fillId="0" borderId="0" xfId="19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18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" xfId="18" applyFont="1" applyFill="1" applyBorder="1" applyAlignment="1">
      <alignment horizontal="center" vertical="center"/>
      <protection/>
    </xf>
    <xf numFmtId="0" fontId="3" fillId="0" borderId="0" xfId="19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19" applyNumberFormat="1" applyFont="1" applyFill="1">
      <alignment/>
      <protection/>
    </xf>
    <xf numFmtId="4" fontId="22" fillId="0" borderId="0" xfId="19" applyNumberFormat="1" applyFont="1" applyFill="1">
      <alignment/>
      <protection/>
    </xf>
    <xf numFmtId="4" fontId="23" fillId="0" borderId="0" xfId="19" applyNumberFormat="1" applyFont="1" applyFill="1">
      <alignment/>
      <protection/>
    </xf>
    <xf numFmtId="4" fontId="21" fillId="0" borderId="0" xfId="18" applyNumberFormat="1" applyFont="1" applyFill="1">
      <alignment/>
      <protection/>
    </xf>
    <xf numFmtId="4" fontId="22" fillId="0" borderId="0" xfId="18" applyNumberFormat="1" applyFont="1" applyFill="1">
      <alignment/>
      <protection/>
    </xf>
    <xf numFmtId="4" fontId="23" fillId="0" borderId="0" xfId="18" applyNumberFormat="1" applyFont="1" applyFill="1">
      <alignment/>
      <protection/>
    </xf>
    <xf numFmtId="4" fontId="24" fillId="0" borderId="0" xfId="18" applyNumberFormat="1" applyFont="1" applyFill="1">
      <alignment/>
      <protection/>
    </xf>
    <xf numFmtId="4" fontId="23" fillId="0" borderId="0" xfId="18" applyNumberFormat="1" applyFont="1" applyFill="1" applyAlignment="1">
      <alignment vertical="center"/>
      <protection/>
    </xf>
    <xf numFmtId="4" fontId="20" fillId="0" borderId="0" xfId="19" applyNumberFormat="1" applyFont="1" applyFill="1">
      <alignment/>
      <protection/>
    </xf>
    <xf numFmtId="4" fontId="9" fillId="0" borderId="0" xfId="19" applyNumberFormat="1" applyFont="1" applyFill="1">
      <alignment/>
      <protection/>
    </xf>
    <xf numFmtId="4" fontId="3" fillId="0" borderId="0" xfId="18" applyNumberFormat="1" applyFont="1" applyFill="1" applyAlignment="1">
      <alignment horizontal="center"/>
      <protection/>
    </xf>
    <xf numFmtId="4" fontId="25" fillId="0" borderId="0" xfId="18" applyNumberFormat="1" applyFont="1" applyFill="1" applyAlignment="1">
      <alignment vertical="center"/>
      <protection/>
    </xf>
    <xf numFmtId="4" fontId="5" fillId="0" borderId="2" xfId="18" applyNumberFormat="1" applyFont="1" applyFill="1" applyBorder="1" applyAlignment="1">
      <alignment horizontal="right" vertical="center"/>
      <protection/>
    </xf>
    <xf numFmtId="4" fontId="5" fillId="0" borderId="2" xfId="1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 wrapText="1"/>
    </xf>
    <xf numFmtId="0" fontId="32" fillId="0" borderId="4" xfId="18" applyFont="1" applyFill="1" applyBorder="1" applyAlignment="1">
      <alignment vertical="center" wrapText="1"/>
      <protection/>
    </xf>
    <xf numFmtId="0" fontId="34" fillId="0" borderId="1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vertical="center" wrapText="1"/>
    </xf>
    <xf numFmtId="0" fontId="35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vertical="center" wrapText="1"/>
    </xf>
    <xf numFmtId="4" fontId="32" fillId="0" borderId="1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32" fillId="0" borderId="1" xfId="18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/>
    </xf>
    <xf numFmtId="4" fontId="3" fillId="0" borderId="0" xfId="18" applyNumberFormat="1" applyFont="1" applyFill="1" applyBorder="1" applyAlignment="1">
      <alignment vertical="center"/>
      <protection/>
    </xf>
    <xf numFmtId="4" fontId="3" fillId="0" borderId="0" xfId="18" applyNumberFormat="1" applyFont="1" applyFill="1" applyAlignment="1">
      <alignment vertical="center"/>
      <protection/>
    </xf>
    <xf numFmtId="4" fontId="22" fillId="0" borderId="0" xfId="18" applyNumberFormat="1" applyFont="1" applyFill="1" applyAlignment="1">
      <alignment vertical="center"/>
      <protection/>
    </xf>
    <xf numFmtId="4" fontId="13" fillId="0" borderId="0" xfId="18" applyNumberFormat="1" applyFont="1" applyFill="1" applyAlignment="1">
      <alignment vertical="center"/>
      <protection/>
    </xf>
    <xf numFmtId="0" fontId="13" fillId="0" borderId="0" xfId="18" applyFont="1" applyFill="1">
      <alignment/>
      <protection/>
    </xf>
    <xf numFmtId="0" fontId="35" fillId="0" borderId="8" xfId="0" applyFont="1" applyFill="1" applyBorder="1" applyAlignment="1">
      <alignment vertical="center" wrapText="1"/>
    </xf>
    <xf numFmtId="0" fontId="2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horizontal="center" vertical="center"/>
      <protection/>
    </xf>
    <xf numFmtId="4" fontId="9" fillId="0" borderId="0" xfId="19" applyNumberFormat="1" applyFont="1" applyFill="1" applyAlignment="1">
      <alignment vertical="center"/>
      <protection/>
    </xf>
    <xf numFmtId="4" fontId="3" fillId="0" borderId="0" xfId="19" applyNumberFormat="1" applyFont="1" applyFill="1" applyAlignment="1">
      <alignment vertical="center"/>
      <protection/>
    </xf>
    <xf numFmtId="4" fontId="2" fillId="0" borderId="0" xfId="19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4" fontId="35" fillId="0" borderId="1" xfId="0" applyNumberFormat="1" applyFont="1" applyFill="1" applyBorder="1" applyAlignment="1">
      <alignment vertical="center" wrapText="1"/>
    </xf>
    <xf numFmtId="4" fontId="35" fillId="0" borderId="7" xfId="0" applyNumberFormat="1" applyFont="1" applyFill="1" applyBorder="1" applyAlignment="1">
      <alignment vertical="center" wrapText="1"/>
    </xf>
    <xf numFmtId="4" fontId="34" fillId="0" borderId="7" xfId="0" applyNumberFormat="1" applyFont="1" applyFill="1" applyBorder="1" applyAlignment="1">
      <alignment vertical="center" wrapText="1"/>
    </xf>
    <xf numFmtId="4" fontId="35" fillId="0" borderId="4" xfId="0" applyNumberFormat="1" applyFont="1" applyFill="1" applyBorder="1" applyAlignment="1">
      <alignment vertical="center" wrapText="1"/>
    </xf>
    <xf numFmtId="0" fontId="34" fillId="0" borderId="8" xfId="0" applyFont="1" applyFill="1" applyBorder="1" applyAlignment="1">
      <alignment vertical="center" wrapText="1"/>
    </xf>
    <xf numFmtId="4" fontId="34" fillId="0" borderId="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2" fillId="0" borderId="1" xfId="0" applyNumberFormat="1" applyFont="1" applyFill="1" applyBorder="1" applyAlignment="1">
      <alignment vertical="center"/>
    </xf>
    <xf numFmtId="4" fontId="32" fillId="0" borderId="4" xfId="0" applyNumberFormat="1" applyFont="1" applyFill="1" applyBorder="1" applyAlignment="1">
      <alignment vertical="center"/>
    </xf>
    <xf numFmtId="0" fontId="32" fillId="0" borderId="2" xfId="18" applyFont="1" applyFill="1" applyBorder="1" applyAlignment="1">
      <alignment vertical="center" wrapText="1"/>
      <protection/>
    </xf>
    <xf numFmtId="4" fontId="32" fillId="0" borderId="2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4" fontId="35" fillId="0" borderId="4" xfId="0" applyNumberFormat="1" applyFont="1" applyFill="1" applyBorder="1" applyAlignment="1">
      <alignment vertical="center"/>
    </xf>
    <xf numFmtId="4" fontId="34" fillId="0" borderId="4" xfId="0" applyNumberFormat="1" applyFont="1" applyFill="1" applyBorder="1" applyAlignment="1">
      <alignment vertical="center"/>
    </xf>
    <xf numFmtId="49" fontId="2" fillId="0" borderId="0" xfId="19" applyNumberFormat="1" applyFont="1" applyFill="1">
      <alignment/>
      <protection/>
    </xf>
    <xf numFmtId="49" fontId="9" fillId="0" borderId="0" xfId="19" applyNumberFormat="1" applyFont="1" applyFill="1">
      <alignment/>
      <protection/>
    </xf>
    <xf numFmtId="49" fontId="9" fillId="0" borderId="0" xfId="19" applyNumberFormat="1" applyFont="1" applyFill="1" applyAlignment="1">
      <alignment horizontal="center"/>
      <protection/>
    </xf>
    <xf numFmtId="49" fontId="3" fillId="0" borderId="0" xfId="19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24" applyFont="1" applyFill="1" applyAlignment="1">
      <alignment horizontal="left"/>
      <protection/>
    </xf>
    <xf numFmtId="49" fontId="3" fillId="0" borderId="0" xfId="19" applyNumberFormat="1" applyFont="1" applyFill="1" applyAlignment="1">
      <alignment horizontal="center"/>
      <protection/>
    </xf>
    <xf numFmtId="49" fontId="3" fillId="0" borderId="0" xfId="18" applyNumberFormat="1" applyFont="1" applyFill="1">
      <alignment/>
      <protection/>
    </xf>
    <xf numFmtId="4" fontId="4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21" applyNumberFormat="1" applyFont="1" applyFill="1">
      <alignment/>
      <protection/>
    </xf>
    <xf numFmtId="49" fontId="39" fillId="0" borderId="0" xfId="21" applyNumberFormat="1" applyFont="1" applyFill="1">
      <alignment/>
      <protection/>
    </xf>
    <xf numFmtId="49" fontId="39" fillId="0" borderId="0" xfId="21" applyNumberFormat="1" applyFont="1" applyFill="1" applyAlignment="1">
      <alignment horizontal="center"/>
      <protection/>
    </xf>
    <xf numFmtId="0" fontId="39" fillId="0" borderId="0" xfId="0" applyFont="1" applyFill="1" applyAlignment="1">
      <alignment horizontal="left"/>
    </xf>
    <xf numFmtId="0" fontId="39" fillId="0" borderId="0" xfId="19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21" applyNumberFormat="1" applyFont="1" applyFill="1">
      <alignment/>
      <protection/>
    </xf>
    <xf numFmtId="49" fontId="9" fillId="0" borderId="0" xfId="21" applyNumberFormat="1" applyFont="1" applyFill="1" applyAlignment="1">
      <alignment horizontal="center"/>
      <protection/>
    </xf>
    <xf numFmtId="0" fontId="7" fillId="0" borderId="0" xfId="19" applyFont="1" applyFill="1">
      <alignment/>
      <protection/>
    </xf>
    <xf numFmtId="49" fontId="3" fillId="0" borderId="0" xfId="21" applyNumberFormat="1" applyFont="1" applyFill="1">
      <alignment/>
      <protection/>
    </xf>
    <xf numFmtId="49" fontId="7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horizontal="center"/>
      <protection/>
    </xf>
    <xf numFmtId="49" fontId="9" fillId="0" borderId="9" xfId="18" applyNumberFormat="1" applyFont="1" applyFill="1" applyBorder="1">
      <alignment/>
      <protection/>
    </xf>
    <xf numFmtId="49" fontId="9" fillId="0" borderId="9" xfId="18" applyNumberFormat="1" applyFont="1" applyFill="1" applyBorder="1" applyAlignment="1">
      <alignment horizontal="center"/>
      <protection/>
    </xf>
    <xf numFmtId="49" fontId="9" fillId="0" borderId="10" xfId="18" applyNumberFormat="1" applyFont="1" applyFill="1" applyBorder="1">
      <alignment/>
      <protection/>
    </xf>
    <xf numFmtId="49" fontId="9" fillId="0" borderId="10" xfId="18" applyNumberFormat="1" applyFont="1" applyFill="1" applyBorder="1" applyAlignment="1">
      <alignment horizontal="center"/>
      <protection/>
    </xf>
    <xf numFmtId="49" fontId="9" fillId="0" borderId="3" xfId="18" applyNumberFormat="1" applyFont="1" applyFill="1" applyBorder="1" applyAlignment="1">
      <alignment horizontal="center" vertical="center"/>
      <protection/>
    </xf>
    <xf numFmtId="49" fontId="5" fillId="0" borderId="4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Alignment="1">
      <alignment/>
    </xf>
    <xf numFmtId="49" fontId="5" fillId="0" borderId="9" xfId="18" applyNumberFormat="1" applyFont="1" applyFill="1" applyBorder="1" applyAlignment="1">
      <alignment horizontal="center" vertical="center"/>
      <protection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3" fillId="0" borderId="9" xfId="18" applyNumberFormat="1" applyFont="1" applyFill="1" applyBorder="1" applyAlignment="1">
      <alignment horizontal="center" vertical="center"/>
      <protection/>
    </xf>
    <xf numFmtId="49" fontId="3" fillId="0" borderId="14" xfId="18" applyNumberFormat="1" applyFont="1" applyFill="1" applyBorder="1" applyAlignment="1">
      <alignment horizontal="center" vertical="center"/>
      <protection/>
    </xf>
    <xf numFmtId="49" fontId="3" fillId="0" borderId="2" xfId="18" applyNumberFormat="1" applyFont="1" applyFill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right" vertical="top"/>
      <protection/>
    </xf>
    <xf numFmtId="49" fontId="3" fillId="0" borderId="6" xfId="18" applyNumberFormat="1" applyFont="1" applyFill="1" applyBorder="1" applyAlignment="1">
      <alignment horizontal="center" vertical="center"/>
      <protection/>
    </xf>
    <xf numFmtId="49" fontId="3" fillId="0" borderId="10" xfId="18" applyNumberFormat="1" applyFont="1" applyFill="1" applyBorder="1" applyAlignment="1">
      <alignment horizontal="center" vertical="center"/>
      <protection/>
    </xf>
    <xf numFmtId="49" fontId="3" fillId="0" borderId="12" xfId="18" applyNumberFormat="1" applyFont="1" applyFill="1" applyBorder="1" applyAlignment="1">
      <alignment horizontal="center" vertical="center"/>
      <protection/>
    </xf>
    <xf numFmtId="49" fontId="3" fillId="0" borderId="11" xfId="18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40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18" applyNumberFormat="1" applyFont="1" applyFill="1" applyBorder="1" applyAlignment="1">
      <alignment horizontal="left" vertical="center"/>
      <protection/>
    </xf>
    <xf numFmtId="49" fontId="5" fillId="0" borderId="0" xfId="18" applyNumberFormat="1" applyFont="1" applyFill="1" applyBorder="1" applyAlignment="1">
      <alignment horizontal="center" vertical="center"/>
      <protection/>
    </xf>
    <xf numFmtId="4" fontId="5" fillId="0" borderId="0" xfId="18" applyNumberFormat="1" applyFont="1" applyFill="1" applyBorder="1" applyAlignment="1">
      <alignment horizontal="right" vertical="center"/>
      <protection/>
    </xf>
    <xf numFmtId="49" fontId="5" fillId="0" borderId="3" xfId="18" applyNumberFormat="1" applyFont="1" applyFill="1" applyBorder="1" applyAlignment="1">
      <alignment horizontal="center" vertical="center"/>
      <protection/>
    </xf>
    <xf numFmtId="4" fontId="5" fillId="0" borderId="11" xfId="18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3" fillId="0" borderId="11" xfId="18" applyNumberFormat="1" applyFont="1" applyFill="1" applyBorder="1" applyAlignment="1">
      <alignment horizontal="right" vertical="top"/>
      <protection/>
    </xf>
    <xf numFmtId="4" fontId="47" fillId="0" borderId="0" xfId="0" applyNumberFormat="1" applyFont="1" applyFill="1" applyAlignment="1">
      <alignment/>
    </xf>
    <xf numFmtId="49" fontId="3" fillId="0" borderId="3" xfId="18" applyNumberFormat="1" applyFont="1" applyFill="1" applyBorder="1" applyAlignment="1">
      <alignment horizontal="center" vertical="center"/>
      <protection/>
    </xf>
    <xf numFmtId="4" fontId="5" fillId="0" borderId="11" xfId="18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18" applyNumberFormat="1" applyFont="1" applyFill="1">
      <alignment/>
      <protection/>
    </xf>
    <xf numFmtId="49" fontId="9" fillId="0" borderId="0" xfId="18" applyNumberFormat="1" applyFont="1" applyFill="1" applyAlignment="1">
      <alignment horizontal="center"/>
      <protection/>
    </xf>
    <xf numFmtId="4" fontId="42" fillId="0" borderId="0" xfId="18" applyNumberFormat="1" applyFont="1" applyFill="1">
      <alignment/>
      <protection/>
    </xf>
    <xf numFmtId="4" fontId="41" fillId="0" borderId="0" xfId="18" applyNumberFormat="1" applyFont="1" applyFill="1">
      <alignment/>
      <protection/>
    </xf>
    <xf numFmtId="164" fontId="9" fillId="0" borderId="0" xfId="18" applyNumberFormat="1" applyFont="1" applyFill="1">
      <alignment/>
      <protection/>
    </xf>
    <xf numFmtId="4" fontId="48" fillId="0" borderId="0" xfId="18" applyNumberFormat="1" applyFont="1" applyFill="1">
      <alignment/>
      <protection/>
    </xf>
    <xf numFmtId="4" fontId="25" fillId="0" borderId="0" xfId="18" applyNumberFormat="1" applyFont="1" applyFill="1">
      <alignment/>
      <protection/>
    </xf>
    <xf numFmtId="49" fontId="5" fillId="0" borderId="0" xfId="18" applyNumberFormat="1" applyFont="1" applyFill="1">
      <alignment/>
      <protection/>
    </xf>
    <xf numFmtId="49" fontId="12" fillId="0" borderId="0" xfId="18" applyNumberFormat="1" applyFont="1" applyFill="1" applyAlignment="1">
      <alignment horizontal="center"/>
      <protection/>
    </xf>
    <xf numFmtId="4" fontId="5" fillId="0" borderId="0" xfId="18" applyNumberFormat="1" applyFont="1" applyFill="1">
      <alignment/>
      <protection/>
    </xf>
    <xf numFmtId="4" fontId="40" fillId="0" borderId="0" xfId="18" applyNumberFormat="1" applyFont="1" applyFill="1">
      <alignment/>
      <protection/>
    </xf>
    <xf numFmtId="4" fontId="49" fillId="0" borderId="0" xfId="18" applyNumberFormat="1" applyFont="1" applyFill="1">
      <alignment/>
      <protection/>
    </xf>
    <xf numFmtId="49" fontId="7" fillId="0" borderId="0" xfId="18" applyNumberFormat="1" applyFont="1" applyFill="1">
      <alignment/>
      <protection/>
    </xf>
    <xf numFmtId="4" fontId="3" fillId="0" borderId="0" xfId="18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19" applyNumberFormat="1" applyFont="1" applyFill="1">
      <alignment/>
      <protection/>
    </xf>
    <xf numFmtId="4" fontId="29" fillId="0" borderId="0" xfId="18" applyNumberFormat="1" applyFont="1" applyFill="1">
      <alignment/>
      <protection/>
    </xf>
    <xf numFmtId="49" fontId="39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9" fillId="0" borderId="0" xfId="19" applyNumberFormat="1" applyFont="1" applyFill="1">
      <alignment/>
      <protection/>
    </xf>
    <xf numFmtId="4" fontId="20" fillId="0" borderId="0" xfId="18" applyNumberFormat="1" applyFont="1" applyFill="1">
      <alignment/>
      <protection/>
    </xf>
    <xf numFmtId="4" fontId="9" fillId="0" borderId="0" xfId="18" applyNumberFormat="1" applyFont="1" applyFill="1">
      <alignment/>
      <protection/>
    </xf>
    <xf numFmtId="4" fontId="44" fillId="0" borderId="0" xfId="18" applyNumberFormat="1" applyFont="1" applyFill="1">
      <alignment/>
      <protection/>
    </xf>
    <xf numFmtId="49" fontId="17" fillId="0" borderId="0" xfId="18" applyNumberFormat="1" applyFont="1" applyFill="1">
      <alignment/>
      <protection/>
    </xf>
    <xf numFmtId="49" fontId="5" fillId="0" borderId="0" xfId="18" applyNumberFormat="1" applyFont="1" applyFill="1" applyBorder="1">
      <alignment/>
      <protection/>
    </xf>
    <xf numFmtId="49" fontId="5" fillId="0" borderId="0" xfId="18" applyNumberFormat="1" applyFont="1" applyFill="1" applyBorder="1" applyAlignment="1">
      <alignment horizontal="center"/>
      <protection/>
    </xf>
    <xf numFmtId="4" fontId="43" fillId="0" borderId="0" xfId="18" applyNumberFormat="1" applyFont="1" applyFill="1">
      <alignment/>
      <protection/>
    </xf>
    <xf numFmtId="4" fontId="50" fillId="0" borderId="0" xfId="18" applyNumberFormat="1" applyFont="1" applyFill="1">
      <alignment/>
      <protection/>
    </xf>
    <xf numFmtId="49" fontId="15" fillId="0" borderId="0" xfId="18" applyNumberFormat="1" applyFont="1" applyFill="1">
      <alignment/>
      <protection/>
    </xf>
    <xf numFmtId="49" fontId="15" fillId="0" borderId="0" xfId="18" applyNumberFormat="1" applyFont="1" applyFill="1" applyAlignment="1">
      <alignment horizontal="center"/>
      <protection/>
    </xf>
    <xf numFmtId="4" fontId="51" fillId="0" borderId="0" xfId="18" applyNumberFormat="1" applyFont="1" applyFill="1">
      <alignment/>
      <protection/>
    </xf>
    <xf numFmtId="4" fontId="52" fillId="0" borderId="0" xfId="18" applyNumberFormat="1" applyFont="1" applyFill="1">
      <alignment/>
      <protection/>
    </xf>
    <xf numFmtId="49" fontId="5" fillId="0" borderId="14" xfId="18" applyNumberFormat="1" applyFont="1" applyFill="1" applyBorder="1" applyAlignment="1">
      <alignment horizontal="center" vertical="center"/>
      <protection/>
    </xf>
    <xf numFmtId="0" fontId="5" fillId="0" borderId="0" xfId="18" applyFont="1" applyFill="1">
      <alignment/>
      <protection/>
    </xf>
    <xf numFmtId="49" fontId="20" fillId="0" borderId="2" xfId="18" applyNumberFormat="1" applyFont="1" applyFill="1" applyBorder="1" applyAlignment="1">
      <alignment horizontal="center" vertical="center"/>
      <protection/>
    </xf>
    <xf numFmtId="4" fontId="40" fillId="0" borderId="0" xfId="18" applyNumberFormat="1" applyFont="1" applyFill="1" applyAlignment="1">
      <alignment vertical="center"/>
      <protection/>
    </xf>
    <xf numFmtId="49" fontId="5" fillId="0" borderId="0" xfId="18" applyNumberFormat="1" applyFont="1" applyFill="1" applyBorder="1" applyAlignment="1">
      <alignment vertical="center"/>
      <protection/>
    </xf>
    <xf numFmtId="49" fontId="3" fillId="0" borderId="0" xfId="18" applyNumberFormat="1" applyFont="1" applyFill="1" applyBorder="1" applyAlignment="1">
      <alignment horizontal="center" vertical="center"/>
      <protection/>
    </xf>
    <xf numFmtId="49" fontId="20" fillId="0" borderId="0" xfId="18" applyNumberFormat="1" applyFont="1" applyFill="1" applyBorder="1" applyAlignment="1">
      <alignment horizontal="center" vertical="center"/>
      <protection/>
    </xf>
    <xf numFmtId="49" fontId="9" fillId="0" borderId="5" xfId="18" applyNumberFormat="1" applyFont="1" applyFill="1" applyBorder="1">
      <alignment/>
      <protection/>
    </xf>
    <xf numFmtId="49" fontId="9" fillId="0" borderId="14" xfId="18" applyNumberFormat="1" applyFont="1" applyFill="1" applyBorder="1" applyAlignment="1">
      <alignment horizontal="center"/>
      <protection/>
    </xf>
    <xf numFmtId="49" fontId="9" fillId="0" borderId="6" xfId="18" applyNumberFormat="1" applyFont="1" applyFill="1" applyBorder="1">
      <alignment/>
      <protection/>
    </xf>
    <xf numFmtId="49" fontId="9" fillId="0" borderId="12" xfId="18" applyNumberFormat="1" applyFont="1" applyFill="1" applyBorder="1" applyAlignment="1">
      <alignment horizontal="center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10" xfId="18" applyNumberFormat="1" applyFont="1" applyFill="1" applyBorder="1" applyAlignment="1">
      <alignment horizontal="center" vertical="center"/>
      <protection/>
    </xf>
    <xf numFmtId="49" fontId="9" fillId="0" borderId="12" xfId="18" applyNumberFormat="1" applyFont="1" applyFill="1" applyBorder="1" applyAlignment="1">
      <alignment horizontal="center" vertical="center"/>
      <protection/>
    </xf>
    <xf numFmtId="0" fontId="9" fillId="0" borderId="10" xfId="18" applyFont="1" applyFill="1" applyBorder="1" applyAlignment="1">
      <alignment horizontal="center" vertical="top"/>
      <protection/>
    </xf>
    <xf numFmtId="0" fontId="10" fillId="0" borderId="9" xfId="18" applyFont="1" applyFill="1" applyBorder="1" applyAlignment="1">
      <alignment vertical="center" wrapText="1"/>
      <protection/>
    </xf>
    <xf numFmtId="49" fontId="3" fillId="0" borderId="0" xfId="18" applyNumberFormat="1" applyFont="1" applyFill="1" applyBorder="1" applyAlignment="1">
      <alignment horizontal="left" vertical="center"/>
      <protection/>
    </xf>
    <xf numFmtId="49" fontId="3" fillId="0" borderId="0" xfId="22" applyNumberFormat="1" applyFont="1" applyFill="1">
      <alignment/>
      <protection/>
    </xf>
    <xf numFmtId="49" fontId="31" fillId="0" borderId="0" xfId="22" applyNumberFormat="1" applyFont="1" applyFill="1">
      <alignment/>
      <protection/>
    </xf>
    <xf numFmtId="49" fontId="7" fillId="0" borderId="0" xfId="22" applyNumberFormat="1" applyFont="1" applyFill="1" applyAlignment="1">
      <alignment horizontal="center"/>
      <protection/>
    </xf>
    <xf numFmtId="49" fontId="37" fillId="0" borderId="0" xfId="18" applyNumberFormat="1" applyFont="1" applyFill="1">
      <alignment/>
      <protection/>
    </xf>
    <xf numFmtId="49" fontId="7" fillId="0" borderId="0" xfId="22" applyNumberFormat="1" applyFont="1" applyFill="1">
      <alignment/>
      <protection/>
    </xf>
    <xf numFmtId="49" fontId="4" fillId="0" borderId="0" xfId="18" applyNumberFormat="1" applyFont="1" applyFill="1">
      <alignment/>
      <protection/>
    </xf>
    <xf numFmtId="49" fontId="13" fillId="0" borderId="0" xfId="22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22" applyNumberFormat="1" applyFont="1" applyFill="1" applyBorder="1" applyAlignment="1">
      <alignment horizontal="center"/>
      <protection/>
    </xf>
    <xf numFmtId="4" fontId="53" fillId="0" borderId="0" xfId="18" applyNumberFormat="1" applyFont="1" applyFill="1" applyAlignment="1">
      <alignment vertical="center"/>
      <protection/>
    </xf>
    <xf numFmtId="4" fontId="54" fillId="0" borderId="0" xfId="18" applyNumberFormat="1" applyFont="1" applyFill="1" applyAlignment="1">
      <alignment vertical="center"/>
      <protection/>
    </xf>
    <xf numFmtId="49" fontId="15" fillId="0" borderId="0" xfId="22" applyNumberFormat="1" applyFont="1" applyFill="1">
      <alignment/>
      <protection/>
    </xf>
    <xf numFmtId="0" fontId="27" fillId="0" borderId="0" xfId="18" applyFont="1" applyFill="1">
      <alignment/>
      <protection/>
    </xf>
    <xf numFmtId="49" fontId="9" fillId="0" borderId="0" xfId="0" applyNumberFormat="1" applyFont="1" applyFill="1" applyAlignment="1">
      <alignment/>
    </xf>
    <xf numFmtId="4" fontId="6" fillId="0" borderId="0" xfId="18" applyNumberFormat="1" applyFont="1" applyFill="1" applyBorder="1" applyAlignment="1">
      <alignment horizontal="right"/>
      <protection/>
    </xf>
    <xf numFmtId="49" fontId="3" fillId="0" borderId="0" xfId="21" applyNumberFormat="1" applyFont="1" applyFill="1" applyAlignment="1">
      <alignment horizontal="center"/>
      <protection/>
    </xf>
    <xf numFmtId="0" fontId="3" fillId="0" borderId="0" xfId="21" applyFont="1" applyFill="1">
      <alignment/>
      <protection/>
    </xf>
    <xf numFmtId="4" fontId="3" fillId="0" borderId="0" xfId="21" applyNumberFormat="1" applyFont="1" applyFill="1">
      <alignment/>
      <protection/>
    </xf>
    <xf numFmtId="0" fontId="41" fillId="0" borderId="0" xfId="0" applyFont="1" applyFill="1" applyAlignment="1">
      <alignment/>
    </xf>
    <xf numFmtId="49" fontId="15" fillId="0" borderId="0" xfId="21" applyNumberFormat="1" applyFont="1" applyFill="1">
      <alignment/>
      <protection/>
    </xf>
    <xf numFmtId="49" fontId="15" fillId="0" borderId="0" xfId="21" applyNumberFormat="1" applyFont="1" applyFill="1" applyAlignment="1">
      <alignment horizontal="center"/>
      <protection/>
    </xf>
    <xf numFmtId="0" fontId="15" fillId="0" borderId="0" xfId="21" applyFont="1" applyFill="1">
      <alignment/>
      <protection/>
    </xf>
    <xf numFmtId="4" fontId="15" fillId="0" borderId="0" xfId="21" applyNumberFormat="1" applyFont="1" applyFill="1">
      <alignment/>
      <protection/>
    </xf>
    <xf numFmtId="0" fontId="40" fillId="0" borderId="0" xfId="18" applyFont="1" applyFill="1">
      <alignment/>
      <protection/>
    </xf>
    <xf numFmtId="0" fontId="9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4" fillId="0" borderId="0" xfId="21" applyFont="1" applyFill="1">
      <alignment/>
      <protection/>
    </xf>
    <xf numFmtId="49" fontId="3" fillId="0" borderId="5" xfId="18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32" fillId="0" borderId="5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34" fillId="0" borderId="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4" fontId="32" fillId="0" borderId="0" xfId="0" applyNumberFormat="1" applyFont="1" applyFill="1" applyAlignment="1">
      <alignment vertical="center"/>
    </xf>
    <xf numFmtId="4" fontId="58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9" fillId="0" borderId="13" xfId="0" applyFont="1" applyFill="1" applyBorder="1" applyAlignment="1">
      <alignment vertical="center" wrapText="1"/>
    </xf>
    <xf numFmtId="4" fontId="60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40" fillId="0" borderId="0" xfId="0" applyNumberFormat="1" applyFont="1" applyFill="1" applyAlignment="1">
      <alignment/>
    </xf>
    <xf numFmtId="4" fontId="40" fillId="0" borderId="0" xfId="18" applyNumberFormat="1" applyFont="1" applyFill="1">
      <alignment/>
      <protection/>
    </xf>
    <xf numFmtId="0" fontId="13" fillId="0" borderId="0" xfId="19" applyFont="1" applyFill="1" applyAlignment="1">
      <alignment vertical="center"/>
      <protection/>
    </xf>
    <xf numFmtId="49" fontId="5" fillId="0" borderId="1" xfId="18" applyNumberFormat="1" applyFont="1" applyFill="1" applyBorder="1" applyAlignment="1">
      <alignment horizontal="left" vertical="center"/>
      <protection/>
    </xf>
    <xf numFmtId="49" fontId="5" fillId="0" borderId="13" xfId="18" applyNumberFormat="1" applyFont="1" applyFill="1" applyBorder="1" applyAlignment="1">
      <alignment horizontal="center" vertical="center"/>
      <protection/>
    </xf>
    <xf numFmtId="49" fontId="5" fillId="0" borderId="1" xfId="18" applyNumberFormat="1" applyFont="1" applyFill="1" applyBorder="1" applyAlignment="1">
      <alignment horizontal="center" vertical="center"/>
      <protection/>
    </xf>
    <xf numFmtId="4" fontId="62" fillId="0" borderId="0" xfId="0" applyNumberFormat="1" applyFont="1" applyFill="1" applyAlignment="1">
      <alignment/>
    </xf>
    <xf numFmtId="49" fontId="3" fillId="0" borderId="4" xfId="18" applyNumberFormat="1" applyFont="1" applyFill="1" applyBorder="1" applyAlignment="1">
      <alignment horizontal="center" vertical="center"/>
      <protection/>
    </xf>
    <xf numFmtId="49" fontId="5" fillId="0" borderId="11" xfId="18" applyNumberFormat="1" applyFont="1" applyFill="1" applyBorder="1" applyAlignment="1">
      <alignment horizontal="center" vertical="center"/>
      <protection/>
    </xf>
    <xf numFmtId="4" fontId="32" fillId="0" borderId="1" xfId="18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32" fillId="0" borderId="9" xfId="0" applyFont="1" applyFill="1" applyBorder="1" applyAlignment="1">
      <alignment horizontal="center" vertical="center"/>
    </xf>
    <xf numFmtId="1" fontId="3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/>
    </xf>
    <xf numFmtId="1" fontId="32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35" fillId="0" borderId="8" xfId="0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vertical="center"/>
    </xf>
    <xf numFmtId="4" fontId="64" fillId="0" borderId="0" xfId="0" applyNumberFormat="1" applyFont="1" applyFill="1" applyAlignment="1">
      <alignment/>
    </xf>
    <xf numFmtId="0" fontId="35" fillId="0" borderId="1" xfId="0" applyFont="1" applyFill="1" applyBorder="1" applyAlignment="1">
      <alignment horizontal="center" vertical="center"/>
    </xf>
    <xf numFmtId="4" fontId="65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32" fillId="0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/>
    </xf>
    <xf numFmtId="4" fontId="32" fillId="0" borderId="4" xfId="18" applyNumberFormat="1" applyFont="1" applyFill="1" applyBorder="1" applyAlignment="1">
      <alignment vertical="center"/>
      <protection/>
    </xf>
    <xf numFmtId="0" fontId="32" fillId="0" borderId="1" xfId="18" applyFont="1" applyFill="1" applyBorder="1" applyAlignment="1">
      <alignment vertical="top" wrapText="1"/>
      <protection/>
    </xf>
    <xf numFmtId="0" fontId="12" fillId="0" borderId="4" xfId="0" applyFont="1" applyFill="1" applyBorder="1" applyAlignment="1">
      <alignment vertical="center"/>
    </xf>
    <xf numFmtId="0" fontId="35" fillId="0" borderId="1" xfId="18" applyFont="1" applyFill="1" applyBorder="1" applyAlignment="1">
      <alignment vertical="center" wrapText="1"/>
      <protection/>
    </xf>
    <xf numFmtId="4" fontId="35" fillId="0" borderId="1" xfId="18" applyNumberFormat="1" applyFont="1" applyFill="1" applyBorder="1" applyAlignment="1">
      <alignment vertical="center" wrapText="1"/>
      <protection/>
    </xf>
    <xf numFmtId="4" fontId="35" fillId="0" borderId="4" xfId="18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1" xfId="18" applyFont="1" applyFill="1" applyBorder="1" applyAlignment="1">
      <alignment vertical="center" wrapText="1"/>
      <protection/>
    </xf>
    <xf numFmtId="4" fontId="34" fillId="0" borderId="1" xfId="18" applyNumberFormat="1" applyFont="1" applyFill="1" applyBorder="1" applyAlignment="1">
      <alignment vertical="center" wrapText="1"/>
      <protection/>
    </xf>
    <xf numFmtId="4" fontId="34" fillId="0" borderId="4" xfId="18" applyNumberFormat="1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2" fontId="32" fillId="0" borderId="4" xfId="18" applyNumberFormat="1" applyFont="1" applyFill="1" applyBorder="1" applyAlignment="1">
      <alignment vertical="center" wrapText="1"/>
      <protection/>
    </xf>
    <xf numFmtId="0" fontId="32" fillId="0" borderId="4" xfId="18" applyFont="1" applyFill="1" applyBorder="1" applyAlignment="1">
      <alignment vertical="center" wrapText="1"/>
      <protection/>
    </xf>
    <xf numFmtId="0" fontId="35" fillId="0" borderId="4" xfId="18" applyFont="1" applyFill="1" applyBorder="1" applyAlignment="1">
      <alignment vertical="center" wrapText="1"/>
      <protection/>
    </xf>
    <xf numFmtId="0" fontId="57" fillId="0" borderId="0" xfId="0" applyFont="1" applyFill="1" applyAlignment="1">
      <alignment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4" xfId="18" applyFont="1" applyFill="1" applyBorder="1" applyAlignment="1">
      <alignment vertical="center" wrapText="1"/>
      <protection/>
    </xf>
    <xf numFmtId="0" fontId="38" fillId="0" borderId="0" xfId="0" applyFont="1" applyFill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35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5" fillId="0" borderId="5" xfId="18" applyNumberFormat="1" applyFont="1" applyFill="1" applyBorder="1" applyAlignment="1">
      <alignment horizontal="center" vertical="center"/>
      <protection/>
    </xf>
    <xf numFmtId="49" fontId="5" fillId="0" borderId="7" xfId="18" applyNumberFormat="1" applyFont="1" applyFill="1" applyBorder="1" applyAlignment="1">
      <alignment horizontal="left" vertical="center"/>
      <protection/>
    </xf>
    <xf numFmtId="49" fontId="3" fillId="0" borderId="7" xfId="18" applyNumberFormat="1" applyFont="1" applyFill="1" applyBorder="1" applyAlignment="1">
      <alignment horizontal="center" vertical="center"/>
      <protection/>
    </xf>
    <xf numFmtId="49" fontId="5" fillId="0" borderId="8" xfId="18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" fontId="40" fillId="0" borderId="0" xfId="18" applyNumberFormat="1" applyFont="1" applyFill="1" applyBorder="1" applyAlignment="1">
      <alignment vertical="center"/>
      <protection/>
    </xf>
    <xf numFmtId="49" fontId="55" fillId="0" borderId="0" xfId="0" applyNumberFormat="1" applyFont="1" applyFill="1" applyAlignment="1">
      <alignment/>
    </xf>
    <xf numFmtId="49" fontId="15" fillId="0" borderId="0" xfId="18" applyNumberFormat="1" applyFont="1" applyFill="1" applyAlignment="1">
      <alignment horizontal="left"/>
      <protection/>
    </xf>
    <xf numFmtId="4" fontId="69" fillId="0" borderId="0" xfId="0" applyNumberFormat="1" applyFont="1" applyFill="1" applyAlignment="1">
      <alignment/>
    </xf>
    <xf numFmtId="0" fontId="36" fillId="0" borderId="0" xfId="19" applyFont="1" applyFill="1" applyAlignment="1">
      <alignment vertical="center"/>
      <protection/>
    </xf>
    <xf numFmtId="0" fontId="5" fillId="0" borderId="9" xfId="18" applyFont="1" applyFill="1" applyBorder="1" applyAlignment="1">
      <alignment horizontal="center" vertical="center"/>
      <protection/>
    </xf>
    <xf numFmtId="0" fontId="3" fillId="0" borderId="9" xfId="18" applyFont="1" applyFill="1" applyBorder="1" applyAlignment="1">
      <alignment horizontal="center" vertical="center"/>
      <protection/>
    </xf>
    <xf numFmtId="0" fontId="3" fillId="0" borderId="2" xfId="18" applyFont="1" applyFill="1" applyBorder="1" applyAlignment="1">
      <alignment horizontal="center" vertical="center"/>
      <protection/>
    </xf>
    <xf numFmtId="4" fontId="3" fillId="0" borderId="2" xfId="18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/>
    </xf>
    <xf numFmtId="49" fontId="17" fillId="0" borderId="0" xfId="18" applyNumberFormat="1" applyFont="1" applyFill="1" applyBorder="1" applyAlignment="1">
      <alignment horizontal="center"/>
      <protection/>
    </xf>
    <xf numFmtId="4" fontId="17" fillId="0" borderId="0" xfId="18" applyNumberFormat="1" applyFont="1" applyFill="1" applyBorder="1" applyAlignment="1">
      <alignment horizontal="right"/>
      <protection/>
    </xf>
    <xf numFmtId="0" fontId="5" fillId="0" borderId="2" xfId="18" applyFont="1" applyFill="1" applyBorder="1" applyAlignment="1">
      <alignment horizontal="center" vertical="center"/>
      <protection/>
    </xf>
    <xf numFmtId="0" fontId="34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49" fontId="5" fillId="0" borderId="7" xfId="18" applyNumberFormat="1" applyFont="1" applyFill="1" applyBorder="1" applyAlignment="1">
      <alignment vertical="center"/>
      <protection/>
    </xf>
    <xf numFmtId="49" fontId="3" fillId="0" borderId="8" xfId="18" applyNumberFormat="1" applyFont="1" applyFill="1" applyBorder="1" applyAlignment="1">
      <alignment horizontal="center" vertical="center"/>
      <protection/>
    </xf>
    <xf numFmtId="4" fontId="70" fillId="0" borderId="0" xfId="19" applyNumberFormat="1" applyFont="1" applyFill="1" applyAlignment="1">
      <alignment horizontal="right" vertical="center"/>
      <protection/>
    </xf>
    <xf numFmtId="0" fontId="9" fillId="3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/>
    </xf>
    <xf numFmtId="4" fontId="66" fillId="0" borderId="0" xfId="0" applyNumberFormat="1" applyFont="1" applyFill="1" applyAlignment="1">
      <alignment/>
    </xf>
    <xf numFmtId="4" fontId="67" fillId="0" borderId="0" xfId="0" applyNumberFormat="1" applyFont="1" applyFill="1" applyAlignment="1">
      <alignment/>
    </xf>
    <xf numFmtId="4" fontId="5" fillId="0" borderId="4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63" fillId="3" borderId="0" xfId="18" applyFont="1" applyFill="1" applyAlignment="1">
      <alignment horizontal="left"/>
      <protection/>
    </xf>
    <xf numFmtId="0" fontId="0" fillId="3" borderId="0" xfId="0" applyFill="1" applyAlignment="1">
      <alignment/>
    </xf>
    <xf numFmtId="0" fontId="3" fillId="3" borderId="0" xfId="19" applyFont="1" applyFill="1" applyAlignment="1">
      <alignment horizontal="center"/>
      <protection/>
    </xf>
    <xf numFmtId="0" fontId="63" fillId="3" borderId="0" xfId="24" applyFont="1" applyFill="1" applyAlignment="1">
      <alignment horizontal="left"/>
      <protection/>
    </xf>
    <xf numFmtId="0" fontId="7" fillId="3" borderId="0" xfId="24" applyFont="1" applyFill="1" applyAlignment="1">
      <alignment horizontal="left"/>
      <protection/>
    </xf>
    <xf numFmtId="0" fontId="3" fillId="3" borderId="0" xfId="19" applyFont="1" applyFill="1">
      <alignment/>
      <protection/>
    </xf>
    <xf numFmtId="49" fontId="3" fillId="3" borderId="0" xfId="19" applyNumberFormat="1" applyFont="1" applyFill="1" applyAlignment="1">
      <alignment horizontal="center"/>
      <protection/>
    </xf>
    <xf numFmtId="4" fontId="3" fillId="3" borderId="0" xfId="18" applyNumberFormat="1" applyFont="1" applyFill="1" applyBorder="1" applyAlignment="1">
      <alignment vertical="center"/>
      <protection/>
    </xf>
    <xf numFmtId="0" fontId="3" fillId="3" borderId="0" xfId="18" applyFont="1" applyFill="1" applyBorder="1" applyAlignment="1">
      <alignment horizontal="center" vertical="center"/>
      <protection/>
    </xf>
    <xf numFmtId="1" fontId="20" fillId="3" borderId="0" xfId="18" applyNumberFormat="1" applyFont="1" applyFill="1" applyBorder="1" applyAlignment="1">
      <alignment horizontal="center" vertical="center"/>
      <protection/>
    </xf>
    <xf numFmtId="4" fontId="25" fillId="3" borderId="0" xfId="18" applyNumberFormat="1" applyFont="1" applyFill="1" applyBorder="1" applyAlignment="1">
      <alignment vertical="center"/>
      <protection/>
    </xf>
    <xf numFmtId="49" fontId="5" fillId="0" borderId="7" xfId="18" applyNumberFormat="1" applyFont="1" applyFill="1" applyBorder="1" applyAlignment="1">
      <alignment horizontal="center" vertical="center"/>
      <protection/>
    </xf>
    <xf numFmtId="49" fontId="5" fillId="0" borderId="6" xfId="18" applyNumberFormat="1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4" fontId="32" fillId="0" borderId="6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/>
    </xf>
    <xf numFmtId="4" fontId="5" fillId="0" borderId="9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5" xfId="18" applyFont="1" applyFill="1" applyBorder="1" applyAlignment="1">
      <alignment horizontal="center" vertical="center"/>
      <protection/>
    </xf>
    <xf numFmtId="0" fontId="3" fillId="0" borderId="14" xfId="18" applyFont="1" applyFill="1" applyBorder="1" applyAlignment="1">
      <alignment horizontal="center" vertical="center"/>
      <protection/>
    </xf>
    <xf numFmtId="4" fontId="32" fillId="4" borderId="4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6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2" fillId="4" borderId="13" xfId="0" applyFont="1" applyFill="1" applyBorder="1" applyAlignment="1">
      <alignment horizontal="center" vertical="center"/>
    </xf>
    <xf numFmtId="4" fontId="32" fillId="4" borderId="1" xfId="0" applyNumberFormat="1" applyFont="1" applyFill="1" applyBorder="1" applyAlignment="1">
      <alignment vertical="center"/>
    </xf>
    <xf numFmtId="4" fontId="32" fillId="4" borderId="4" xfId="0" applyNumberFormat="1" applyFont="1" applyFill="1" applyBorder="1" applyAlignment="1">
      <alignment vertical="center"/>
    </xf>
    <xf numFmtId="4" fontId="32" fillId="4" borderId="4" xfId="0" applyNumberFormat="1" applyFont="1" applyFill="1" applyBorder="1" applyAlignment="1">
      <alignment vertical="center" wrapText="1"/>
    </xf>
    <xf numFmtId="0" fontId="32" fillId="4" borderId="2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vertical="center" wrapText="1"/>
    </xf>
    <xf numFmtId="4" fontId="32" fillId="4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61" fillId="0" borderId="0" xfId="18" applyNumberFormat="1" applyFont="1" applyFill="1">
      <alignment/>
      <protection/>
    </xf>
    <xf numFmtId="4" fontId="71" fillId="0" borderId="0" xfId="18" applyNumberFormat="1" applyFont="1" applyFill="1">
      <alignment/>
      <protection/>
    </xf>
    <xf numFmtId="4" fontId="67" fillId="0" borderId="0" xfId="0" applyNumberFormat="1" applyFont="1" applyFill="1" applyAlignment="1">
      <alignment/>
    </xf>
    <xf numFmtId="4" fontId="5" fillId="0" borderId="4" xfId="18" applyNumberFormat="1" applyFont="1" applyFill="1" applyBorder="1" applyAlignment="1">
      <alignment horizontal="right" vertical="top"/>
      <protection/>
    </xf>
    <xf numFmtId="4" fontId="72" fillId="0" borderId="0" xfId="18" applyNumberFormat="1" applyFont="1" applyFill="1">
      <alignment/>
      <protection/>
    </xf>
    <xf numFmtId="4" fontId="2" fillId="0" borderId="0" xfId="0" applyNumberFormat="1" applyFont="1" applyAlignment="1">
      <alignment/>
    </xf>
    <xf numFmtId="0" fontId="9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49" fontId="5" fillId="0" borderId="10" xfId="18" applyNumberFormat="1" applyFont="1" applyFill="1" applyBorder="1" applyAlignment="1">
      <alignment horizontal="center" vertical="center"/>
      <protection/>
    </xf>
    <xf numFmtId="0" fontId="32" fillId="0" borderId="8" xfId="0" applyFont="1" applyFill="1" applyBorder="1" applyAlignment="1">
      <alignment horizontal="center" vertical="center"/>
    </xf>
    <xf numFmtId="0" fontId="32" fillId="0" borderId="4" xfId="18" applyFont="1" applyFill="1" applyBorder="1" applyAlignment="1">
      <alignment horizontal="left" vertical="top" wrapText="1"/>
      <protection/>
    </xf>
    <xf numFmtId="4" fontId="32" fillId="0" borderId="4" xfId="18" applyNumberFormat="1" applyFont="1" applyFill="1" applyBorder="1" applyAlignment="1">
      <alignment vertical="center" wrapText="1"/>
      <protection/>
    </xf>
    <xf numFmtId="0" fontId="32" fillId="4" borderId="4" xfId="0" applyFont="1" applyFill="1" applyBorder="1" applyAlignment="1">
      <alignment wrapText="1"/>
    </xf>
    <xf numFmtId="4" fontId="23" fillId="0" borderId="0" xfId="18" applyNumberFormat="1" applyFont="1" applyFill="1" applyBorder="1" applyAlignment="1">
      <alignment vertical="center"/>
      <protection/>
    </xf>
    <xf numFmtId="4" fontId="25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22" applyNumberFormat="1" applyFont="1" applyFill="1" applyBorder="1" applyAlignment="1">
      <alignment horizontal="right"/>
      <protection/>
    </xf>
    <xf numFmtId="0" fontId="3" fillId="0" borderId="0" xfId="18" applyFont="1" applyFill="1" applyBorder="1">
      <alignment/>
      <protection/>
    </xf>
    <xf numFmtId="4" fontId="3" fillId="0" borderId="0" xfId="0" applyNumberFormat="1" applyFont="1" applyFill="1" applyBorder="1" applyAlignment="1">
      <alignment vertical="center" wrapText="1"/>
    </xf>
    <xf numFmtId="4" fontId="45" fillId="0" borderId="0" xfId="18" applyNumberFormat="1" applyFont="1" applyFill="1" applyBorder="1" applyAlignment="1">
      <alignment vertical="center"/>
      <protection/>
    </xf>
    <xf numFmtId="49" fontId="13" fillId="0" borderId="0" xfId="18" applyNumberFormat="1" applyFont="1" applyFill="1">
      <alignment/>
      <protection/>
    </xf>
    <xf numFmtId="49" fontId="13" fillId="0" borderId="0" xfId="18" applyNumberFormat="1" applyFont="1" applyFill="1" applyBorder="1" applyAlignment="1">
      <alignment horizontal="left" vertical="center"/>
      <protection/>
    </xf>
    <xf numFmtId="49" fontId="39" fillId="0" borderId="0" xfId="22" applyNumberFormat="1" applyFont="1" applyFill="1" applyBorder="1" applyAlignment="1">
      <alignment horizontal="center"/>
      <protection/>
    </xf>
    <xf numFmtId="4" fontId="39" fillId="0" borderId="0" xfId="22" applyNumberFormat="1" applyFont="1" applyFill="1" applyAlignment="1">
      <alignment horizontal="right"/>
      <protection/>
    </xf>
    <xf numFmtId="0" fontId="30" fillId="0" borderId="0" xfId="18" applyFont="1" applyFill="1">
      <alignment/>
      <protection/>
    </xf>
    <xf numFmtId="4" fontId="13" fillId="0" borderId="0" xfId="18" applyNumberFormat="1" applyFont="1" applyFill="1" applyBorder="1" applyAlignment="1">
      <alignment vertical="center"/>
      <protection/>
    </xf>
    <xf numFmtId="4" fontId="73" fillId="0" borderId="0" xfId="18" applyNumberFormat="1" applyFont="1" applyFill="1" applyAlignment="1">
      <alignment vertical="center"/>
      <protection/>
    </xf>
    <xf numFmtId="4" fontId="30" fillId="0" borderId="0" xfId="0" applyNumberFormat="1" applyFont="1" applyFill="1" applyAlignment="1">
      <alignment vertical="center"/>
    </xf>
    <xf numFmtId="49" fontId="13" fillId="0" borderId="0" xfId="18" applyNumberFormat="1" applyFont="1" applyFill="1" applyBorder="1">
      <alignment/>
      <protection/>
    </xf>
    <xf numFmtId="0" fontId="13" fillId="0" borderId="0" xfId="18" applyFont="1" applyFill="1" applyBorder="1">
      <alignment/>
      <protection/>
    </xf>
    <xf numFmtId="4" fontId="13" fillId="0" borderId="0" xfId="0" applyNumberFormat="1" applyFont="1" applyFill="1" applyBorder="1" applyAlignment="1">
      <alignment vertical="center" wrapText="1"/>
    </xf>
    <xf numFmtId="4" fontId="74" fillId="0" borderId="0" xfId="18" applyNumberFormat="1" applyFont="1" applyFill="1" applyBorder="1" applyAlignment="1">
      <alignment vertical="center"/>
      <protection/>
    </xf>
    <xf numFmtId="4" fontId="73" fillId="0" borderId="0" xfId="18" applyNumberFormat="1" applyFont="1" applyFill="1" applyBorder="1" applyAlignment="1">
      <alignment vertical="center"/>
      <protection/>
    </xf>
    <xf numFmtId="4" fontId="54" fillId="0" borderId="0" xfId="18" applyNumberFormat="1" applyFont="1" applyFill="1" applyBorder="1" applyAlignment="1">
      <alignment vertical="center"/>
      <protection/>
    </xf>
    <xf numFmtId="4" fontId="13" fillId="0" borderId="0" xfId="0" applyNumberFormat="1" applyFont="1" applyFill="1" applyBorder="1" applyAlignment="1">
      <alignment vertical="center"/>
    </xf>
    <xf numFmtId="0" fontId="3" fillId="0" borderId="5" xfId="18" applyFont="1" applyFill="1" applyBorder="1" applyAlignment="1">
      <alignment horizontal="center" vertical="center"/>
      <protection/>
    </xf>
    <xf numFmtId="4" fontId="4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9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4" fontId="44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4" xfId="20" applyFont="1" applyFill="1" applyBorder="1" applyAlignment="1">
      <alignment horizontal="left" vertical="center" wrapText="1"/>
      <protection/>
    </xf>
    <xf numFmtId="0" fontId="12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/>
    </xf>
    <xf numFmtId="0" fontId="32" fillId="0" borderId="4" xfId="20" applyFont="1" applyFill="1" applyBorder="1" applyAlignment="1">
      <alignment horizontal="left" vertical="center" wrapText="1"/>
      <protection/>
    </xf>
    <xf numFmtId="0" fontId="32" fillId="0" borderId="9" xfId="20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32" fillId="0" borderId="4" xfId="18" applyNumberFormat="1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0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" fontId="3" fillId="0" borderId="4" xfId="18" applyNumberFormat="1" applyFont="1" applyFill="1" applyBorder="1" applyAlignment="1">
      <alignment horizontal="right" vertical="top"/>
      <protection/>
    </xf>
    <xf numFmtId="0" fontId="32" fillId="4" borderId="4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vertical="center"/>
    </xf>
    <xf numFmtId="0" fontId="3" fillId="0" borderId="6" xfId="18" applyFont="1" applyFill="1" applyBorder="1" applyAlignment="1">
      <alignment horizontal="center" vertical="center"/>
      <protection/>
    </xf>
    <xf numFmtId="4" fontId="32" fillId="5" borderId="4" xfId="0" applyNumberFormat="1" applyFont="1" applyFill="1" applyBorder="1" applyAlignment="1">
      <alignment vertical="center" wrapText="1"/>
    </xf>
    <xf numFmtId="0" fontId="26" fillId="0" borderId="4" xfId="19" applyFont="1" applyFill="1" applyBorder="1" applyAlignment="1">
      <alignment horizontal="center" vertical="center" wrapText="1"/>
      <protection/>
    </xf>
    <xf numFmtId="4" fontId="47" fillId="0" borderId="0" xfId="18" applyNumberFormat="1" applyFont="1" applyFill="1" applyAlignment="1">
      <alignment vertical="center"/>
      <protection/>
    </xf>
    <xf numFmtId="4" fontId="20" fillId="0" borderId="0" xfId="18" applyNumberFormat="1" applyFont="1" applyFill="1" applyAlignment="1">
      <alignment vertical="center"/>
      <protection/>
    </xf>
    <xf numFmtId="0" fontId="3" fillId="0" borderId="4" xfId="18" applyFont="1" applyFill="1" applyBorder="1" applyAlignment="1">
      <alignment horizontal="center" vertical="center"/>
      <protection/>
    </xf>
    <xf numFmtId="49" fontId="5" fillId="0" borderId="3" xfId="18" applyNumberFormat="1" applyFont="1" applyFill="1" applyBorder="1" applyAlignment="1">
      <alignment vertical="center"/>
      <protection/>
    </xf>
    <xf numFmtId="0" fontId="5" fillId="0" borderId="10" xfId="18" applyFont="1" applyFill="1" applyBorder="1" applyAlignment="1">
      <alignment horizontal="center"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0" fontId="3" fillId="0" borderId="7" xfId="18" applyFont="1" applyFill="1" applyBorder="1" applyAlignment="1">
      <alignment horizontal="center" vertical="center"/>
      <protection/>
    </xf>
    <xf numFmtId="0" fontId="5" fillId="0" borderId="11" xfId="18" applyFont="1" applyFill="1" applyBorder="1" applyAlignment="1">
      <alignment horizontal="center" vertical="center"/>
      <protection/>
    </xf>
    <xf numFmtId="0" fontId="3" fillId="0" borderId="10" xfId="18" applyFont="1" applyFill="1" applyBorder="1" applyAlignment="1">
      <alignment horizontal="center" vertical="center"/>
      <protection/>
    </xf>
    <xf numFmtId="0" fontId="5" fillId="0" borderId="3" xfId="18" applyFont="1" applyFill="1" applyBorder="1" applyAlignment="1">
      <alignment horizontal="center" vertical="center"/>
      <protection/>
    </xf>
    <xf numFmtId="0" fontId="3" fillId="0" borderId="12" xfId="18" applyFont="1" applyFill="1" applyBorder="1" applyAlignment="1">
      <alignment horizontal="center" vertical="center"/>
      <protection/>
    </xf>
    <xf numFmtId="49" fontId="31" fillId="0" borderId="0" xfId="18" applyNumberFormat="1" applyFont="1" applyFill="1" applyBorder="1" applyAlignment="1">
      <alignment horizontal="left" vertical="center"/>
      <protection/>
    </xf>
    <xf numFmtId="49" fontId="16" fillId="0" borderId="0" xfId="22" applyNumberFormat="1" applyFont="1" applyFill="1" applyBorder="1" applyAlignment="1">
      <alignment horizontal="center"/>
      <protection/>
    </xf>
    <xf numFmtId="4" fontId="16" fillId="0" borderId="0" xfId="22" applyNumberFormat="1" applyFont="1" applyFill="1" applyAlignment="1">
      <alignment horizontal="right"/>
      <protection/>
    </xf>
    <xf numFmtId="4" fontId="27" fillId="0" borderId="0" xfId="0" applyNumberFormat="1" applyFont="1" applyFill="1" applyAlignment="1">
      <alignment vertical="center"/>
    </xf>
    <xf numFmtId="49" fontId="15" fillId="0" borderId="0" xfId="18" applyNumberFormat="1" applyFont="1" applyFill="1" applyBorder="1" applyAlignment="1">
      <alignment horizontal="center" vertical="center"/>
      <protection/>
    </xf>
    <xf numFmtId="4" fontId="17" fillId="0" borderId="0" xfId="18" applyNumberFormat="1" applyFont="1" applyFill="1" applyBorder="1" applyAlignment="1">
      <alignment vertical="center"/>
      <protection/>
    </xf>
    <xf numFmtId="49" fontId="17" fillId="0" borderId="0" xfId="18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/>
    </xf>
    <xf numFmtId="4" fontId="15" fillId="0" borderId="0" xfId="18" applyNumberFormat="1" applyFont="1" applyFill="1" applyBorder="1" applyAlignment="1">
      <alignment vertical="center"/>
      <protection/>
    </xf>
    <xf numFmtId="0" fontId="32" fillId="4" borderId="2" xfId="0" applyFont="1" applyFill="1" applyBorder="1" applyAlignment="1">
      <alignment horizontal="center" vertical="center"/>
    </xf>
    <xf numFmtId="0" fontId="32" fillId="4" borderId="1" xfId="18" applyFont="1" applyFill="1" applyBorder="1" applyAlignment="1">
      <alignment vertical="center" wrapText="1"/>
      <protection/>
    </xf>
    <xf numFmtId="4" fontId="32" fillId="4" borderId="1" xfId="18" applyNumberFormat="1" applyFont="1" applyFill="1" applyBorder="1" applyAlignment="1">
      <alignment vertical="center"/>
      <protection/>
    </xf>
    <xf numFmtId="4" fontId="32" fillId="4" borderId="4" xfId="18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9" fillId="0" borderId="0" xfId="23" applyFont="1" applyFill="1">
      <alignment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0" xfId="23" applyFont="1" applyFill="1" applyBorder="1">
      <alignment/>
      <protection/>
    </xf>
    <xf numFmtId="0" fontId="32" fillId="0" borderId="0" xfId="23" applyFont="1" applyFill="1">
      <alignment/>
      <protection/>
    </xf>
    <xf numFmtId="4" fontId="2" fillId="0" borderId="0" xfId="23" applyNumberFormat="1" applyFont="1" applyFill="1">
      <alignment/>
      <protection/>
    </xf>
    <xf numFmtId="0" fontId="28" fillId="0" borderId="0" xfId="19" applyFont="1" applyFill="1">
      <alignment/>
      <protection/>
    </xf>
    <xf numFmtId="0" fontId="9" fillId="0" borderId="0" xfId="23" applyFont="1" applyFill="1" applyAlignment="1">
      <alignment horizontal="center"/>
      <protection/>
    </xf>
    <xf numFmtId="0" fontId="9" fillId="0" borderId="0" xfId="19" applyFont="1" applyFill="1" applyBorder="1">
      <alignment/>
      <protection/>
    </xf>
    <xf numFmtId="0" fontId="32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7" fillId="0" borderId="0" xfId="19" applyFont="1" applyFill="1" applyAlignment="1">
      <alignment horizontal="center"/>
      <protection/>
    </xf>
    <xf numFmtId="0" fontId="9" fillId="0" borderId="9" xfId="23" applyFont="1" applyFill="1" applyBorder="1" applyAlignment="1">
      <alignment horizontal="center"/>
      <protection/>
    </xf>
    <xf numFmtId="0" fontId="9" fillId="0" borderId="9" xfId="19" applyFont="1" applyFill="1" applyBorder="1">
      <alignment/>
      <protection/>
    </xf>
    <xf numFmtId="0" fontId="9" fillId="0" borderId="9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0" fontId="9" fillId="0" borderId="3" xfId="23" applyFont="1" applyFill="1" applyBorder="1" applyAlignment="1">
      <alignment horizontal="center" vertical="top"/>
      <protection/>
    </xf>
    <xf numFmtId="0" fontId="3" fillId="0" borderId="3" xfId="19" applyFont="1" applyFill="1" applyBorder="1" applyAlignment="1">
      <alignment horizontal="center" vertical="top" wrapText="1"/>
      <protection/>
    </xf>
    <xf numFmtId="0" fontId="26" fillId="0" borderId="3" xfId="19" applyFont="1" applyFill="1" applyBorder="1" applyAlignment="1">
      <alignment horizontal="center" vertical="top" wrapText="1"/>
      <protection/>
    </xf>
    <xf numFmtId="0" fontId="26" fillId="0" borderId="4" xfId="19" applyFont="1" applyFill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4" fontId="25" fillId="0" borderId="0" xfId="19" applyNumberFormat="1" applyFont="1" applyFill="1" applyBorder="1" applyAlignment="1">
      <alignment horizontal="right" vertical="center" wrapText="1"/>
      <protection/>
    </xf>
    <xf numFmtId="0" fontId="9" fillId="0" borderId="0" xfId="19" applyFont="1" applyFill="1" applyBorder="1" applyAlignment="1">
      <alignment horizontal="center" vertical="center" wrapText="1"/>
      <protection/>
    </xf>
    <xf numFmtId="0" fontId="32" fillId="0" borderId="0" xfId="19" applyFont="1" applyFill="1" applyAlignment="1">
      <alignment horizontal="center" vertical="center" wrapText="1"/>
      <protection/>
    </xf>
    <xf numFmtId="4" fontId="2" fillId="0" borderId="0" xfId="23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9" fillId="0" borderId="1" xfId="23" applyFont="1" applyFill="1" applyBorder="1" applyAlignment="1">
      <alignment horizontal="left" vertical="top"/>
      <protection/>
    </xf>
    <xf numFmtId="0" fontId="9" fillId="0" borderId="13" xfId="19" applyFont="1" applyFill="1" applyBorder="1" applyAlignment="1">
      <alignment horizontal="center" vertical="top" wrapText="1"/>
      <protection/>
    </xf>
    <xf numFmtId="0" fontId="26" fillId="0" borderId="13" xfId="19" applyFont="1" applyFill="1" applyBorder="1" applyAlignment="1">
      <alignment horizontal="center" vertical="top" wrapText="1"/>
      <protection/>
    </xf>
    <xf numFmtId="4" fontId="5" fillId="0" borderId="4" xfId="19" applyNumberFormat="1" applyFont="1" applyFill="1" applyBorder="1" applyAlignment="1">
      <alignment horizontal="right" vertical="center" wrapText="1"/>
      <protection/>
    </xf>
    <xf numFmtId="4" fontId="32" fillId="0" borderId="0" xfId="19" applyNumberFormat="1" applyFont="1" applyFill="1" applyAlignment="1">
      <alignment horizontal="center" vertical="center" wrapText="1"/>
      <protection/>
    </xf>
    <xf numFmtId="0" fontId="12" fillId="0" borderId="9" xfId="23" applyFont="1" applyFill="1" applyBorder="1" applyAlignment="1">
      <alignment horizontal="center" vertical="center"/>
      <protection/>
    </xf>
    <xf numFmtId="0" fontId="12" fillId="0" borderId="2" xfId="19" applyFont="1" applyFill="1" applyBorder="1" applyAlignment="1">
      <alignment vertical="center" wrapText="1"/>
      <protection/>
    </xf>
    <xf numFmtId="4" fontId="9" fillId="0" borderId="0" xfId="23" applyNumberFormat="1" applyFont="1" applyFill="1" applyBorder="1" applyAlignment="1">
      <alignment vertical="center" wrapText="1"/>
      <protection/>
    </xf>
    <xf numFmtId="0" fontId="26" fillId="0" borderId="5" xfId="0" applyFont="1" applyFill="1" applyBorder="1" applyAlignment="1">
      <alignment vertical="center"/>
    </xf>
    <xf numFmtId="4" fontId="3" fillId="0" borderId="5" xfId="19" applyNumberFormat="1" applyFont="1" applyFill="1" applyBorder="1" applyAlignment="1">
      <alignment horizontal="center" vertical="center" wrapText="1"/>
      <protection/>
    </xf>
    <xf numFmtId="4" fontId="3" fillId="0" borderId="9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Fill="1" applyBorder="1" applyAlignment="1">
      <alignment horizontal="center" vertical="center" wrapText="1"/>
      <protection/>
    </xf>
    <xf numFmtId="4" fontId="32" fillId="0" borderId="0" xfId="0" applyNumberFormat="1" applyFont="1" applyFill="1" applyBorder="1" applyAlignment="1">
      <alignment vertical="center"/>
    </xf>
    <xf numFmtId="4" fontId="9" fillId="0" borderId="0" xfId="19" applyNumberFormat="1" applyFont="1" applyFill="1" applyAlignment="1">
      <alignment horizontal="center" vertical="center" wrapText="1"/>
      <protection/>
    </xf>
    <xf numFmtId="0" fontId="9" fillId="0" borderId="0" xfId="23" applyFont="1" applyFill="1" applyAlignment="1">
      <alignment vertical="center"/>
      <protection/>
    </xf>
    <xf numFmtId="0" fontId="9" fillId="0" borderId="10" xfId="23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vertical="center" wrapText="1"/>
    </xf>
    <xf numFmtId="4" fontId="9" fillId="0" borderId="5" xfId="23" applyNumberFormat="1" applyFont="1" applyFill="1" applyBorder="1" applyAlignment="1">
      <alignment vertical="center"/>
      <protection/>
    </xf>
    <xf numFmtId="0" fontId="26" fillId="0" borderId="6" xfId="0" applyFont="1" applyFill="1" applyBorder="1" applyAlignment="1">
      <alignment vertical="center"/>
    </xf>
    <xf numFmtId="4" fontId="3" fillId="0" borderId="6" xfId="19" applyNumberFormat="1" applyFont="1" applyFill="1" applyBorder="1" applyAlignment="1">
      <alignment horizontal="center" vertical="center" wrapText="1"/>
      <protection/>
    </xf>
    <xf numFmtId="4" fontId="3" fillId="0" borderId="10" xfId="19" applyNumberFormat="1" applyFont="1" applyFill="1" applyBorder="1" applyAlignment="1">
      <alignment horizontal="center" vertical="center" wrapText="1"/>
      <protection/>
    </xf>
    <xf numFmtId="0" fontId="9" fillId="0" borderId="3" xfId="23" applyFont="1" applyFill="1" applyBorder="1" applyAlignment="1">
      <alignment horizontal="center" vertical="center"/>
      <protection/>
    </xf>
    <xf numFmtId="4" fontId="9" fillId="0" borderId="7" xfId="23" applyNumberFormat="1" applyFont="1" applyFill="1" applyBorder="1" applyAlignment="1">
      <alignment vertical="center"/>
      <protection/>
    </xf>
    <xf numFmtId="0" fontId="26" fillId="0" borderId="7" xfId="0" applyFont="1" applyFill="1" applyBorder="1" applyAlignment="1">
      <alignment vertical="center"/>
    </xf>
    <xf numFmtId="4" fontId="3" fillId="0" borderId="7" xfId="19" applyNumberFormat="1" applyFont="1" applyFill="1" applyBorder="1" applyAlignment="1">
      <alignment horizontal="center" vertical="center" wrapText="1"/>
      <protection/>
    </xf>
    <xf numFmtId="4" fontId="3" fillId="0" borderId="3" xfId="19" applyNumberFormat="1" applyFont="1" applyFill="1" applyBorder="1" applyAlignment="1">
      <alignment horizontal="center" vertical="center" wrapText="1"/>
      <protection/>
    </xf>
    <xf numFmtId="0" fontId="12" fillId="0" borderId="10" xfId="23" applyFont="1" applyFill="1" applyBorder="1" applyAlignment="1">
      <alignment horizontal="center" vertical="center"/>
      <protection/>
    </xf>
    <xf numFmtId="0" fontId="9" fillId="0" borderId="6" xfId="19" applyFont="1" applyFill="1" applyBorder="1" applyAlignment="1">
      <alignment vertical="center" wrapText="1"/>
      <protection/>
    </xf>
    <xf numFmtId="0" fontId="26" fillId="0" borderId="9" xfId="19" applyFont="1" applyFill="1" applyBorder="1" applyAlignment="1">
      <alignment horizontal="center" vertical="center"/>
      <protection/>
    </xf>
    <xf numFmtId="0" fontId="9" fillId="0" borderId="13" xfId="23" applyFont="1" applyFill="1" applyBorder="1" applyAlignment="1">
      <alignment vertical="center" wrapText="1"/>
      <protection/>
    </xf>
    <xf numFmtId="4" fontId="9" fillId="0" borderId="9" xfId="23" applyNumberFormat="1" applyFont="1" applyFill="1" applyBorder="1" applyAlignment="1">
      <alignment vertical="center"/>
      <protection/>
    </xf>
    <xf numFmtId="0" fontId="26" fillId="0" borderId="10" xfId="19" applyFont="1" applyFill="1" applyBorder="1" applyAlignment="1">
      <alignment horizontal="center" vertical="center"/>
      <protection/>
    </xf>
    <xf numFmtId="4" fontId="9" fillId="0" borderId="3" xfId="23" applyNumberFormat="1" applyFont="1" applyFill="1" applyBorder="1" applyAlignment="1">
      <alignment vertical="center"/>
      <protection/>
    </xf>
    <xf numFmtId="4" fontId="3" fillId="0" borderId="10" xfId="19" applyNumberFormat="1" applyFont="1" applyFill="1" applyBorder="1" applyAlignment="1">
      <alignment horizontal="right" vertical="center" wrapText="1"/>
      <protection/>
    </xf>
    <xf numFmtId="0" fontId="26" fillId="0" borderId="9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4" fontId="9" fillId="0" borderId="4" xfId="23" applyNumberFormat="1" applyFont="1" applyFill="1" applyBorder="1" applyAlignment="1">
      <alignment vertical="center" wrapText="1"/>
      <protection/>
    </xf>
    <xf numFmtId="4" fontId="9" fillId="0" borderId="6" xfId="23" applyNumberFormat="1" applyFont="1" applyFill="1" applyBorder="1" applyAlignment="1">
      <alignment vertical="center"/>
      <protection/>
    </xf>
    <xf numFmtId="0" fontId="9" fillId="0" borderId="15" xfId="0" applyFont="1" applyFill="1" applyBorder="1" applyAlignment="1">
      <alignment vertical="center" wrapText="1"/>
    </xf>
    <xf numFmtId="4" fontId="9" fillId="0" borderId="5" xfId="23" applyNumberFormat="1" applyFont="1" applyFill="1" applyBorder="1" applyAlignment="1">
      <alignment vertical="center" wrapText="1"/>
      <protection/>
    </xf>
    <xf numFmtId="4" fontId="3" fillId="0" borderId="14" xfId="19" applyNumberFormat="1" applyFont="1" applyFill="1" applyBorder="1" applyAlignment="1">
      <alignment horizontal="center" vertical="center" wrapText="1"/>
      <protection/>
    </xf>
    <xf numFmtId="4" fontId="3" fillId="0" borderId="12" xfId="19" applyNumberFormat="1" applyFont="1" applyFill="1" applyBorder="1" applyAlignment="1">
      <alignment horizontal="center" vertical="center" wrapText="1"/>
      <protection/>
    </xf>
    <xf numFmtId="4" fontId="3" fillId="0" borderId="11" xfId="19" applyNumberFormat="1" applyFont="1" applyFill="1" applyBorder="1" applyAlignment="1">
      <alignment horizontal="center" vertical="center" wrapText="1"/>
      <protection/>
    </xf>
    <xf numFmtId="0" fontId="9" fillId="0" borderId="3" xfId="19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5" xfId="19" applyFont="1" applyFill="1" applyBorder="1" applyAlignment="1">
      <alignment vertical="center" wrapText="1"/>
      <protection/>
    </xf>
    <xf numFmtId="4" fontId="3" fillId="0" borderId="3" xfId="19" applyNumberFormat="1" applyFont="1" applyFill="1" applyBorder="1" applyAlignment="1">
      <alignment horizontal="right" vertical="center" wrapText="1"/>
      <protection/>
    </xf>
    <xf numFmtId="0" fontId="12" fillId="0" borderId="4" xfId="19" applyFont="1" applyFill="1" applyBorder="1" applyAlignment="1">
      <alignment vertical="center" wrapText="1"/>
      <protection/>
    </xf>
    <xf numFmtId="0" fontId="9" fillId="0" borderId="1" xfId="23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" xfId="23" applyNumberFormat="1" applyFont="1" applyFill="1" applyBorder="1" applyAlignment="1">
      <alignment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4" fillId="0" borderId="1" xfId="23" applyFont="1" applyFill="1" applyBorder="1" applyAlignment="1">
      <alignment horizontal="left" vertical="center"/>
      <protection/>
    </xf>
    <xf numFmtId="0" fontId="32" fillId="0" borderId="13" xfId="0" applyFont="1" applyFill="1" applyBorder="1" applyAlignment="1">
      <alignment vertical="center" wrapText="1"/>
    </xf>
    <xf numFmtId="4" fontId="9" fillId="0" borderId="13" xfId="23" applyNumberFormat="1" applyFont="1" applyFill="1" applyBorder="1" applyAlignment="1">
      <alignment vertical="center"/>
      <protection/>
    </xf>
    <xf numFmtId="0" fontId="26" fillId="0" borderId="2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75" fillId="0" borderId="0" xfId="0" applyNumberFormat="1" applyFont="1" applyFill="1" applyAlignment="1">
      <alignment/>
    </xf>
    <xf numFmtId="0" fontId="9" fillId="0" borderId="9" xfId="19" applyFont="1" applyFill="1" applyBorder="1" applyAlignment="1">
      <alignment vertical="center" wrapText="1"/>
      <protection/>
    </xf>
    <xf numFmtId="4" fontId="3" fillId="0" borderId="9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0" xfId="23" applyNumberFormat="1" applyFont="1" applyFill="1" applyBorder="1" applyAlignment="1">
      <alignment vertical="center" wrapText="1"/>
      <protection/>
    </xf>
    <xf numFmtId="4" fontId="3" fillId="0" borderId="12" xfId="0" applyNumberFormat="1" applyFont="1" applyFill="1" applyBorder="1" applyAlignment="1">
      <alignment vertical="center"/>
    </xf>
    <xf numFmtId="4" fontId="3" fillId="0" borderId="3" xfId="23" applyNumberFormat="1" applyFont="1" applyFill="1" applyBorder="1" applyAlignment="1">
      <alignment vertical="center" wrapText="1"/>
      <protection/>
    </xf>
    <xf numFmtId="4" fontId="3" fillId="0" borderId="11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/>
    </xf>
    <xf numFmtId="4" fontId="20" fillId="0" borderId="9" xfId="0" applyNumberFormat="1" applyFont="1" applyFill="1" applyBorder="1" applyAlignment="1">
      <alignment vertical="center"/>
    </xf>
    <xf numFmtId="0" fontId="9" fillId="0" borderId="2" xfId="23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4" xfId="23" applyFont="1" applyFill="1" applyBorder="1" applyAlignment="1">
      <alignment vertical="center" wrapText="1"/>
      <protection/>
    </xf>
    <xf numFmtId="0" fontId="9" fillId="0" borderId="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" fontId="76" fillId="0" borderId="0" xfId="0" applyNumberFormat="1" applyFont="1" applyFill="1" applyAlignment="1">
      <alignment/>
    </xf>
    <xf numFmtId="0" fontId="44" fillId="0" borderId="3" xfId="0" applyFont="1" applyFill="1" applyBorder="1" applyAlignment="1">
      <alignment vertical="center" wrapText="1"/>
    </xf>
    <xf numFmtId="0" fontId="44" fillId="0" borderId="0" xfId="0" applyFont="1" applyFill="1" applyAlignment="1">
      <alignment wrapText="1"/>
    </xf>
    <xf numFmtId="4" fontId="45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3" fillId="4" borderId="7" xfId="19" applyNumberFormat="1" applyFont="1" applyFill="1" applyBorder="1" applyAlignment="1">
      <alignment horizontal="center" vertical="center" wrapText="1"/>
      <protection/>
    </xf>
    <xf numFmtId="4" fontId="3" fillId="4" borderId="3" xfId="19" applyNumberFormat="1" applyFont="1" applyFill="1" applyBorder="1" applyAlignment="1">
      <alignment horizontal="center" vertical="center" wrapText="1"/>
      <protection/>
    </xf>
    <xf numFmtId="4" fontId="59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" fillId="0" borderId="15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35" fillId="0" borderId="5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/>
    </xf>
    <xf numFmtId="0" fontId="35" fillId="0" borderId="5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/>
    </xf>
    <xf numFmtId="0" fontId="32" fillId="0" borderId="2" xfId="0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5" fillId="0" borderId="1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/>
    </xf>
    <xf numFmtId="0" fontId="35" fillId="0" borderId="1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center" vertical="center"/>
    </xf>
    <xf numFmtId="49" fontId="32" fillId="0" borderId="0" xfId="18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4" fontId="1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3" fillId="4" borderId="4" xfId="0" applyNumberFormat="1" applyFont="1" applyFill="1" applyBorder="1" applyAlignment="1">
      <alignment vertical="center"/>
    </xf>
    <xf numFmtId="49" fontId="77" fillId="0" borderId="0" xfId="0" applyNumberFormat="1" applyFont="1" applyFill="1" applyAlignment="1">
      <alignment/>
    </xf>
    <xf numFmtId="49" fontId="55" fillId="0" borderId="0" xfId="22" applyNumberFormat="1" applyFont="1" applyFill="1">
      <alignment/>
      <protection/>
    </xf>
    <xf numFmtId="49" fontId="16" fillId="0" borderId="0" xfId="22" applyNumberFormat="1" applyFont="1" applyFill="1" applyAlignment="1">
      <alignment horizontal="center"/>
      <protection/>
    </xf>
    <xf numFmtId="4" fontId="31" fillId="0" borderId="0" xfId="18" applyNumberFormat="1" applyFont="1" applyFill="1" applyBorder="1" applyAlignment="1">
      <alignment vertical="center"/>
      <protection/>
    </xf>
    <xf numFmtId="0" fontId="32" fillId="4" borderId="15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6" fillId="0" borderId="0" xfId="24" applyFont="1" applyFill="1" applyAlignment="1">
      <alignment horizontal="left"/>
      <protection/>
    </xf>
    <xf numFmtId="4" fontId="20" fillId="3" borderId="0" xfId="18" applyNumberFormat="1" applyFont="1" applyFill="1" applyBorder="1" applyAlignment="1">
      <alignment vertical="center"/>
      <protection/>
    </xf>
    <xf numFmtId="0" fontId="32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</cellXfs>
  <cellStyles count="15">
    <cellStyle name="Normal" xfId="0"/>
    <cellStyle name="Comma" xfId="15"/>
    <cellStyle name="Comma [0]" xfId="16"/>
    <cellStyle name="Hyperlink" xfId="17"/>
    <cellStyle name="Normalny_Arkusz5" xfId="18"/>
    <cellStyle name="Normalny_Arkusz8" xfId="19"/>
    <cellStyle name="Normalny_tabela nr 8" xfId="20"/>
    <cellStyle name="Normalny_Uch.RMK luty" xfId="21"/>
    <cellStyle name="Normalny_Uch.RMK marzec" xfId="22"/>
    <cellStyle name="Normalny_Zał. nr 3A" xfId="23"/>
    <cellStyle name="Normalny_ZPMK luty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7"/>
  <sheetViews>
    <sheetView tabSelected="1" zoomScale="120" zoomScaleNormal="120" workbookViewId="0" topLeftCell="A9">
      <pane xSplit="18735" topLeftCell="A1" activePane="topLeft" state="split"/>
      <selection pane="topLeft" activeCell="H36" sqref="H36"/>
      <selection pane="topRight" activeCell="A107" sqref="A107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6" width="15.57421875" style="2" customWidth="1"/>
    <col min="7" max="7" width="15.7109375" style="2" customWidth="1"/>
    <col min="8" max="8" width="19.8515625" style="24" customWidth="1"/>
    <col min="9" max="9" width="28.00390625" style="32" customWidth="1"/>
    <col min="10" max="10" width="22.28125" style="33" customWidth="1"/>
    <col min="11" max="11" width="20.8515625" style="32" customWidth="1"/>
    <col min="12" max="12" width="17.28125" style="32" customWidth="1"/>
    <col min="13" max="13" width="22.421875" style="32" customWidth="1"/>
    <col min="14" max="14" width="15.00390625" style="2" customWidth="1"/>
    <col min="15" max="16384" width="9.140625" style="2" customWidth="1"/>
  </cols>
  <sheetData>
    <row r="1" spans="1:14" s="65" customFormat="1" ht="23.25" customHeight="1">
      <c r="A1" s="148" t="s">
        <v>273</v>
      </c>
      <c r="B1" s="149"/>
      <c r="C1" s="150"/>
      <c r="D1" s="5"/>
      <c r="E1" s="5"/>
      <c r="F1" s="5"/>
      <c r="G1" s="432" t="s">
        <v>370</v>
      </c>
      <c r="H1" s="324"/>
      <c r="I1" s="112"/>
      <c r="J1" s="113"/>
      <c r="K1" s="110"/>
      <c r="L1" s="112"/>
      <c r="M1" s="112"/>
      <c r="N1" s="110"/>
    </row>
    <row r="2" spans="1:14" s="65" customFormat="1" ht="24" customHeight="1">
      <c r="A2" s="148" t="s">
        <v>82</v>
      </c>
      <c r="B2" s="149"/>
      <c r="C2" s="150"/>
      <c r="D2" s="5"/>
      <c r="E2" s="5"/>
      <c r="F2" s="5"/>
      <c r="G2" s="110"/>
      <c r="H2" s="453" t="s">
        <v>287</v>
      </c>
      <c r="I2" s="112"/>
      <c r="J2" s="113"/>
      <c r="K2" s="110"/>
      <c r="L2" s="112"/>
      <c r="M2" s="112"/>
      <c r="N2" s="110"/>
    </row>
    <row r="3" spans="1:14" s="65" customFormat="1" ht="24" customHeight="1">
      <c r="A3" s="148" t="s">
        <v>274</v>
      </c>
      <c r="B3" s="149"/>
      <c r="C3" s="150"/>
      <c r="D3" s="5"/>
      <c r="E3" s="5"/>
      <c r="F3" s="5"/>
      <c r="G3" s="110"/>
      <c r="H3" s="114"/>
      <c r="I3" s="112"/>
      <c r="J3" s="113"/>
      <c r="K3" s="110"/>
      <c r="L3" s="112"/>
      <c r="M3" s="112"/>
      <c r="N3" s="110"/>
    </row>
    <row r="4" spans="1:14" s="65" customFormat="1" ht="12.75" customHeight="1">
      <c r="A4" s="109"/>
      <c r="B4" s="110"/>
      <c r="C4" s="111"/>
      <c r="D4" s="110"/>
      <c r="E4" s="110"/>
      <c r="F4" s="110"/>
      <c r="G4" s="110"/>
      <c r="H4" s="114"/>
      <c r="I4" s="112"/>
      <c r="J4" s="113"/>
      <c r="K4" s="110"/>
      <c r="L4" s="112"/>
      <c r="M4" s="112"/>
      <c r="N4" s="110"/>
    </row>
    <row r="5" spans="1:14" ht="12.75" customHeight="1">
      <c r="A5" s="23"/>
      <c r="B5" s="5"/>
      <c r="C5" s="6"/>
      <c r="D5" s="5"/>
      <c r="E5" s="5"/>
      <c r="F5" s="5"/>
      <c r="G5" s="5"/>
      <c r="H5" s="7"/>
      <c r="I5" s="43"/>
      <c r="J5" s="9"/>
      <c r="K5" s="5"/>
      <c r="L5" s="43"/>
      <c r="M5" s="43"/>
      <c r="N5" s="5"/>
    </row>
    <row r="6" spans="1:14" ht="19.5">
      <c r="A6" s="23" t="s">
        <v>251</v>
      </c>
      <c r="B6" s="5"/>
      <c r="C6" s="6"/>
      <c r="D6" s="5"/>
      <c r="E6" s="5"/>
      <c r="F6" s="5"/>
      <c r="G6" s="5"/>
      <c r="H6" s="7"/>
      <c r="I6" s="43"/>
      <c r="J6" s="9"/>
      <c r="K6" s="5"/>
      <c r="L6" s="43"/>
      <c r="M6" s="43"/>
      <c r="N6" s="5"/>
    </row>
    <row r="7" spans="1:14" ht="12.75" customHeight="1">
      <c r="A7" s="23"/>
      <c r="B7" s="5"/>
      <c r="C7" s="6"/>
      <c r="D7" s="5"/>
      <c r="E7" s="5"/>
      <c r="F7" s="5"/>
      <c r="G7" s="5"/>
      <c r="H7" s="7"/>
      <c r="I7" s="43"/>
      <c r="J7" s="9"/>
      <c r="K7" s="5"/>
      <c r="L7" s="43"/>
      <c r="M7" s="43"/>
      <c r="N7" s="5"/>
    </row>
    <row r="8" spans="1:14" ht="13.5" customHeight="1">
      <c r="A8" s="5"/>
      <c r="B8" s="5"/>
      <c r="C8" s="6"/>
      <c r="D8" s="5"/>
      <c r="E8" s="5"/>
      <c r="F8" s="5"/>
      <c r="G8" s="5"/>
      <c r="H8" s="7"/>
      <c r="I8" s="43"/>
      <c r="J8" s="9"/>
      <c r="K8" s="5"/>
      <c r="L8" s="43"/>
      <c r="M8" s="43"/>
      <c r="N8" s="5"/>
    </row>
    <row r="9" spans="1:14" ht="18.75">
      <c r="A9" s="151" t="s">
        <v>83</v>
      </c>
      <c r="B9" s="149"/>
      <c r="C9" s="150"/>
      <c r="D9" s="5"/>
      <c r="E9" s="5"/>
      <c r="F9" s="5"/>
      <c r="G9" s="5"/>
      <c r="H9" s="7"/>
      <c r="I9" s="43"/>
      <c r="J9" s="9"/>
      <c r="K9" s="5"/>
      <c r="L9" s="43"/>
      <c r="M9" s="43"/>
      <c r="N9" s="5"/>
    </row>
    <row r="10" spans="1:14" ht="18.75">
      <c r="A10" s="151" t="s">
        <v>238</v>
      </c>
      <c r="B10" s="149"/>
      <c r="C10" s="150"/>
      <c r="D10" s="5"/>
      <c r="E10" s="5"/>
      <c r="F10" s="5"/>
      <c r="G10" s="5"/>
      <c r="H10" s="7"/>
      <c r="I10" s="43"/>
      <c r="J10" s="9"/>
      <c r="K10" s="5"/>
      <c r="L10" s="43"/>
      <c r="M10" s="43"/>
      <c r="N10" s="5"/>
    </row>
    <row r="11" spans="1:14" ht="18.75">
      <c r="A11" s="151" t="s">
        <v>239</v>
      </c>
      <c r="B11" s="149"/>
      <c r="C11" s="150"/>
      <c r="D11" s="5"/>
      <c r="E11" s="5"/>
      <c r="F11" s="5"/>
      <c r="G11" s="5"/>
      <c r="H11" s="7"/>
      <c r="I11" s="43"/>
      <c r="J11" s="9"/>
      <c r="K11" s="5"/>
      <c r="L11" s="43"/>
      <c r="M11" s="43"/>
      <c r="N11" s="5"/>
    </row>
    <row r="12" spans="1:14" ht="14.25" customHeight="1">
      <c r="A12" s="151"/>
      <c r="B12" s="149"/>
      <c r="C12" s="150"/>
      <c r="D12" s="5"/>
      <c r="E12" s="5"/>
      <c r="F12" s="5"/>
      <c r="G12" s="5"/>
      <c r="H12" s="7"/>
      <c r="I12" s="43"/>
      <c r="J12" s="9"/>
      <c r="K12" s="5"/>
      <c r="L12" s="43"/>
      <c r="M12" s="43"/>
      <c r="N12" s="5"/>
    </row>
    <row r="13" spans="1:14" ht="15" customHeight="1">
      <c r="A13" s="107"/>
      <c r="B13" s="44"/>
      <c r="C13" s="16"/>
      <c r="D13" s="16"/>
      <c r="E13" s="5"/>
      <c r="F13" s="5"/>
      <c r="G13" s="5"/>
      <c r="H13" s="7"/>
      <c r="I13" s="43"/>
      <c r="J13" s="9"/>
      <c r="K13" s="5"/>
      <c r="L13" s="43"/>
      <c r="M13" s="43"/>
      <c r="N13" s="5"/>
    </row>
    <row r="14" spans="1:14" s="28" customFormat="1" ht="15.75">
      <c r="A14" s="8"/>
      <c r="B14" s="8"/>
      <c r="C14" s="31"/>
      <c r="D14" s="8"/>
      <c r="E14" s="31" t="s">
        <v>34</v>
      </c>
      <c r="F14" s="8"/>
      <c r="G14" s="8"/>
      <c r="H14" s="9"/>
      <c r="I14" s="35"/>
      <c r="J14" s="35"/>
      <c r="K14" s="42"/>
      <c r="L14" s="35"/>
      <c r="M14" s="35"/>
      <c r="N14" s="8"/>
    </row>
    <row r="15" spans="1:14" s="28" customFormat="1" ht="15.75">
      <c r="A15" s="8"/>
      <c r="B15" s="8"/>
      <c r="C15" s="31"/>
      <c r="D15" s="8"/>
      <c r="E15" s="31"/>
      <c r="F15" s="8"/>
      <c r="G15" s="8"/>
      <c r="H15" s="9"/>
      <c r="I15" s="35"/>
      <c r="J15" s="35"/>
      <c r="K15" s="42"/>
      <c r="L15" s="35"/>
      <c r="M15" s="35"/>
      <c r="N15" s="8"/>
    </row>
    <row r="16" spans="1:14" ht="18.75">
      <c r="A16" s="461" t="s">
        <v>147</v>
      </c>
      <c r="B16" s="462"/>
      <c r="C16" s="462"/>
      <c r="D16" s="462"/>
      <c r="E16" s="463"/>
      <c r="F16" s="5"/>
      <c r="G16" s="5"/>
      <c r="H16" s="7"/>
      <c r="I16" s="36"/>
      <c r="J16" s="35"/>
      <c r="K16" s="34"/>
      <c r="L16" s="34"/>
      <c r="M16" s="34"/>
      <c r="N16" s="5"/>
    </row>
    <row r="17" spans="1:14" ht="18.75">
      <c r="A17" s="464" t="s">
        <v>490</v>
      </c>
      <c r="B17" s="462"/>
      <c r="C17" s="462"/>
      <c r="D17" s="462"/>
      <c r="E17" s="463"/>
      <c r="F17" s="5"/>
      <c r="G17" s="5"/>
      <c r="H17" s="7"/>
      <c r="I17" s="34"/>
      <c r="J17" s="35"/>
      <c r="K17" s="34"/>
      <c r="L17" s="34"/>
      <c r="M17" s="34"/>
      <c r="N17" s="5"/>
    </row>
    <row r="18" spans="1:10" ht="15.75">
      <c r="A18" s="465" t="s">
        <v>270</v>
      </c>
      <c r="B18" s="466"/>
      <c r="C18" s="467"/>
      <c r="D18" s="466"/>
      <c r="E18" s="463"/>
      <c r="F18" s="8"/>
      <c r="H18" s="1"/>
      <c r="J18" s="157"/>
    </row>
    <row r="19" spans="1:10" ht="15.75">
      <c r="A19" s="468" t="s">
        <v>492</v>
      </c>
      <c r="B19" s="469"/>
      <c r="C19" s="470"/>
      <c r="D19" s="471"/>
      <c r="E19" s="471"/>
      <c r="F19" s="8"/>
      <c r="H19" s="1"/>
      <c r="J19" s="157"/>
    </row>
    <row r="20" spans="1:10" ht="15.75">
      <c r="A20" s="468" t="s">
        <v>493</v>
      </c>
      <c r="B20" s="469"/>
      <c r="C20" s="470"/>
      <c r="D20" s="840"/>
      <c r="E20" s="31"/>
      <c r="F20" s="8"/>
      <c r="H20" s="1"/>
      <c r="J20" s="157"/>
    </row>
    <row r="21" spans="1:10" ht="15.75">
      <c r="A21" s="839" t="s">
        <v>491</v>
      </c>
      <c r="B21" s="8"/>
      <c r="C21" s="154"/>
      <c r="D21" s="8"/>
      <c r="E21" s="31"/>
      <c r="F21" s="8"/>
      <c r="H21" s="1"/>
      <c r="J21" s="157"/>
    </row>
    <row r="22" spans="1:10" ht="15.75">
      <c r="A22" s="153"/>
      <c r="B22" s="8"/>
      <c r="C22" s="154"/>
      <c r="D22" s="8"/>
      <c r="E22" s="31"/>
      <c r="F22" s="8"/>
      <c r="H22" s="1"/>
      <c r="J22" s="157"/>
    </row>
    <row r="23" spans="1:10" ht="15.75">
      <c r="A23" s="153"/>
      <c r="B23" s="8"/>
      <c r="C23" s="154"/>
      <c r="D23" s="8"/>
      <c r="E23" s="31"/>
      <c r="F23" s="8"/>
      <c r="H23" s="1"/>
      <c r="J23" s="157"/>
    </row>
    <row r="24" ht="15" customHeight="1">
      <c r="I24" s="158"/>
    </row>
    <row r="25" spans="1:12" ht="18.75">
      <c r="A25" s="155" t="s">
        <v>84</v>
      </c>
      <c r="B25" s="152"/>
      <c r="C25" s="152"/>
      <c r="I25" s="156"/>
      <c r="J25" s="157"/>
      <c r="K25" s="158"/>
      <c r="L25" s="159"/>
    </row>
    <row r="26" spans="1:11" ht="15.75">
      <c r="A26" s="160"/>
      <c r="B26" s="161"/>
      <c r="C26" s="161"/>
      <c r="D26" s="26"/>
      <c r="E26" s="26"/>
      <c r="F26" s="162"/>
      <c r="H26" s="162"/>
      <c r="I26" s="163"/>
      <c r="K26" s="158"/>
    </row>
    <row r="27" spans="1:11" ht="15.75">
      <c r="A27" s="160" t="s">
        <v>85</v>
      </c>
      <c r="B27" s="161"/>
      <c r="C27" s="161"/>
      <c r="D27" s="26"/>
      <c r="E27" s="26"/>
      <c r="F27" s="162"/>
      <c r="H27" s="162">
        <f>H31+H44</f>
        <v>397115514.33</v>
      </c>
      <c r="I27" s="163"/>
      <c r="K27" s="158"/>
    </row>
    <row r="28" spans="1:11" ht="15.75">
      <c r="A28" s="160" t="s">
        <v>86</v>
      </c>
      <c r="B28" s="161"/>
      <c r="C28" s="161"/>
      <c r="D28" s="26"/>
      <c r="E28" s="26"/>
      <c r="F28" s="162"/>
      <c r="H28" s="162">
        <f>H32+H45</f>
        <v>397714166</v>
      </c>
      <c r="I28" s="322"/>
      <c r="K28" s="158"/>
    </row>
    <row r="29" spans="1:11" ht="15.75">
      <c r="A29" s="164" t="s">
        <v>87</v>
      </c>
      <c r="B29" s="165"/>
      <c r="C29" s="165"/>
      <c r="D29" s="26"/>
      <c r="E29" s="26"/>
      <c r="F29" s="162"/>
      <c r="H29" s="162"/>
      <c r="I29" s="322"/>
      <c r="K29" s="158"/>
    </row>
    <row r="30" spans="1:11" ht="15.75">
      <c r="A30" s="164"/>
      <c r="B30" s="165"/>
      <c r="C30" s="165"/>
      <c r="D30" s="26"/>
      <c r="E30" s="26"/>
      <c r="F30" s="162"/>
      <c r="H30" s="162"/>
      <c r="I30" s="322"/>
      <c r="K30" s="158"/>
    </row>
    <row r="31" spans="1:11" ht="15.75">
      <c r="A31" s="160" t="s">
        <v>140</v>
      </c>
      <c r="B31" s="161"/>
      <c r="C31" s="161"/>
      <c r="D31" s="167"/>
      <c r="E31" s="26"/>
      <c r="F31" s="1"/>
      <c r="H31" s="162">
        <v>282932200.28</v>
      </c>
      <c r="I31" s="322"/>
      <c r="K31" s="158"/>
    </row>
    <row r="32" spans="1:11" ht="15.75">
      <c r="A32" s="160" t="s">
        <v>86</v>
      </c>
      <c r="B32" s="161"/>
      <c r="C32" s="161"/>
      <c r="D32" s="167"/>
      <c r="E32" s="26"/>
      <c r="F32" s="1"/>
      <c r="H32" s="162">
        <f>H31-D72+F72</f>
        <v>283588617.95</v>
      </c>
      <c r="I32" s="322"/>
      <c r="J32" s="431"/>
      <c r="K32" s="158"/>
    </row>
    <row r="33" spans="1:11" ht="15.75">
      <c r="A33" s="164"/>
      <c r="B33" s="152" t="s">
        <v>88</v>
      </c>
      <c r="C33" s="165"/>
      <c r="D33" s="26"/>
      <c r="E33" s="26"/>
      <c r="F33" s="1"/>
      <c r="H33" s="162"/>
      <c r="I33" s="322"/>
      <c r="J33" s="431"/>
      <c r="K33" s="158"/>
    </row>
    <row r="34" spans="1:11" ht="15.75">
      <c r="A34" s="168" t="s">
        <v>89</v>
      </c>
      <c r="B34" s="161"/>
      <c r="C34" s="161"/>
      <c r="D34" s="26"/>
      <c r="E34" s="26"/>
      <c r="F34" s="1"/>
      <c r="H34" s="162">
        <v>268019791.56</v>
      </c>
      <c r="I34" s="322"/>
      <c r="K34" s="158"/>
    </row>
    <row r="35" spans="1:11" ht="15.75">
      <c r="A35" s="168" t="s">
        <v>86</v>
      </c>
      <c r="B35" s="161"/>
      <c r="C35" s="161"/>
      <c r="D35" s="26"/>
      <c r="E35" s="26"/>
      <c r="F35" s="1"/>
      <c r="H35" s="162">
        <f>H34-D72+F72-F63</f>
        <v>268287609.23000002</v>
      </c>
      <c r="I35" s="322"/>
      <c r="K35" s="158"/>
    </row>
    <row r="36" spans="1:11" ht="15.75">
      <c r="A36" s="168"/>
      <c r="B36" s="161" t="s">
        <v>32</v>
      </c>
      <c r="C36" s="161"/>
      <c r="D36" s="26"/>
      <c r="E36" s="26"/>
      <c r="F36" s="1"/>
      <c r="H36" s="162"/>
      <c r="I36" s="322"/>
      <c r="K36" s="158"/>
    </row>
    <row r="37" spans="1:11" ht="15.75">
      <c r="A37" s="168"/>
      <c r="B37" s="310" t="s">
        <v>472</v>
      </c>
      <c r="C37" s="161"/>
      <c r="D37" s="26"/>
      <c r="E37" s="26"/>
      <c r="F37" s="1"/>
      <c r="H37" s="162"/>
      <c r="I37" s="322"/>
      <c r="K37" s="158"/>
    </row>
    <row r="38" spans="1:11" ht="15.75">
      <c r="A38" s="168"/>
      <c r="B38" s="310" t="s">
        <v>473</v>
      </c>
      <c r="C38" s="165"/>
      <c r="D38" s="26"/>
      <c r="E38" s="26"/>
      <c r="F38" s="1"/>
      <c r="H38" s="1">
        <v>3855522.54</v>
      </c>
      <c r="I38" s="322"/>
      <c r="K38" s="158"/>
    </row>
    <row r="39" spans="1:11" ht="15.75">
      <c r="A39" s="168"/>
      <c r="B39" s="310" t="s">
        <v>90</v>
      </c>
      <c r="C39" s="169"/>
      <c r="D39" s="310"/>
      <c r="E39" s="26"/>
      <c r="F39" s="1"/>
      <c r="H39" s="1">
        <f>H38+F71</f>
        <v>3858153.54</v>
      </c>
      <c r="I39" s="322"/>
      <c r="K39" s="158"/>
    </row>
    <row r="40" spans="1:13" ht="18.75">
      <c r="A40" s="168"/>
      <c r="B40" s="310"/>
      <c r="C40" s="169"/>
      <c r="D40" s="310"/>
      <c r="E40" s="26"/>
      <c r="F40" s="1"/>
      <c r="H40" s="1"/>
      <c r="I40" s="156"/>
      <c r="J40" s="166"/>
      <c r="K40" s="158"/>
      <c r="M40" s="159"/>
    </row>
    <row r="41" spans="1:13" ht="18.75">
      <c r="A41" s="168" t="s">
        <v>305</v>
      </c>
      <c r="B41" s="161"/>
      <c r="C41" s="161"/>
      <c r="D41" s="26"/>
      <c r="E41" s="26"/>
      <c r="F41" s="1"/>
      <c r="H41" s="162">
        <v>14912408.72</v>
      </c>
      <c r="I41" s="156"/>
      <c r="J41" s="166"/>
      <c r="K41" s="158"/>
      <c r="M41" s="159"/>
    </row>
    <row r="42" spans="1:13" ht="18.75">
      <c r="A42" s="168" t="s">
        <v>86</v>
      </c>
      <c r="B42" s="161"/>
      <c r="C42" s="161"/>
      <c r="D42" s="26"/>
      <c r="E42" s="26"/>
      <c r="F42" s="1"/>
      <c r="H42" s="162">
        <f>H41+F63</f>
        <v>15301008.72</v>
      </c>
      <c r="I42" s="156"/>
      <c r="J42" s="166"/>
      <c r="K42" s="158"/>
      <c r="M42" s="159"/>
    </row>
    <row r="43" spans="1:13" ht="18.75">
      <c r="A43" s="168"/>
      <c r="B43" s="310"/>
      <c r="C43" s="169"/>
      <c r="D43" s="310"/>
      <c r="E43" s="26"/>
      <c r="F43" s="1"/>
      <c r="H43" s="1"/>
      <c r="I43" s="156"/>
      <c r="J43" s="166"/>
      <c r="K43" s="158"/>
      <c r="M43" s="159"/>
    </row>
    <row r="44" spans="1:11" ht="15.75">
      <c r="A44" s="160" t="s">
        <v>91</v>
      </c>
      <c r="B44" s="161"/>
      <c r="C44" s="161"/>
      <c r="D44" s="167"/>
      <c r="E44" s="176"/>
      <c r="F44" s="236"/>
      <c r="H44" s="162">
        <v>114183314.05</v>
      </c>
      <c r="I44" s="156"/>
      <c r="K44" s="158"/>
    </row>
    <row r="45" spans="1:11" ht="15.75">
      <c r="A45" s="160" t="s">
        <v>86</v>
      </c>
      <c r="B45" s="161"/>
      <c r="C45" s="161"/>
      <c r="D45" s="167"/>
      <c r="E45" s="176"/>
      <c r="F45" s="236"/>
      <c r="H45" s="162">
        <f>H44-D85+F85</f>
        <v>114125548.05</v>
      </c>
      <c r="I45" s="156"/>
      <c r="K45" s="158"/>
    </row>
    <row r="46" spans="1:11" ht="15.75">
      <c r="A46" s="164"/>
      <c r="B46" s="152" t="s">
        <v>88</v>
      </c>
      <c r="C46" s="165"/>
      <c r="D46" s="26"/>
      <c r="E46" s="176"/>
      <c r="F46" s="236"/>
      <c r="H46" s="162"/>
      <c r="I46" s="156"/>
      <c r="K46" s="158"/>
    </row>
    <row r="47" spans="1:11" ht="15.75">
      <c r="A47" s="168" t="s">
        <v>89</v>
      </c>
      <c r="B47" s="161"/>
      <c r="C47" s="161"/>
      <c r="D47" s="26"/>
      <c r="E47" s="176"/>
      <c r="F47" s="236"/>
      <c r="H47" s="162">
        <v>113783314.05</v>
      </c>
      <c r="I47" s="156"/>
      <c r="K47" s="158"/>
    </row>
    <row r="48" spans="1:11" ht="15.75">
      <c r="A48" s="168" t="s">
        <v>86</v>
      </c>
      <c r="B48" s="161"/>
      <c r="C48" s="161"/>
      <c r="D48" s="26"/>
      <c r="E48" s="176"/>
      <c r="F48" s="236"/>
      <c r="H48" s="162">
        <f>H47-D85+F85</f>
        <v>113725548.05</v>
      </c>
      <c r="I48" s="156"/>
      <c r="J48" s="192"/>
      <c r="K48" s="158"/>
    </row>
    <row r="49" spans="1:11" ht="15.75">
      <c r="A49" s="168"/>
      <c r="B49" s="169"/>
      <c r="C49" s="161"/>
      <c r="D49" s="26"/>
      <c r="E49" s="26"/>
      <c r="F49" s="1"/>
      <c r="H49" s="1"/>
      <c r="I49" s="156"/>
      <c r="K49" s="158"/>
    </row>
    <row r="50" spans="1:11" ht="15.75">
      <c r="A50" s="168"/>
      <c r="B50" s="169"/>
      <c r="C50" s="161"/>
      <c r="D50" s="26"/>
      <c r="E50" s="26"/>
      <c r="F50" s="1"/>
      <c r="H50" s="1"/>
      <c r="I50" s="156"/>
      <c r="K50" s="158"/>
    </row>
    <row r="51" spans="1:11" ht="19.5">
      <c r="A51" s="173" t="s">
        <v>120</v>
      </c>
      <c r="B51" s="174"/>
      <c r="C51" s="175"/>
      <c r="D51" s="176"/>
      <c r="E51" s="176"/>
      <c r="F51" s="177"/>
      <c r="G51" s="177"/>
      <c r="H51" s="178"/>
      <c r="I51" s="156"/>
      <c r="K51" s="158"/>
    </row>
    <row r="52" spans="1:11" ht="19.5">
      <c r="A52" s="173"/>
      <c r="B52" s="174"/>
      <c r="C52" s="175"/>
      <c r="D52" s="176"/>
      <c r="E52" s="176"/>
      <c r="F52" s="177"/>
      <c r="G52" s="177"/>
      <c r="H52" s="178"/>
      <c r="I52" s="156"/>
      <c r="K52" s="158"/>
    </row>
    <row r="53" spans="1:11" ht="18.75">
      <c r="A53" s="182" t="s">
        <v>119</v>
      </c>
      <c r="B53" s="183"/>
      <c r="C53" s="184"/>
      <c r="D53" s="172"/>
      <c r="E53" s="172"/>
      <c r="F53" s="181"/>
      <c r="G53" s="181"/>
      <c r="I53" s="156"/>
      <c r="K53" s="158"/>
    </row>
    <row r="54" spans="1:11" ht="18.75">
      <c r="A54" s="179"/>
      <c r="B54" s="179"/>
      <c r="C54" s="179"/>
      <c r="D54" s="172"/>
      <c r="E54" s="172"/>
      <c r="F54" s="181"/>
      <c r="G54" s="181"/>
      <c r="I54" s="156"/>
      <c r="K54" s="158"/>
    </row>
    <row r="55" spans="1:11" ht="18.75">
      <c r="A55" s="185"/>
      <c r="B55" s="185"/>
      <c r="C55" s="186"/>
      <c r="D55" s="10" t="s">
        <v>92</v>
      </c>
      <c r="E55" s="11"/>
      <c r="F55" s="10" t="s">
        <v>93</v>
      </c>
      <c r="G55" s="11"/>
      <c r="I55" s="156"/>
      <c r="K55" s="158"/>
    </row>
    <row r="56" spans="1:11" ht="15" customHeight="1">
      <c r="A56" s="187"/>
      <c r="B56" s="187"/>
      <c r="C56" s="188"/>
      <c r="D56" s="12" t="s">
        <v>33</v>
      </c>
      <c r="E56" s="11" t="s">
        <v>32</v>
      </c>
      <c r="F56" s="12" t="s">
        <v>33</v>
      </c>
      <c r="G56" s="11" t="s">
        <v>32</v>
      </c>
      <c r="I56" s="156"/>
      <c r="K56" s="158"/>
    </row>
    <row r="57" spans="1:11" ht="21">
      <c r="A57" s="189" t="s">
        <v>35</v>
      </c>
      <c r="B57" s="189" t="s">
        <v>41</v>
      </c>
      <c r="C57" s="189" t="s">
        <v>36</v>
      </c>
      <c r="D57" s="13" t="s">
        <v>37</v>
      </c>
      <c r="E57" s="14" t="s">
        <v>38</v>
      </c>
      <c r="F57" s="13" t="s">
        <v>37</v>
      </c>
      <c r="G57" s="14" t="s">
        <v>38</v>
      </c>
      <c r="I57" s="156"/>
      <c r="K57" s="158"/>
    </row>
    <row r="58" spans="1:13" s="203" customFormat="1" ht="18.75">
      <c r="A58" s="190" t="s">
        <v>312</v>
      </c>
      <c r="B58" s="194"/>
      <c r="C58" s="194"/>
      <c r="D58" s="191"/>
      <c r="E58" s="191"/>
      <c r="F58" s="191">
        <f>F59+F60</f>
        <v>228000</v>
      </c>
      <c r="G58" s="210"/>
      <c r="H58" s="211"/>
      <c r="I58" s="156"/>
      <c r="J58" s="192"/>
      <c r="K58" s="158"/>
      <c r="L58" s="212"/>
      <c r="M58" s="212"/>
    </row>
    <row r="59" spans="1:11" ht="18.75">
      <c r="A59" s="200"/>
      <c r="B59" s="201" t="s">
        <v>313</v>
      </c>
      <c r="C59" s="201" t="s">
        <v>315</v>
      </c>
      <c r="D59" s="198"/>
      <c r="E59" s="198"/>
      <c r="F59" s="198">
        <v>128000</v>
      </c>
      <c r="G59" s="213"/>
      <c r="I59" s="214"/>
      <c r="K59" s="170"/>
    </row>
    <row r="60" spans="1:11" ht="18.75">
      <c r="A60" s="200"/>
      <c r="B60" s="196" t="s">
        <v>314</v>
      </c>
      <c r="C60" s="196" t="s">
        <v>315</v>
      </c>
      <c r="D60" s="198"/>
      <c r="E60" s="198"/>
      <c r="F60" s="198">
        <v>100000</v>
      </c>
      <c r="G60" s="213"/>
      <c r="I60" s="214"/>
      <c r="K60" s="170"/>
    </row>
    <row r="61" spans="1:13" s="203" customFormat="1" ht="18.75">
      <c r="A61" s="508" t="s">
        <v>141</v>
      </c>
      <c r="B61" s="194"/>
      <c r="C61" s="250"/>
      <c r="D61" s="191"/>
      <c r="E61" s="191"/>
      <c r="F61" s="191">
        <f>F62+F63</f>
        <v>416138</v>
      </c>
      <c r="G61" s="210"/>
      <c r="H61" s="211"/>
      <c r="I61" s="156"/>
      <c r="J61" s="192"/>
      <c r="K61" s="158"/>
      <c r="L61" s="212"/>
      <c r="M61" s="212"/>
    </row>
    <row r="62" spans="1:11" ht="18.75">
      <c r="A62" s="195"/>
      <c r="B62" s="197" t="s">
        <v>275</v>
      </c>
      <c r="C62" s="196" t="s">
        <v>276</v>
      </c>
      <c r="D62" s="198"/>
      <c r="E62" s="198"/>
      <c r="F62" s="198">
        <v>27538</v>
      </c>
      <c r="G62" s="213"/>
      <c r="I62" s="214"/>
      <c r="K62" s="170"/>
    </row>
    <row r="63" spans="1:11" ht="18.75">
      <c r="A63" s="215"/>
      <c r="B63" s="197" t="s">
        <v>285</v>
      </c>
      <c r="C63" s="196" t="s">
        <v>286</v>
      </c>
      <c r="D63" s="198"/>
      <c r="E63" s="198"/>
      <c r="F63" s="198">
        <v>388600</v>
      </c>
      <c r="G63" s="213"/>
      <c r="I63" s="214"/>
      <c r="K63" s="170"/>
    </row>
    <row r="64" spans="1:13" s="203" customFormat="1" ht="18.75">
      <c r="A64" s="508" t="s">
        <v>137</v>
      </c>
      <c r="B64" s="190"/>
      <c r="C64" s="250"/>
      <c r="D64" s="191">
        <f>D65+D66+D70</f>
        <v>300</v>
      </c>
      <c r="E64" s="191"/>
      <c r="F64" s="191">
        <f>F65+F66+F70</f>
        <v>9948.67</v>
      </c>
      <c r="G64" s="210"/>
      <c r="H64" s="211"/>
      <c r="I64" s="156"/>
      <c r="J64" s="192"/>
      <c r="K64" s="158"/>
      <c r="L64" s="212"/>
      <c r="M64" s="212"/>
    </row>
    <row r="65" spans="1:11" ht="18.75">
      <c r="A65" s="195"/>
      <c r="B65" s="197" t="s">
        <v>323</v>
      </c>
      <c r="C65" s="196" t="s">
        <v>332</v>
      </c>
      <c r="D65" s="198"/>
      <c r="E65" s="198"/>
      <c r="F65" s="198">
        <v>1400</v>
      </c>
      <c r="G65" s="213"/>
      <c r="I65" s="214"/>
      <c r="K65" s="170"/>
    </row>
    <row r="66" spans="1:11" ht="18.75">
      <c r="A66" s="200"/>
      <c r="B66" s="197" t="s">
        <v>138</v>
      </c>
      <c r="C66" s="196"/>
      <c r="D66" s="198">
        <f>SUM(D67:D69)</f>
        <v>300</v>
      </c>
      <c r="E66" s="198"/>
      <c r="F66" s="198">
        <f>SUM(F67:F69)</f>
        <v>1851</v>
      </c>
      <c r="G66" s="213"/>
      <c r="I66" s="214"/>
      <c r="K66" s="170"/>
    </row>
    <row r="67" spans="1:11" ht="18.75">
      <c r="A67" s="200"/>
      <c r="B67" s="201"/>
      <c r="C67" s="196" t="s">
        <v>333</v>
      </c>
      <c r="D67" s="198">
        <v>300</v>
      </c>
      <c r="E67" s="198"/>
      <c r="F67" s="198"/>
      <c r="G67" s="213"/>
      <c r="I67" s="214"/>
      <c r="K67" s="170"/>
    </row>
    <row r="68" spans="1:11" ht="18.75">
      <c r="A68" s="200"/>
      <c r="B68" s="201"/>
      <c r="C68" s="196" t="s">
        <v>334</v>
      </c>
      <c r="D68" s="198"/>
      <c r="E68" s="198"/>
      <c r="F68" s="198">
        <v>300</v>
      </c>
      <c r="G68" s="213"/>
      <c r="I68" s="214"/>
      <c r="K68" s="170"/>
    </row>
    <row r="69" spans="1:11" ht="18.75">
      <c r="A69" s="200"/>
      <c r="B69" s="201"/>
      <c r="C69" s="196" t="s">
        <v>244</v>
      </c>
      <c r="D69" s="198"/>
      <c r="E69" s="198"/>
      <c r="F69" s="198">
        <v>1551</v>
      </c>
      <c r="G69" s="213"/>
      <c r="I69" s="214"/>
      <c r="K69" s="170"/>
    </row>
    <row r="70" spans="1:11" ht="18.75">
      <c r="A70" s="215"/>
      <c r="B70" s="197" t="s">
        <v>278</v>
      </c>
      <c r="C70" s="196" t="s">
        <v>244</v>
      </c>
      <c r="D70" s="198"/>
      <c r="E70" s="198"/>
      <c r="F70" s="198">
        <f>3958.67+2739</f>
        <v>6697.67</v>
      </c>
      <c r="G70" s="213"/>
      <c r="I70" s="214"/>
      <c r="K70" s="170"/>
    </row>
    <row r="71" spans="1:13" s="203" customFormat="1" ht="18.75">
      <c r="A71" s="190" t="s">
        <v>335</v>
      </c>
      <c r="B71" s="194" t="s">
        <v>336</v>
      </c>
      <c r="C71" s="250" t="s">
        <v>345</v>
      </c>
      <c r="D71" s="191"/>
      <c r="E71" s="191"/>
      <c r="F71" s="191">
        <v>2631</v>
      </c>
      <c r="G71" s="210"/>
      <c r="H71" s="211"/>
      <c r="I71" s="156"/>
      <c r="J71" s="192"/>
      <c r="K71" s="158"/>
      <c r="L71" s="212"/>
      <c r="M71" s="212"/>
    </row>
    <row r="72" spans="1:13" s="48" customFormat="1" ht="19.5" customHeight="1">
      <c r="A72" s="413" t="s">
        <v>42</v>
      </c>
      <c r="B72" s="415"/>
      <c r="C72" s="194"/>
      <c r="D72" s="216">
        <f>D58+D61+D64+D71</f>
        <v>300</v>
      </c>
      <c r="E72" s="216">
        <f>E58+E61+E64+E71</f>
        <v>0</v>
      </c>
      <c r="F72" s="216">
        <f>F58+F61+F64+F71</f>
        <v>656717.67</v>
      </c>
      <c r="G72" s="216">
        <f>G58+G61+G64+G71</f>
        <v>0</v>
      </c>
      <c r="H72" s="208"/>
      <c r="I72" s="204"/>
      <c r="J72" s="205"/>
      <c r="K72" s="205"/>
      <c r="L72" s="49"/>
      <c r="M72" s="49"/>
    </row>
    <row r="73" spans="1:13" s="48" customFormat="1" ht="19.5" customHeight="1">
      <c r="A73" s="206"/>
      <c r="B73" s="207"/>
      <c r="C73" s="207"/>
      <c r="D73" s="208"/>
      <c r="E73" s="208"/>
      <c r="F73" s="208"/>
      <c r="G73" s="208"/>
      <c r="I73" s="204"/>
      <c r="J73" s="49"/>
      <c r="K73" s="205"/>
      <c r="L73" s="49"/>
      <c r="M73" s="49"/>
    </row>
    <row r="74" spans="1:13" s="48" customFormat="1" ht="19.5" customHeight="1">
      <c r="A74" s="206"/>
      <c r="B74" s="207"/>
      <c r="C74" s="207"/>
      <c r="D74" s="208"/>
      <c r="E74" s="208"/>
      <c r="F74" s="208"/>
      <c r="G74" s="208"/>
      <c r="I74" s="204"/>
      <c r="J74" s="49"/>
      <c r="K74" s="205"/>
      <c r="L74" s="49"/>
      <c r="M74" s="49"/>
    </row>
    <row r="75" spans="1:11" ht="19.5">
      <c r="A75" s="173" t="s">
        <v>94</v>
      </c>
      <c r="B75" s="174"/>
      <c r="C75" s="175"/>
      <c r="D75" s="176"/>
      <c r="E75" s="176"/>
      <c r="F75" s="177"/>
      <c r="G75" s="177"/>
      <c r="H75" s="178"/>
      <c r="I75" s="156"/>
      <c r="K75" s="158"/>
    </row>
    <row r="76" spans="1:11" ht="19.5">
      <c r="A76" s="173"/>
      <c r="B76" s="174"/>
      <c r="C76" s="175"/>
      <c r="D76" s="176"/>
      <c r="E76" s="176"/>
      <c r="F76" s="177"/>
      <c r="G76" s="177"/>
      <c r="H76" s="178"/>
      <c r="I76" s="156"/>
      <c r="K76" s="158"/>
    </row>
    <row r="77" spans="1:11" ht="18.75">
      <c r="A77" s="182" t="s">
        <v>121</v>
      </c>
      <c r="B77" s="183"/>
      <c r="C77" s="184"/>
      <c r="D77" s="172"/>
      <c r="E77" s="172"/>
      <c r="F77" s="181"/>
      <c r="G77" s="181"/>
      <c r="I77" s="156"/>
      <c r="K77" s="158"/>
    </row>
    <row r="78" spans="1:11" ht="18.75">
      <c r="A78" s="179"/>
      <c r="B78" s="179"/>
      <c r="C78" s="179"/>
      <c r="D78" s="172"/>
      <c r="E78" s="172"/>
      <c r="F78" s="181"/>
      <c r="G78" s="181"/>
      <c r="I78" s="156"/>
      <c r="K78" s="158"/>
    </row>
    <row r="79" spans="1:11" ht="18.75">
      <c r="A79" s="185"/>
      <c r="B79" s="185"/>
      <c r="C79" s="186"/>
      <c r="D79" s="10" t="s">
        <v>92</v>
      </c>
      <c r="E79" s="11"/>
      <c r="F79" s="10" t="s">
        <v>93</v>
      </c>
      <c r="G79" s="11"/>
      <c r="I79" s="156"/>
      <c r="K79" s="158"/>
    </row>
    <row r="80" spans="1:11" ht="15" customHeight="1">
      <c r="A80" s="187"/>
      <c r="B80" s="187"/>
      <c r="C80" s="188"/>
      <c r="D80" s="12" t="s">
        <v>33</v>
      </c>
      <c r="E80" s="11" t="s">
        <v>32</v>
      </c>
      <c r="F80" s="12" t="s">
        <v>33</v>
      </c>
      <c r="G80" s="11" t="s">
        <v>32</v>
      </c>
      <c r="I80" s="156"/>
      <c r="K80" s="158"/>
    </row>
    <row r="81" spans="1:11" ht="21">
      <c r="A81" s="189" t="s">
        <v>35</v>
      </c>
      <c r="B81" s="189" t="s">
        <v>41</v>
      </c>
      <c r="C81" s="189" t="s">
        <v>36</v>
      </c>
      <c r="D81" s="13" t="s">
        <v>37</v>
      </c>
      <c r="E81" s="14" t="s">
        <v>38</v>
      </c>
      <c r="F81" s="13" t="s">
        <v>37</v>
      </c>
      <c r="G81" s="14" t="s">
        <v>38</v>
      </c>
      <c r="I81" s="156"/>
      <c r="K81" s="158"/>
    </row>
    <row r="82" spans="1:13" s="203" customFormat="1" ht="18.75">
      <c r="A82" s="190" t="s">
        <v>312</v>
      </c>
      <c r="B82" s="190" t="s">
        <v>488</v>
      </c>
      <c r="C82" s="190" t="s">
        <v>489</v>
      </c>
      <c r="D82" s="210"/>
      <c r="E82" s="210"/>
      <c r="F82" s="210">
        <v>18450</v>
      </c>
      <c r="G82" s="210"/>
      <c r="H82" s="211"/>
      <c r="I82" s="156"/>
      <c r="J82" s="192"/>
      <c r="K82" s="158"/>
      <c r="L82" s="212"/>
      <c r="M82" s="212"/>
    </row>
    <row r="83" spans="1:13" s="203" customFormat="1" ht="18.75">
      <c r="A83" s="190" t="s">
        <v>141</v>
      </c>
      <c r="B83" s="190" t="s">
        <v>275</v>
      </c>
      <c r="C83" s="190" t="s">
        <v>276</v>
      </c>
      <c r="D83" s="210">
        <v>90562</v>
      </c>
      <c r="E83" s="210"/>
      <c r="F83" s="210"/>
      <c r="G83" s="210"/>
      <c r="H83" s="211"/>
      <c r="I83" s="156"/>
      <c r="J83" s="192"/>
      <c r="K83" s="158"/>
      <c r="L83" s="212"/>
      <c r="M83" s="212"/>
    </row>
    <row r="84" spans="1:13" s="203" customFormat="1" ht="18.75">
      <c r="A84" s="190" t="s">
        <v>137</v>
      </c>
      <c r="B84" s="190" t="s">
        <v>322</v>
      </c>
      <c r="C84" s="190" t="s">
        <v>244</v>
      </c>
      <c r="D84" s="210"/>
      <c r="E84" s="210"/>
      <c r="F84" s="210">
        <f>5346+9000</f>
        <v>14346</v>
      </c>
      <c r="G84" s="210"/>
      <c r="H84" s="211"/>
      <c r="I84" s="156"/>
      <c r="J84" s="192"/>
      <c r="K84" s="158"/>
      <c r="L84" s="212"/>
      <c r="M84" s="212"/>
    </row>
    <row r="85" spans="1:13" s="48" customFormat="1" ht="19.5" customHeight="1">
      <c r="A85" s="325" t="s">
        <v>42</v>
      </c>
      <c r="B85" s="326"/>
      <c r="C85" s="194"/>
      <c r="D85" s="216">
        <f>D82+D83+D84</f>
        <v>90562</v>
      </c>
      <c r="E85" s="216">
        <f>E82+E83+E84</f>
        <v>0</v>
      </c>
      <c r="F85" s="216">
        <f>F82+F83+F84</f>
        <v>32796</v>
      </c>
      <c r="G85" s="216">
        <f>G82+G83+G84</f>
        <v>0</v>
      </c>
      <c r="H85" s="208"/>
      <c r="I85" s="204"/>
      <c r="J85" s="205"/>
      <c r="K85" s="205"/>
      <c r="L85" s="49"/>
      <c r="M85" s="49"/>
    </row>
    <row r="86" spans="1:13" s="48" customFormat="1" ht="19.5" customHeight="1">
      <c r="A86" s="206"/>
      <c r="B86" s="207"/>
      <c r="C86" s="207"/>
      <c r="D86" s="208"/>
      <c r="E86" s="208"/>
      <c r="F86" s="208"/>
      <c r="G86" s="208"/>
      <c r="H86" s="208"/>
      <c r="I86" s="204"/>
      <c r="J86" s="205"/>
      <c r="K86" s="205"/>
      <c r="L86" s="49"/>
      <c r="M86" s="49"/>
    </row>
    <row r="87" spans="1:13" s="48" customFormat="1" ht="19.5" customHeight="1">
      <c r="A87" s="206"/>
      <c r="B87" s="207"/>
      <c r="C87" s="207"/>
      <c r="D87" s="208"/>
      <c r="E87" s="208"/>
      <c r="F87" s="208"/>
      <c r="G87" s="208"/>
      <c r="H87" s="208"/>
      <c r="I87" s="204"/>
      <c r="J87" s="205"/>
      <c r="K87" s="205"/>
      <c r="L87" s="49"/>
      <c r="M87" s="49"/>
    </row>
    <row r="88" spans="1:13" s="28" customFormat="1" ht="15.75">
      <c r="A88" s="155" t="s">
        <v>263</v>
      </c>
      <c r="B88" s="218"/>
      <c r="C88" s="219"/>
      <c r="H88" s="1"/>
      <c r="I88" s="156"/>
      <c r="J88" s="33"/>
      <c r="K88" s="166"/>
      <c r="L88" s="33"/>
      <c r="M88" s="33"/>
    </row>
    <row r="89" spans="1:23" ht="15.75">
      <c r="A89" s="217"/>
      <c r="B89" s="217"/>
      <c r="C89" s="217"/>
      <c r="D89" s="28"/>
      <c r="E89" s="28"/>
      <c r="F89" s="28"/>
      <c r="G89" s="28"/>
      <c r="H89" s="1"/>
      <c r="I89" s="220"/>
      <c r="J89" s="38"/>
      <c r="K89" s="221"/>
      <c r="L89" s="37"/>
      <c r="M89" s="37"/>
      <c r="N89" s="16"/>
      <c r="O89" s="16"/>
      <c r="P89" s="16"/>
      <c r="Q89" s="222"/>
      <c r="R89" s="222"/>
      <c r="S89" s="222"/>
      <c r="T89" s="222"/>
      <c r="U89" s="222"/>
      <c r="V89" s="222"/>
      <c r="W89" s="222"/>
    </row>
    <row r="90" spans="1:23" ht="18.75">
      <c r="A90" s="155"/>
      <c r="B90" s="218"/>
      <c r="C90" s="219"/>
      <c r="D90" s="16"/>
      <c r="E90" s="16"/>
      <c r="F90" s="16"/>
      <c r="G90" s="16"/>
      <c r="H90" s="17"/>
      <c r="I90" s="223"/>
      <c r="J90" s="224"/>
      <c r="K90" s="221"/>
      <c r="L90" s="37"/>
      <c r="M90" s="37"/>
      <c r="N90" s="16"/>
      <c r="O90" s="16"/>
      <c r="P90" s="16"/>
      <c r="Q90" s="222"/>
      <c r="R90" s="222"/>
      <c r="S90" s="222"/>
      <c r="T90" s="222"/>
      <c r="U90" s="222"/>
      <c r="V90" s="222"/>
      <c r="W90" s="222"/>
    </row>
    <row r="91" spans="1:23" ht="15.75">
      <c r="A91" s="155"/>
      <c r="B91" s="225" t="s">
        <v>95</v>
      </c>
      <c r="C91" s="226"/>
      <c r="D91" s="16"/>
      <c r="E91" s="16"/>
      <c r="F91" s="16"/>
      <c r="G91" s="16"/>
      <c r="H91" s="227">
        <f>H94+H111</f>
        <v>395819168.40999997</v>
      </c>
      <c r="I91" s="223"/>
      <c r="J91" s="224"/>
      <c r="K91" s="221"/>
      <c r="L91" s="37"/>
      <c r="M91" s="37"/>
      <c r="N91" s="16"/>
      <c r="O91" s="16"/>
      <c r="P91" s="16"/>
      <c r="Q91" s="222"/>
      <c r="R91" s="222"/>
      <c r="S91" s="222"/>
      <c r="T91" s="222"/>
      <c r="U91" s="222"/>
      <c r="V91" s="222"/>
      <c r="W91" s="222"/>
    </row>
    <row r="92" spans="1:23" ht="15.75">
      <c r="A92" s="155"/>
      <c r="B92" s="225" t="s">
        <v>90</v>
      </c>
      <c r="C92" s="226"/>
      <c r="D92" s="16"/>
      <c r="E92" s="16"/>
      <c r="F92" s="16"/>
      <c r="G92" s="16"/>
      <c r="H92" s="227">
        <f>H95+H112</f>
        <v>396417820.08000004</v>
      </c>
      <c r="I92" s="323"/>
      <c r="J92" s="224"/>
      <c r="K92" s="221"/>
      <c r="L92" s="37"/>
      <c r="M92" s="37"/>
      <c r="N92" s="16"/>
      <c r="O92" s="16"/>
      <c r="P92" s="16"/>
      <c r="Q92" s="222"/>
      <c r="R92" s="222"/>
      <c r="S92" s="222"/>
      <c r="T92" s="222"/>
      <c r="U92" s="222"/>
      <c r="V92" s="222"/>
      <c r="W92" s="222"/>
    </row>
    <row r="93" spans="1:23" ht="15.75">
      <c r="A93" s="155"/>
      <c r="B93" s="230" t="s">
        <v>88</v>
      </c>
      <c r="C93" s="219"/>
      <c r="D93" s="16"/>
      <c r="E93" s="16"/>
      <c r="F93" s="16"/>
      <c r="G93" s="16"/>
      <c r="H93" s="227"/>
      <c r="I93" s="323"/>
      <c r="J93" s="224"/>
      <c r="K93" s="221"/>
      <c r="L93" s="37"/>
      <c r="M93" s="37"/>
      <c r="N93" s="16"/>
      <c r="O93" s="16"/>
      <c r="P93" s="16"/>
      <c r="Q93" s="222"/>
      <c r="R93" s="222"/>
      <c r="S93" s="222"/>
      <c r="T93" s="222"/>
      <c r="U93" s="222"/>
      <c r="V93" s="222"/>
      <c r="W93" s="222"/>
    </row>
    <row r="94" spans="1:23" ht="15.75">
      <c r="A94" s="232" t="s">
        <v>96</v>
      </c>
      <c r="B94" s="232"/>
      <c r="C94" s="232"/>
      <c r="D94" s="176"/>
      <c r="E94" s="172"/>
      <c r="F94" s="172"/>
      <c r="G94" s="16"/>
      <c r="H94" s="227">
        <v>275039906.01</v>
      </c>
      <c r="I94" s="323"/>
      <c r="J94" s="224"/>
      <c r="K94" s="221"/>
      <c r="L94" s="37"/>
      <c r="M94" s="37"/>
      <c r="N94" s="16"/>
      <c r="O94" s="16"/>
      <c r="P94" s="16"/>
      <c r="Q94" s="222"/>
      <c r="R94" s="222"/>
      <c r="S94" s="222"/>
      <c r="T94" s="222"/>
      <c r="U94" s="222"/>
      <c r="V94" s="222"/>
      <c r="W94" s="222"/>
    </row>
    <row r="95" spans="1:23" ht="15.75">
      <c r="A95" s="232"/>
      <c r="B95" s="233" t="s">
        <v>90</v>
      </c>
      <c r="C95" s="232"/>
      <c r="D95" s="176"/>
      <c r="E95" s="172"/>
      <c r="F95" s="172"/>
      <c r="G95" s="16"/>
      <c r="H95" s="227">
        <f>H94-D193+F193</f>
        <v>275704785.68</v>
      </c>
      <c r="I95" s="323"/>
      <c r="J95" s="224"/>
      <c r="K95" s="221"/>
      <c r="L95" s="37"/>
      <c r="M95" s="37"/>
      <c r="N95" s="16"/>
      <c r="O95" s="16"/>
      <c r="P95" s="16"/>
      <c r="Q95" s="222"/>
      <c r="R95" s="222"/>
      <c r="S95" s="222"/>
      <c r="T95" s="222"/>
      <c r="U95" s="222"/>
      <c r="V95" s="222"/>
      <c r="W95" s="222"/>
    </row>
    <row r="96" spans="1:23" ht="15.75">
      <c r="A96" s="171" t="s">
        <v>33</v>
      </c>
      <c r="B96" s="171" t="s">
        <v>97</v>
      </c>
      <c r="C96" s="171"/>
      <c r="D96" s="172"/>
      <c r="E96" s="172"/>
      <c r="F96" s="172"/>
      <c r="G96" s="16"/>
      <c r="H96" s="227"/>
      <c r="I96" s="323"/>
      <c r="J96" s="224"/>
      <c r="K96" s="498"/>
      <c r="L96" s="498"/>
      <c r="M96" s="37"/>
      <c r="N96" s="16"/>
      <c r="O96" s="16"/>
      <c r="P96" s="16"/>
      <c r="Q96" s="222"/>
      <c r="R96" s="222"/>
      <c r="S96" s="222"/>
      <c r="T96" s="222"/>
      <c r="U96" s="222"/>
      <c r="V96" s="222"/>
      <c r="W96" s="222"/>
    </row>
    <row r="97" spans="1:23" ht="15.75">
      <c r="A97" s="171"/>
      <c r="B97" s="171"/>
      <c r="C97" s="171"/>
      <c r="D97" s="172"/>
      <c r="E97" s="172"/>
      <c r="F97" s="172"/>
      <c r="G97" s="16"/>
      <c r="H97" s="227"/>
      <c r="I97" s="323"/>
      <c r="J97" s="224"/>
      <c r="K97" s="498"/>
      <c r="L97" s="498"/>
      <c r="M97" s="37"/>
      <c r="N97" s="16"/>
      <c r="O97" s="16"/>
      <c r="P97" s="16"/>
      <c r="Q97" s="222"/>
      <c r="R97" s="222"/>
      <c r="S97" s="222"/>
      <c r="T97" s="222"/>
      <c r="U97" s="222"/>
      <c r="V97" s="222"/>
      <c r="W97" s="222"/>
    </row>
    <row r="98" spans="1:23" ht="15.75">
      <c r="A98" s="235" t="s">
        <v>98</v>
      </c>
      <c r="B98" s="235"/>
      <c r="C98" s="235"/>
      <c r="D98" s="236"/>
      <c r="E98" s="172"/>
      <c r="F98" s="172"/>
      <c r="G98" s="16"/>
      <c r="H98" s="227">
        <v>246313026.13</v>
      </c>
      <c r="I98" s="323"/>
      <c r="J98" s="224"/>
      <c r="K98" s="498"/>
      <c r="L98" s="498"/>
      <c r="M98" s="37"/>
      <c r="N98" s="16"/>
      <c r="O98" s="16"/>
      <c r="P98" s="16"/>
      <c r="Q98" s="222"/>
      <c r="R98" s="222"/>
      <c r="S98" s="222"/>
      <c r="T98" s="222"/>
      <c r="U98" s="222"/>
      <c r="V98" s="222"/>
      <c r="W98" s="222"/>
    </row>
    <row r="99" spans="1:23" ht="15.75">
      <c r="A99" s="235"/>
      <c r="B99" s="237" t="s">
        <v>90</v>
      </c>
      <c r="C99" s="235"/>
      <c r="D99" s="236"/>
      <c r="E99" s="176"/>
      <c r="F99" s="236"/>
      <c r="G99" s="16"/>
      <c r="H99" s="227">
        <f>H98-D193+D191+F193-F190-F186-F168-F155-F154-F139-F135</f>
        <v>246688585.79999998</v>
      </c>
      <c r="I99" s="323"/>
      <c r="J99" s="224"/>
      <c r="K99" s="499"/>
      <c r="L99" s="499"/>
      <c r="M99" s="37"/>
      <c r="N99" s="239"/>
      <c r="O99" s="16"/>
      <c r="P99" s="16"/>
      <c r="Q99" s="222"/>
      <c r="R99" s="222"/>
      <c r="S99" s="222"/>
      <c r="T99" s="222"/>
      <c r="U99" s="222"/>
      <c r="V99" s="222"/>
      <c r="W99" s="222"/>
    </row>
    <row r="100" spans="1:23" ht="15.75">
      <c r="A100" s="168"/>
      <c r="B100" s="169" t="s">
        <v>32</v>
      </c>
      <c r="C100" s="161"/>
      <c r="D100" s="26"/>
      <c r="E100" s="176"/>
      <c r="F100" s="236"/>
      <c r="G100" s="16"/>
      <c r="H100" s="227"/>
      <c r="I100" s="223"/>
      <c r="J100" s="224"/>
      <c r="K100" s="221"/>
      <c r="L100" s="37"/>
      <c r="M100" s="37"/>
      <c r="N100" s="16"/>
      <c r="O100" s="16"/>
      <c r="P100" s="16"/>
      <c r="Q100" s="222"/>
      <c r="R100" s="222"/>
      <c r="S100" s="222"/>
      <c r="T100" s="222"/>
      <c r="U100" s="222"/>
      <c r="V100" s="222"/>
      <c r="W100" s="222"/>
    </row>
    <row r="101" spans="1:23" ht="15.75">
      <c r="A101" s="168"/>
      <c r="B101" s="833" t="s">
        <v>474</v>
      </c>
      <c r="C101" s="161"/>
      <c r="D101" s="26"/>
      <c r="E101" s="176"/>
      <c r="F101" s="236"/>
      <c r="G101" s="16"/>
      <c r="H101" s="227"/>
      <c r="I101" s="223"/>
      <c r="J101" s="224"/>
      <c r="K101" s="221"/>
      <c r="L101" s="37"/>
      <c r="M101" s="37"/>
      <c r="N101" s="16"/>
      <c r="O101" s="16"/>
      <c r="P101" s="16"/>
      <c r="Q101" s="222"/>
      <c r="R101" s="222"/>
      <c r="S101" s="222"/>
      <c r="T101" s="222"/>
      <c r="U101" s="222"/>
      <c r="V101" s="222"/>
      <c r="W101" s="222"/>
    </row>
    <row r="102" spans="1:23" ht="15.75">
      <c r="A102" s="168"/>
      <c r="B102" s="169" t="s">
        <v>475</v>
      </c>
      <c r="C102" s="161"/>
      <c r="D102" s="26"/>
      <c r="E102" s="176"/>
      <c r="F102" s="236"/>
      <c r="G102" s="16"/>
      <c r="H102" s="227"/>
      <c r="I102" s="223"/>
      <c r="J102" s="224"/>
      <c r="K102" s="221"/>
      <c r="L102" s="37"/>
      <c r="M102" s="37"/>
      <c r="N102" s="16"/>
      <c r="O102" s="16"/>
      <c r="P102" s="16"/>
      <c r="Q102" s="222"/>
      <c r="R102" s="222"/>
      <c r="S102" s="222"/>
      <c r="T102" s="222"/>
      <c r="U102" s="222"/>
      <c r="V102" s="222"/>
      <c r="W102" s="222"/>
    </row>
    <row r="103" spans="1:23" ht="15.75">
      <c r="A103" s="168"/>
      <c r="B103" s="169" t="s">
        <v>476</v>
      </c>
      <c r="C103" s="161"/>
      <c r="D103" s="26"/>
      <c r="E103" s="176"/>
      <c r="F103" s="236"/>
      <c r="G103" s="16"/>
      <c r="H103" s="231">
        <v>3869754.38</v>
      </c>
      <c r="I103" s="223"/>
      <c r="J103" s="224"/>
      <c r="K103" s="221"/>
      <c r="L103" s="37"/>
      <c r="M103" s="37"/>
      <c r="N103" s="16"/>
      <c r="O103" s="16"/>
      <c r="P103" s="16"/>
      <c r="Q103" s="222"/>
      <c r="R103" s="222"/>
      <c r="S103" s="222"/>
      <c r="T103" s="222"/>
      <c r="U103" s="222"/>
      <c r="V103" s="222"/>
      <c r="W103" s="222"/>
    </row>
    <row r="104" spans="1:23" ht="15.75">
      <c r="A104" s="168"/>
      <c r="B104" s="169" t="s">
        <v>90</v>
      </c>
      <c r="C104" s="161"/>
      <c r="D104" s="26"/>
      <c r="E104" s="176"/>
      <c r="F104" s="236"/>
      <c r="G104" s="16"/>
      <c r="H104" s="231">
        <f>H103+F169</f>
        <v>3887294.38</v>
      </c>
      <c r="I104" s="223"/>
      <c r="J104" s="224"/>
      <c r="K104" s="221"/>
      <c r="L104" s="37"/>
      <c r="M104" s="37"/>
      <c r="N104" s="16"/>
      <c r="O104" s="16"/>
      <c r="P104" s="16"/>
      <c r="Q104" s="222"/>
      <c r="R104" s="222"/>
      <c r="S104" s="222"/>
      <c r="T104" s="222"/>
      <c r="U104" s="222"/>
      <c r="V104" s="222"/>
      <c r="W104" s="222"/>
    </row>
    <row r="105" spans="1:23" ht="15.75">
      <c r="A105" s="168"/>
      <c r="B105" s="169"/>
      <c r="C105" s="161"/>
      <c r="D105" s="26"/>
      <c r="E105" s="176"/>
      <c r="F105" s="236"/>
      <c r="G105" s="16"/>
      <c r="H105" s="227"/>
      <c r="I105" s="223"/>
      <c r="J105" s="224"/>
      <c r="K105" s="221"/>
      <c r="L105" s="37"/>
      <c r="M105" s="37"/>
      <c r="N105" s="16"/>
      <c r="O105" s="16"/>
      <c r="P105" s="16"/>
      <c r="Q105" s="222"/>
      <c r="R105" s="222"/>
      <c r="S105" s="222"/>
      <c r="T105" s="222"/>
      <c r="U105" s="222"/>
      <c r="V105" s="222"/>
      <c r="W105" s="222"/>
    </row>
    <row r="106" spans="1:23" ht="15.75">
      <c r="A106" s="168"/>
      <c r="B106" s="169"/>
      <c r="C106" s="161"/>
      <c r="D106" s="26"/>
      <c r="E106" s="176"/>
      <c r="F106" s="236"/>
      <c r="G106" s="16"/>
      <c r="H106" s="227"/>
      <c r="I106" s="223"/>
      <c r="J106" s="224"/>
      <c r="K106" s="221"/>
      <c r="L106" s="37"/>
      <c r="M106" s="37"/>
      <c r="N106" s="16"/>
      <c r="O106" s="16"/>
      <c r="P106" s="16"/>
      <c r="Q106" s="222"/>
      <c r="R106" s="222"/>
      <c r="S106" s="222"/>
      <c r="T106" s="222"/>
      <c r="U106" s="222"/>
      <c r="V106" s="222"/>
      <c r="W106" s="222"/>
    </row>
    <row r="107" spans="1:23" ht="15.75">
      <c r="A107" s="235" t="s">
        <v>99</v>
      </c>
      <c r="B107" s="235"/>
      <c r="C107" s="232"/>
      <c r="D107" s="236"/>
      <c r="E107" s="176"/>
      <c r="F107" s="236"/>
      <c r="G107" s="16"/>
      <c r="H107" s="227">
        <v>28726879.88</v>
      </c>
      <c r="I107" s="223"/>
      <c r="J107" s="224"/>
      <c r="K107" s="221"/>
      <c r="L107" s="37"/>
      <c r="M107" s="37"/>
      <c r="N107" s="16"/>
      <c r="O107" s="16"/>
      <c r="P107" s="16"/>
      <c r="Q107" s="222"/>
      <c r="R107" s="222"/>
      <c r="S107" s="222"/>
      <c r="T107" s="222"/>
      <c r="U107" s="222"/>
      <c r="V107" s="222"/>
      <c r="W107" s="222"/>
    </row>
    <row r="108" spans="1:23" ht="15.75">
      <c r="A108" s="235"/>
      <c r="B108" s="237" t="s">
        <v>90</v>
      </c>
      <c r="C108" s="232"/>
      <c r="D108" s="236"/>
      <c r="E108" s="176"/>
      <c r="F108" s="236"/>
      <c r="G108" s="16"/>
      <c r="H108" s="227">
        <f>H107-D191+F190+F186+F168+F155+F154+F139+F135</f>
        <v>29016199.88</v>
      </c>
      <c r="I108" s="323"/>
      <c r="J108" s="224"/>
      <c r="K108" s="221"/>
      <c r="L108" s="37"/>
      <c r="M108" s="37"/>
      <c r="N108" s="16"/>
      <c r="O108" s="16"/>
      <c r="P108" s="16"/>
      <c r="Q108" s="222"/>
      <c r="R108" s="222"/>
      <c r="S108" s="222"/>
      <c r="T108" s="222"/>
      <c r="U108" s="222"/>
      <c r="V108" s="222"/>
      <c r="W108" s="222"/>
    </row>
    <row r="109" spans="1:23" ht="20.25">
      <c r="A109" s="168"/>
      <c r="B109" s="169"/>
      <c r="C109" s="161"/>
      <c r="D109" s="26"/>
      <c r="E109" s="176"/>
      <c r="F109" s="236"/>
      <c r="G109" s="16"/>
      <c r="H109" s="227"/>
      <c r="I109" s="228"/>
      <c r="J109" s="224"/>
      <c r="K109" s="221"/>
      <c r="L109" s="229"/>
      <c r="M109" s="37"/>
      <c r="N109" s="16"/>
      <c r="O109" s="16"/>
      <c r="P109" s="16"/>
      <c r="Q109" s="222"/>
      <c r="R109" s="222"/>
      <c r="S109" s="222"/>
      <c r="T109" s="222"/>
      <c r="U109" s="222"/>
      <c r="V109" s="222"/>
      <c r="W109" s="222"/>
    </row>
    <row r="110" spans="1:23" ht="15.75">
      <c r="A110" s="235"/>
      <c r="B110" s="237"/>
      <c r="C110" s="232"/>
      <c r="D110" s="236"/>
      <c r="E110" s="176"/>
      <c r="F110" s="236"/>
      <c r="G110" s="16"/>
      <c r="H110" s="227"/>
      <c r="I110" s="228"/>
      <c r="J110" s="38"/>
      <c r="K110" s="221"/>
      <c r="L110" s="37"/>
      <c r="M110" s="37"/>
      <c r="N110" s="16"/>
      <c r="O110" s="16"/>
      <c r="P110" s="16"/>
      <c r="Q110" s="222"/>
      <c r="R110" s="222"/>
      <c r="S110" s="222"/>
      <c r="T110" s="222"/>
      <c r="U110" s="222"/>
      <c r="V110" s="222"/>
      <c r="W110" s="222"/>
    </row>
    <row r="111" spans="1:23" ht="15.75">
      <c r="A111" s="232" t="s">
        <v>100</v>
      </c>
      <c r="B111" s="232"/>
      <c r="C111" s="232"/>
      <c r="D111" s="176"/>
      <c r="E111" s="176"/>
      <c r="F111" s="236"/>
      <c r="G111" s="16"/>
      <c r="H111" s="227">
        <v>120779262.4</v>
      </c>
      <c r="I111" s="228"/>
      <c r="J111" s="38"/>
      <c r="K111" s="221"/>
      <c r="L111" s="37"/>
      <c r="M111" s="37"/>
      <c r="N111" s="16"/>
      <c r="O111" s="16"/>
      <c r="P111" s="16"/>
      <c r="Q111" s="222"/>
      <c r="R111" s="222"/>
      <c r="S111" s="222"/>
      <c r="T111" s="222"/>
      <c r="U111" s="222"/>
      <c r="V111" s="222"/>
      <c r="W111" s="222"/>
    </row>
    <row r="112" spans="1:11" ht="15.75">
      <c r="A112" s="232"/>
      <c r="B112" s="233" t="s">
        <v>90</v>
      </c>
      <c r="C112" s="232"/>
      <c r="D112" s="176"/>
      <c r="E112" s="176"/>
      <c r="F112" s="236"/>
      <c r="H112" s="162">
        <f>H111-D219+F219</f>
        <v>120713034.4</v>
      </c>
      <c r="I112" s="156"/>
      <c r="K112" s="158"/>
    </row>
    <row r="113" spans="1:12" ht="15.75">
      <c r="A113" s="171" t="s">
        <v>33</v>
      </c>
      <c r="B113" s="171" t="s">
        <v>97</v>
      </c>
      <c r="C113" s="171"/>
      <c r="D113" s="172"/>
      <c r="E113" s="176"/>
      <c r="F113" s="236"/>
      <c r="H113" s="162"/>
      <c r="I113" s="156"/>
      <c r="J113" s="166"/>
      <c r="K113" s="158"/>
      <c r="L113" s="158"/>
    </row>
    <row r="114" spans="1:12" ht="15.75">
      <c r="A114" s="171"/>
      <c r="B114" s="171"/>
      <c r="C114" s="171"/>
      <c r="D114" s="172"/>
      <c r="E114" s="176"/>
      <c r="F114" s="236"/>
      <c r="H114" s="162"/>
      <c r="I114" s="156"/>
      <c r="K114" s="158"/>
      <c r="L114" s="158"/>
    </row>
    <row r="115" spans="1:23" ht="18.75">
      <c r="A115" s="235" t="s">
        <v>98</v>
      </c>
      <c r="B115" s="235"/>
      <c r="C115" s="235"/>
      <c r="D115" s="236"/>
      <c r="E115" s="176"/>
      <c r="F115" s="236"/>
      <c r="G115" s="16"/>
      <c r="H115" s="227">
        <v>106888662.4</v>
      </c>
      <c r="I115" s="17"/>
      <c r="J115" s="238"/>
      <c r="K115" s="221"/>
      <c r="L115" s="221"/>
      <c r="M115" s="37"/>
      <c r="N115" s="239"/>
      <c r="O115" s="16"/>
      <c r="P115" s="16"/>
      <c r="Q115" s="222"/>
      <c r="R115" s="222"/>
      <c r="S115" s="222"/>
      <c r="T115" s="222"/>
      <c r="U115" s="222"/>
      <c r="V115" s="222"/>
      <c r="W115" s="222"/>
    </row>
    <row r="116" spans="1:23" ht="15.75">
      <c r="A116" s="235"/>
      <c r="B116" s="237" t="s">
        <v>90</v>
      </c>
      <c r="C116" s="235"/>
      <c r="D116" s="236"/>
      <c r="E116" s="176"/>
      <c r="F116" s="236"/>
      <c r="G116" s="16"/>
      <c r="H116" s="227">
        <f>H115-D219+D207+F219-F204</f>
        <v>106739984.4</v>
      </c>
      <c r="I116" s="228"/>
      <c r="J116" s="238"/>
      <c r="K116" s="221"/>
      <c r="L116" s="37"/>
      <c r="M116" s="37"/>
      <c r="N116" s="239"/>
      <c r="O116" s="16"/>
      <c r="P116" s="16"/>
      <c r="Q116" s="222"/>
      <c r="R116" s="222"/>
      <c r="S116" s="222"/>
      <c r="T116" s="222"/>
      <c r="U116" s="222"/>
      <c r="V116" s="222"/>
      <c r="W116" s="222"/>
    </row>
    <row r="117" spans="1:23" ht="15.75">
      <c r="A117" s="235"/>
      <c r="B117" s="169"/>
      <c r="C117" s="161"/>
      <c r="D117" s="26"/>
      <c r="E117" s="176"/>
      <c r="F117" s="236"/>
      <c r="G117" s="16"/>
      <c r="H117" s="227"/>
      <c r="I117" s="228"/>
      <c r="J117" s="38"/>
      <c r="K117" s="221"/>
      <c r="L117" s="37"/>
      <c r="M117" s="37"/>
      <c r="N117" s="16"/>
      <c r="O117" s="16"/>
      <c r="P117" s="16"/>
      <c r="Q117" s="222"/>
      <c r="R117" s="222"/>
      <c r="S117" s="222"/>
      <c r="T117" s="222"/>
      <c r="U117" s="222"/>
      <c r="V117" s="222"/>
      <c r="W117" s="222"/>
    </row>
    <row r="118" spans="1:23" ht="15.75">
      <c r="A118" s="235"/>
      <c r="B118" s="237"/>
      <c r="C118" s="235"/>
      <c r="D118" s="236"/>
      <c r="E118" s="176"/>
      <c r="F118" s="236"/>
      <c r="G118" s="16"/>
      <c r="H118" s="227"/>
      <c r="I118" s="227"/>
      <c r="J118" s="224"/>
      <c r="K118" s="221"/>
      <c r="L118" s="37"/>
      <c r="M118" s="37"/>
      <c r="N118" s="239"/>
      <c r="O118" s="16"/>
      <c r="P118" s="16"/>
      <c r="Q118" s="222"/>
      <c r="R118" s="222"/>
      <c r="S118" s="222"/>
      <c r="T118" s="222"/>
      <c r="U118" s="222"/>
      <c r="V118" s="222"/>
      <c r="W118" s="222"/>
    </row>
    <row r="119" spans="1:23" ht="15.75">
      <c r="A119" s="235" t="s">
        <v>99</v>
      </c>
      <c r="B119" s="235"/>
      <c r="C119" s="232"/>
      <c r="D119" s="236"/>
      <c r="E119" s="176"/>
      <c r="F119" s="236"/>
      <c r="G119" s="16"/>
      <c r="H119" s="227">
        <v>13890600</v>
      </c>
      <c r="I119" s="227"/>
      <c r="J119" s="224"/>
      <c r="K119" s="221"/>
      <c r="L119" s="37"/>
      <c r="M119" s="37"/>
      <c r="N119" s="239"/>
      <c r="O119" s="16"/>
      <c r="P119" s="16"/>
      <c r="Q119" s="222"/>
      <c r="R119" s="222"/>
      <c r="S119" s="222"/>
      <c r="T119" s="222"/>
      <c r="U119" s="222"/>
      <c r="V119" s="222"/>
      <c r="W119" s="222"/>
    </row>
    <row r="120" spans="1:23" ht="15.75">
      <c r="A120" s="235"/>
      <c r="B120" s="237" t="s">
        <v>90</v>
      </c>
      <c r="C120" s="232"/>
      <c r="D120" s="236"/>
      <c r="E120" s="176"/>
      <c r="F120" s="236"/>
      <c r="G120" s="16"/>
      <c r="H120" s="227">
        <f>H119+F204-D207</f>
        <v>13973050</v>
      </c>
      <c r="I120" s="39"/>
      <c r="J120" s="224"/>
      <c r="K120" s="221"/>
      <c r="L120" s="37"/>
      <c r="M120" s="37"/>
      <c r="N120" s="239"/>
      <c r="O120" s="16"/>
      <c r="P120" s="16"/>
      <c r="Q120" s="222"/>
      <c r="R120" s="222"/>
      <c r="S120" s="222"/>
      <c r="T120" s="222"/>
      <c r="U120" s="222"/>
      <c r="V120" s="222"/>
      <c r="W120" s="222"/>
    </row>
    <row r="121" spans="1:23" ht="15.75">
      <c r="A121" s="235"/>
      <c r="B121" s="237"/>
      <c r="C121" s="235"/>
      <c r="D121" s="236"/>
      <c r="E121" s="176"/>
      <c r="F121" s="236"/>
      <c r="G121" s="16"/>
      <c r="H121" s="227"/>
      <c r="I121" s="227"/>
      <c r="J121" s="224"/>
      <c r="K121" s="221"/>
      <c r="L121" s="37"/>
      <c r="M121" s="37"/>
      <c r="N121" s="239"/>
      <c r="O121" s="16"/>
      <c r="P121" s="16"/>
      <c r="Q121" s="222"/>
      <c r="R121" s="222"/>
      <c r="S121" s="222"/>
      <c r="T121" s="222"/>
      <c r="U121" s="222"/>
      <c r="V121" s="222"/>
      <c r="W121" s="222"/>
    </row>
    <row r="122" spans="1:23" ht="15.75">
      <c r="A122" s="235"/>
      <c r="B122" s="237"/>
      <c r="C122" s="235"/>
      <c r="D122" s="236"/>
      <c r="E122" s="176"/>
      <c r="F122" s="236"/>
      <c r="G122" s="16"/>
      <c r="H122" s="227"/>
      <c r="I122" s="227"/>
      <c r="J122" s="224"/>
      <c r="K122" s="221"/>
      <c r="L122" s="37"/>
      <c r="M122" s="37"/>
      <c r="N122" s="239"/>
      <c r="O122" s="16"/>
      <c r="P122" s="16"/>
      <c r="Q122" s="222"/>
      <c r="R122" s="222"/>
      <c r="S122" s="222"/>
      <c r="T122" s="222"/>
      <c r="U122" s="222"/>
      <c r="V122" s="222"/>
      <c r="W122" s="222"/>
    </row>
    <row r="123" spans="1:23" ht="18.75">
      <c r="A123" s="232"/>
      <c r="B123" s="233"/>
      <c r="C123" s="232"/>
      <c r="D123" s="236"/>
      <c r="E123" s="176"/>
      <c r="F123" s="236"/>
      <c r="G123" s="16"/>
      <c r="H123" s="17"/>
      <c r="I123" s="228"/>
      <c r="J123" s="38"/>
      <c r="K123" s="221"/>
      <c r="L123" s="224"/>
      <c r="M123" s="240"/>
      <c r="N123" s="239"/>
      <c r="O123" s="239"/>
      <c r="P123" s="16"/>
      <c r="Q123" s="222"/>
      <c r="R123" s="222"/>
      <c r="S123" s="222"/>
      <c r="T123" s="222"/>
      <c r="U123" s="222"/>
      <c r="V123" s="222"/>
      <c r="W123" s="222"/>
    </row>
    <row r="124" spans="1:23" ht="18.75">
      <c r="A124" s="232"/>
      <c r="B124" s="233"/>
      <c r="C124" s="232"/>
      <c r="D124" s="236"/>
      <c r="E124" s="176"/>
      <c r="F124" s="236"/>
      <c r="G124" s="16"/>
      <c r="H124" s="17"/>
      <c r="I124" s="228"/>
      <c r="J124" s="38"/>
      <c r="K124" s="221"/>
      <c r="L124" s="224"/>
      <c r="M124" s="240"/>
      <c r="N124" s="239"/>
      <c r="O124" s="239"/>
      <c r="P124" s="16"/>
      <c r="Q124" s="222"/>
      <c r="R124" s="222"/>
      <c r="S124" s="222"/>
      <c r="T124" s="222"/>
      <c r="U124" s="222"/>
      <c r="V124" s="222"/>
      <c r="W124" s="222"/>
    </row>
    <row r="125" spans="1:23" ht="18.75">
      <c r="A125" s="232"/>
      <c r="B125" s="233"/>
      <c r="C125" s="232"/>
      <c r="D125" s="236"/>
      <c r="E125" s="176"/>
      <c r="F125" s="236"/>
      <c r="G125" s="16"/>
      <c r="H125" s="17"/>
      <c r="I125" s="228"/>
      <c r="J125" s="38"/>
      <c r="K125" s="221"/>
      <c r="L125" s="224"/>
      <c r="M125" s="240"/>
      <c r="N125" s="239"/>
      <c r="O125" s="239"/>
      <c r="P125" s="16"/>
      <c r="Q125" s="222"/>
      <c r="R125" s="222"/>
      <c r="S125" s="222"/>
      <c r="T125" s="222"/>
      <c r="U125" s="222"/>
      <c r="V125" s="222"/>
      <c r="W125" s="222"/>
    </row>
    <row r="126" spans="1:23" ht="18.75">
      <c r="A126" s="241" t="s">
        <v>81</v>
      </c>
      <c r="B126" s="242"/>
      <c r="C126" s="243"/>
      <c r="D126" s="18"/>
      <c r="E126" s="18"/>
      <c r="F126" s="18"/>
      <c r="G126" s="18"/>
      <c r="H126" s="21"/>
      <c r="I126" s="228"/>
      <c r="J126" s="39"/>
      <c r="K126" s="244"/>
      <c r="L126" s="39"/>
      <c r="M126" s="37"/>
      <c r="N126" s="239"/>
      <c r="O126" s="239"/>
      <c r="P126" s="16"/>
      <c r="Q126" s="16"/>
      <c r="R126" s="16"/>
      <c r="S126" s="16"/>
      <c r="T126" s="16"/>
      <c r="U126" s="16"/>
      <c r="V126" s="16"/>
      <c r="W126" s="16"/>
    </row>
    <row r="127" spans="1:23" ht="15" customHeight="1">
      <c r="A127" s="241"/>
      <c r="B127" s="242"/>
      <c r="C127" s="243"/>
      <c r="D127" s="18"/>
      <c r="E127" s="18"/>
      <c r="F127" s="18"/>
      <c r="G127" s="18"/>
      <c r="H127" s="21"/>
      <c r="I127" s="228"/>
      <c r="J127" s="39"/>
      <c r="K127" s="244"/>
      <c r="L127" s="39"/>
      <c r="M127" s="37"/>
      <c r="N127" s="239"/>
      <c r="O127" s="239"/>
      <c r="P127" s="16"/>
      <c r="Q127" s="16"/>
      <c r="R127" s="16"/>
      <c r="S127" s="16"/>
      <c r="T127" s="16"/>
      <c r="U127" s="16"/>
      <c r="V127" s="16"/>
      <c r="W127" s="16"/>
    </row>
    <row r="128" spans="1:23" ht="18.75">
      <c r="A128" s="241"/>
      <c r="B128" s="242"/>
      <c r="C128" s="243"/>
      <c r="D128" s="18"/>
      <c r="E128" s="18"/>
      <c r="F128" s="18"/>
      <c r="G128" s="18"/>
      <c r="H128" s="21"/>
      <c r="I128" s="228"/>
      <c r="J128" s="39"/>
      <c r="K128" s="244"/>
      <c r="L128" s="245"/>
      <c r="M128" s="37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ht="18.75">
      <c r="A129" s="246" t="s">
        <v>264</v>
      </c>
      <c r="B129" s="246"/>
      <c r="C129" s="247"/>
      <c r="D129" s="19"/>
      <c r="E129" s="19"/>
      <c r="F129" s="19"/>
      <c r="G129" s="19"/>
      <c r="H129" s="17"/>
      <c r="I129" s="228"/>
      <c r="J129" s="38"/>
      <c r="K129" s="221"/>
      <c r="L129" s="248"/>
      <c r="M129" s="249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4.25" customHeight="1">
      <c r="A130" s="246"/>
      <c r="B130" s="246"/>
      <c r="C130" s="247"/>
      <c r="D130" s="19"/>
      <c r="E130" s="19"/>
      <c r="F130" s="19"/>
      <c r="G130" s="19"/>
      <c r="H130" s="17"/>
      <c r="I130" s="228"/>
      <c r="J130" s="38"/>
      <c r="K130" s="221"/>
      <c r="L130" s="248"/>
      <c r="M130" s="249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ht="15" customHeight="1">
      <c r="A131" s="246"/>
      <c r="B131" s="246"/>
      <c r="C131" s="247"/>
      <c r="D131" s="19"/>
      <c r="E131" s="19"/>
      <c r="F131" s="19"/>
      <c r="G131" s="19"/>
      <c r="H131" s="17"/>
      <c r="I131" s="228"/>
      <c r="J131" s="38"/>
      <c r="K131" s="221"/>
      <c r="L131" s="234"/>
      <c r="M131" s="221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ht="18.75">
      <c r="A132" s="185"/>
      <c r="B132" s="185"/>
      <c r="C132" s="186"/>
      <c r="D132" s="10" t="s">
        <v>30</v>
      </c>
      <c r="E132" s="11"/>
      <c r="F132" s="10" t="s">
        <v>31</v>
      </c>
      <c r="G132" s="11"/>
      <c r="H132" s="17"/>
      <c r="I132" s="228"/>
      <c r="J132" s="38"/>
      <c r="K132" s="221"/>
      <c r="L132" s="37"/>
      <c r="M132" s="37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ht="13.5" customHeight="1">
      <c r="A133" s="187"/>
      <c r="B133" s="187"/>
      <c r="C133" s="188"/>
      <c r="D133" s="12" t="s">
        <v>33</v>
      </c>
      <c r="E133" s="11" t="s">
        <v>32</v>
      </c>
      <c r="F133" s="12" t="s">
        <v>33</v>
      </c>
      <c r="G133" s="11" t="s">
        <v>32</v>
      </c>
      <c r="H133" s="17"/>
      <c r="I133" s="228"/>
      <c r="J133" s="38"/>
      <c r="K133" s="221"/>
      <c r="L133" s="37"/>
      <c r="M133" s="37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27.75" customHeight="1">
      <c r="A134" s="189" t="s">
        <v>35</v>
      </c>
      <c r="B134" s="189" t="s">
        <v>41</v>
      </c>
      <c r="C134" s="189" t="s">
        <v>36</v>
      </c>
      <c r="D134" s="13" t="s">
        <v>37</v>
      </c>
      <c r="E134" s="14" t="s">
        <v>38</v>
      </c>
      <c r="F134" s="13" t="s">
        <v>37</v>
      </c>
      <c r="G134" s="14" t="s">
        <v>38</v>
      </c>
      <c r="H134" s="17"/>
      <c r="I134" s="244"/>
      <c r="J134" s="38"/>
      <c r="K134" s="221"/>
      <c r="L134" s="37"/>
      <c r="M134" s="37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s="29" customFormat="1" ht="19.5" customHeight="1">
      <c r="A135" s="190" t="s">
        <v>134</v>
      </c>
      <c r="B135" s="250" t="s">
        <v>135</v>
      </c>
      <c r="C135" s="330" t="s">
        <v>136</v>
      </c>
      <c r="D135" s="191"/>
      <c r="E135" s="191"/>
      <c r="F135" s="191">
        <v>64000</v>
      </c>
      <c r="G135" s="191"/>
      <c r="H135" s="227"/>
      <c r="I135" s="224"/>
      <c r="J135" s="39"/>
      <c r="K135" s="224"/>
      <c r="L135" s="39"/>
      <c r="M135" s="39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</row>
    <row r="136" spans="1:23" s="29" customFormat="1" ht="19.5" customHeight="1">
      <c r="A136" s="327" t="s">
        <v>347</v>
      </c>
      <c r="B136" s="250" t="s">
        <v>348</v>
      </c>
      <c r="C136" s="330" t="s">
        <v>144</v>
      </c>
      <c r="D136" s="191">
        <v>49000</v>
      </c>
      <c r="E136" s="191"/>
      <c r="F136" s="191"/>
      <c r="G136" s="191"/>
      <c r="H136" s="227"/>
      <c r="I136" s="224"/>
      <c r="J136" s="39"/>
      <c r="K136" s="224"/>
      <c r="L136" s="39"/>
      <c r="M136" s="39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</row>
    <row r="137" spans="1:23" s="29" customFormat="1" ht="19.5" customHeight="1">
      <c r="A137" s="327" t="s">
        <v>141</v>
      </c>
      <c r="B137" s="193" t="s">
        <v>142</v>
      </c>
      <c r="C137" s="194"/>
      <c r="D137" s="191">
        <f>SUM(D138:D139)</f>
        <v>37909</v>
      </c>
      <c r="E137" s="191"/>
      <c r="F137" s="191">
        <f>SUM(F138:F139)</f>
        <v>126190</v>
      </c>
      <c r="G137" s="191"/>
      <c r="H137" s="227"/>
      <c r="I137" s="224"/>
      <c r="J137" s="39"/>
      <c r="K137" s="224"/>
      <c r="L137" s="39"/>
      <c r="M137" s="39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</row>
    <row r="138" spans="1:23" s="28" customFormat="1" ht="19.5" customHeight="1">
      <c r="A138" s="199"/>
      <c r="B138" s="195"/>
      <c r="C138" s="202" t="s">
        <v>143</v>
      </c>
      <c r="D138" s="198">
        <f>11000+10000+14909+2000</f>
        <v>37909</v>
      </c>
      <c r="E138" s="198"/>
      <c r="F138" s="198"/>
      <c r="G138" s="198"/>
      <c r="H138" s="231"/>
      <c r="I138" s="238"/>
      <c r="J138" s="38"/>
      <c r="K138" s="238"/>
      <c r="L138" s="38"/>
      <c r="M138" s="38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s="28" customFormat="1" ht="19.5" customHeight="1">
      <c r="A139" s="414"/>
      <c r="B139" s="215"/>
      <c r="C139" s="202" t="s">
        <v>240</v>
      </c>
      <c r="D139" s="198"/>
      <c r="E139" s="198"/>
      <c r="F139" s="198">
        <f>174688-2498-40000-6000</f>
        <v>126190</v>
      </c>
      <c r="G139" s="198"/>
      <c r="H139" s="231"/>
      <c r="I139" s="238"/>
      <c r="J139" s="38"/>
      <c r="K139" s="238"/>
      <c r="L139" s="38"/>
      <c r="M139" s="38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s="29" customFormat="1" ht="19.5" customHeight="1">
      <c r="A140" s="327" t="s">
        <v>137</v>
      </c>
      <c r="B140" s="209"/>
      <c r="C140" s="194"/>
      <c r="D140" s="501">
        <f>D141+D145+D146+D156+D163</f>
        <v>69830</v>
      </c>
      <c r="E140" s="501"/>
      <c r="F140" s="501">
        <f>F141+F145+F146+F156+F163</f>
        <v>104217.67</v>
      </c>
      <c r="G140" s="501"/>
      <c r="H140" s="227"/>
      <c r="I140" s="224"/>
      <c r="J140" s="39"/>
      <c r="K140" s="224"/>
      <c r="L140" s="39"/>
      <c r="M140" s="39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</row>
    <row r="141" spans="1:23" s="28" customFormat="1" ht="19.5" customHeight="1">
      <c r="A141" s="199"/>
      <c r="B141" s="195" t="s">
        <v>323</v>
      </c>
      <c r="C141" s="202"/>
      <c r="D141" s="198">
        <f>SUM(D142:D144)</f>
        <v>5626</v>
      </c>
      <c r="E141" s="198"/>
      <c r="F141" s="198">
        <f>SUM(F142:F144)</f>
        <v>20404</v>
      </c>
      <c r="G141" s="198"/>
      <c r="H141" s="231"/>
      <c r="I141" s="238"/>
      <c r="J141" s="38"/>
      <c r="K141" s="238"/>
      <c r="L141" s="38"/>
      <c r="M141" s="38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s="28" customFormat="1" ht="19.5" customHeight="1">
      <c r="A142" s="199"/>
      <c r="B142" s="195"/>
      <c r="C142" s="202" t="s">
        <v>247</v>
      </c>
      <c r="D142" s="198">
        <f>1973+3653</f>
        <v>5626</v>
      </c>
      <c r="E142" s="198"/>
      <c r="F142" s="198"/>
      <c r="G142" s="198"/>
      <c r="H142" s="231"/>
      <c r="I142" s="238"/>
      <c r="J142" s="38"/>
      <c r="K142" s="238"/>
      <c r="L142" s="38"/>
      <c r="M142" s="38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s="28" customFormat="1" ht="19.5" customHeight="1">
      <c r="A143" s="199"/>
      <c r="B143" s="200"/>
      <c r="C143" s="202" t="s">
        <v>324</v>
      </c>
      <c r="D143" s="198"/>
      <c r="E143" s="198"/>
      <c r="F143" s="198">
        <f>11923+7081</f>
        <v>19004</v>
      </c>
      <c r="G143" s="198"/>
      <c r="H143" s="231"/>
      <c r="I143" s="238"/>
      <c r="J143" s="38"/>
      <c r="K143" s="238"/>
      <c r="L143" s="38"/>
      <c r="M143" s="38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s="28" customFormat="1" ht="19.5" customHeight="1">
      <c r="A144" s="199"/>
      <c r="B144" s="200"/>
      <c r="C144" s="201" t="s">
        <v>139</v>
      </c>
      <c r="D144" s="198"/>
      <c r="E144" s="198"/>
      <c r="F144" s="198">
        <v>1400</v>
      </c>
      <c r="G144" s="198"/>
      <c r="H144" s="231"/>
      <c r="I144" s="238"/>
      <c r="J144" s="38"/>
      <c r="K144" s="238"/>
      <c r="L144" s="38"/>
      <c r="M144" s="38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s="28" customFormat="1" ht="19.5" customHeight="1">
      <c r="A145" s="199"/>
      <c r="B145" s="329" t="s">
        <v>325</v>
      </c>
      <c r="C145" s="197" t="s">
        <v>247</v>
      </c>
      <c r="D145" s="198">
        <f>6840+362</f>
        <v>7202</v>
      </c>
      <c r="E145" s="198"/>
      <c r="F145" s="198"/>
      <c r="G145" s="198"/>
      <c r="H145" s="231"/>
      <c r="I145" s="238"/>
      <c r="J145" s="38"/>
      <c r="K145" s="238"/>
      <c r="L145" s="38"/>
      <c r="M145" s="38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s="28" customFormat="1" ht="19.5" customHeight="1">
      <c r="A146" s="199"/>
      <c r="B146" s="215" t="s">
        <v>138</v>
      </c>
      <c r="C146" s="202"/>
      <c r="D146" s="198">
        <f>SUM(D147:D155)</f>
        <v>24169</v>
      </c>
      <c r="E146" s="198"/>
      <c r="F146" s="198">
        <f>SUM(F147:F155)</f>
        <v>36720</v>
      </c>
      <c r="G146" s="198"/>
      <c r="H146" s="231"/>
      <c r="I146" s="238"/>
      <c r="J146" s="38"/>
      <c r="K146" s="238"/>
      <c r="L146" s="38"/>
      <c r="M146" s="38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s="28" customFormat="1" ht="19.5" customHeight="1">
      <c r="A147" s="199"/>
      <c r="B147" s="200"/>
      <c r="C147" s="202"/>
      <c r="D147" s="198"/>
      <c r="E147" s="198"/>
      <c r="F147" s="198"/>
      <c r="G147" s="198"/>
      <c r="H147" s="231"/>
      <c r="I147" s="238"/>
      <c r="J147" s="38"/>
      <c r="K147" s="238"/>
      <c r="L147" s="38"/>
      <c r="M147" s="38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s="28" customFormat="1" ht="19.5" customHeight="1">
      <c r="A148" s="199"/>
      <c r="B148" s="200"/>
      <c r="C148" s="202" t="s">
        <v>247</v>
      </c>
      <c r="D148" s="198">
        <f>4600+7300</f>
        <v>11900</v>
      </c>
      <c r="E148" s="198"/>
      <c r="F148" s="198"/>
      <c r="G148" s="198"/>
      <c r="H148" s="231"/>
      <c r="I148" s="238"/>
      <c r="J148" s="38"/>
      <c r="K148" s="238"/>
      <c r="L148" s="38"/>
      <c r="M148" s="38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s="28" customFormat="1" ht="19.5" customHeight="1">
      <c r="A149" s="199"/>
      <c r="B149" s="200"/>
      <c r="C149" s="329" t="s">
        <v>279</v>
      </c>
      <c r="D149" s="627">
        <v>3000</v>
      </c>
      <c r="E149" s="627"/>
      <c r="F149" s="627"/>
      <c r="G149" s="627"/>
      <c r="H149" s="231"/>
      <c r="I149" s="238"/>
      <c r="J149" s="38"/>
      <c r="K149" s="238"/>
      <c r="L149" s="38"/>
      <c r="M149" s="38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s="28" customFormat="1" ht="19.5" customHeight="1">
      <c r="A150" s="199"/>
      <c r="B150" s="200"/>
      <c r="C150" s="329" t="s">
        <v>139</v>
      </c>
      <c r="D150" s="627">
        <f>1320+3500-1551</f>
        <v>3269</v>
      </c>
      <c r="E150" s="627"/>
      <c r="F150" s="627"/>
      <c r="G150" s="627"/>
      <c r="H150" s="231"/>
      <c r="I150" s="238"/>
      <c r="J150" s="38"/>
      <c r="K150" s="238"/>
      <c r="L150" s="38"/>
      <c r="M150" s="38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s="28" customFormat="1" ht="19.5" customHeight="1">
      <c r="A151" s="199"/>
      <c r="B151" s="200"/>
      <c r="C151" s="202" t="s">
        <v>280</v>
      </c>
      <c r="D151" s="198">
        <v>2000</v>
      </c>
      <c r="E151" s="198"/>
      <c r="F151" s="198"/>
      <c r="G151" s="198"/>
      <c r="H151" s="231"/>
      <c r="I151" s="238"/>
      <c r="J151" s="38"/>
      <c r="K151" s="238"/>
      <c r="L151" s="38"/>
      <c r="M151" s="38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s="28" customFormat="1" ht="19.5" customHeight="1">
      <c r="A152" s="199"/>
      <c r="B152" s="200"/>
      <c r="C152" s="202" t="s">
        <v>259</v>
      </c>
      <c r="D152" s="198">
        <v>3000</v>
      </c>
      <c r="E152" s="198"/>
      <c r="F152" s="198"/>
      <c r="G152" s="198"/>
      <c r="H152" s="231"/>
      <c r="I152" s="238"/>
      <c r="J152" s="38"/>
      <c r="K152" s="238"/>
      <c r="L152" s="38"/>
      <c r="M152" s="38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s="28" customFormat="1" ht="19.5" customHeight="1">
      <c r="A153" s="199"/>
      <c r="B153" s="200"/>
      <c r="C153" s="202" t="s">
        <v>144</v>
      </c>
      <c r="D153" s="198">
        <v>1000</v>
      </c>
      <c r="E153" s="198"/>
      <c r="F153" s="198"/>
      <c r="G153" s="198"/>
      <c r="H153" s="231"/>
      <c r="I153" s="238"/>
      <c r="J153" s="38"/>
      <c r="K153" s="238"/>
      <c r="L153" s="38"/>
      <c r="M153" s="38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s="28" customFormat="1" ht="19.5" customHeight="1">
      <c r="A154" s="199"/>
      <c r="B154" s="200"/>
      <c r="C154" s="202" t="s">
        <v>136</v>
      </c>
      <c r="D154" s="198"/>
      <c r="E154" s="198"/>
      <c r="F154" s="198">
        <v>11600</v>
      </c>
      <c r="G154" s="198"/>
      <c r="H154" s="231"/>
      <c r="I154" s="238"/>
      <c r="J154" s="38"/>
      <c r="K154" s="238"/>
      <c r="L154" s="38"/>
      <c r="M154" s="38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s="28" customFormat="1" ht="19.5" customHeight="1">
      <c r="A155" s="199"/>
      <c r="B155" s="200"/>
      <c r="C155" s="202" t="s">
        <v>277</v>
      </c>
      <c r="D155" s="198"/>
      <c r="E155" s="198"/>
      <c r="F155" s="198">
        <f>7500+7300+10320</f>
        <v>25120</v>
      </c>
      <c r="G155" s="198"/>
      <c r="H155" s="231"/>
      <c r="I155" s="238"/>
      <c r="J155" s="38"/>
      <c r="K155" s="238"/>
      <c r="L155" s="38"/>
      <c r="M155" s="38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s="28" customFormat="1" ht="19.5" customHeight="1">
      <c r="A156" s="199"/>
      <c r="B156" s="195" t="s">
        <v>278</v>
      </c>
      <c r="C156" s="202"/>
      <c r="D156" s="198">
        <f>SUM(D157:D162)</f>
        <v>28674</v>
      </c>
      <c r="E156" s="198"/>
      <c r="F156" s="198">
        <f>SUM(F157:F162)</f>
        <v>47093.67</v>
      </c>
      <c r="G156" s="198"/>
      <c r="H156" s="231"/>
      <c r="I156" s="238"/>
      <c r="J156" s="38"/>
      <c r="K156" s="238"/>
      <c r="L156" s="38"/>
      <c r="M156" s="38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s="28" customFormat="1" ht="19.5" customHeight="1">
      <c r="A157" s="199"/>
      <c r="B157" s="195"/>
      <c r="C157" s="202" t="s">
        <v>330</v>
      </c>
      <c r="D157" s="198"/>
      <c r="E157" s="198"/>
      <c r="F157" s="198">
        <v>18250</v>
      </c>
      <c r="G157" s="198"/>
      <c r="H157" s="231"/>
      <c r="I157" s="238"/>
      <c r="J157" s="38"/>
      <c r="K157" s="238"/>
      <c r="L157" s="38"/>
      <c r="M157" s="38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s="28" customFormat="1" ht="19.5" customHeight="1">
      <c r="A158" s="199"/>
      <c r="B158" s="200"/>
      <c r="C158" s="202" t="s">
        <v>247</v>
      </c>
      <c r="D158" s="198">
        <f>13413+15261</f>
        <v>28674</v>
      </c>
      <c r="E158" s="198"/>
      <c r="F158" s="198"/>
      <c r="G158" s="198"/>
      <c r="H158" s="231"/>
      <c r="I158" s="238"/>
      <c r="J158" s="38"/>
      <c r="K158" s="238"/>
      <c r="L158" s="38"/>
      <c r="M158" s="38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s="28" customFormat="1" ht="19.5" customHeight="1">
      <c r="A159" s="199"/>
      <c r="B159" s="200"/>
      <c r="C159" s="202" t="s">
        <v>324</v>
      </c>
      <c r="D159" s="198"/>
      <c r="E159" s="198"/>
      <c r="F159" s="198">
        <v>12146</v>
      </c>
      <c r="G159" s="198"/>
      <c r="H159" s="231"/>
      <c r="I159" s="238"/>
      <c r="J159" s="38"/>
      <c r="K159" s="238"/>
      <c r="L159" s="38"/>
      <c r="M159" s="38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s="28" customFormat="1" ht="19.5" customHeight="1">
      <c r="A160" s="199"/>
      <c r="B160" s="200"/>
      <c r="C160" s="202" t="s">
        <v>139</v>
      </c>
      <c r="D160" s="198"/>
      <c r="E160" s="198"/>
      <c r="F160" s="198">
        <f>3958.67+8000</f>
        <v>11958.67</v>
      </c>
      <c r="G160" s="198"/>
      <c r="H160" s="231"/>
      <c r="I160" s="238"/>
      <c r="J160" s="38"/>
      <c r="K160" s="238"/>
      <c r="L160" s="38"/>
      <c r="M160" s="38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s="28" customFormat="1" ht="19.5" customHeight="1">
      <c r="A161" s="199"/>
      <c r="B161" s="200"/>
      <c r="C161" s="202" t="s">
        <v>259</v>
      </c>
      <c r="D161" s="198"/>
      <c r="E161" s="198"/>
      <c r="F161" s="198">
        <v>2739</v>
      </c>
      <c r="G161" s="198"/>
      <c r="H161" s="231"/>
      <c r="I161" s="238"/>
      <c r="J161" s="38"/>
      <c r="K161" s="238"/>
      <c r="L161" s="38"/>
      <c r="M161" s="38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s="28" customFormat="1" ht="19.5" customHeight="1">
      <c r="A162" s="199"/>
      <c r="B162" s="215"/>
      <c r="C162" s="202" t="s">
        <v>144</v>
      </c>
      <c r="D162" s="198"/>
      <c r="E162" s="198"/>
      <c r="F162" s="198">
        <v>2000</v>
      </c>
      <c r="G162" s="198"/>
      <c r="H162" s="231"/>
      <c r="I162" s="238"/>
      <c r="J162" s="38"/>
      <c r="K162" s="238"/>
      <c r="L162" s="38"/>
      <c r="M162" s="38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s="28" customFormat="1" ht="19.5" customHeight="1">
      <c r="A163" s="199"/>
      <c r="B163" s="215" t="s">
        <v>326</v>
      </c>
      <c r="C163" s="202" t="s">
        <v>247</v>
      </c>
      <c r="D163" s="198">
        <f>3074+714+371</f>
        <v>4159</v>
      </c>
      <c r="E163" s="198"/>
      <c r="F163" s="198"/>
      <c r="G163" s="198"/>
      <c r="H163" s="231"/>
      <c r="I163" s="238"/>
      <c r="J163" s="38"/>
      <c r="K163" s="238"/>
      <c r="L163" s="38"/>
      <c r="M163" s="38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s="29" customFormat="1" ht="19.5" customHeight="1">
      <c r="A164" s="190" t="s">
        <v>281</v>
      </c>
      <c r="B164" s="508" t="s">
        <v>282</v>
      </c>
      <c r="C164" s="330"/>
      <c r="D164" s="191">
        <f>SUM(D165:D167)</f>
        <v>50000</v>
      </c>
      <c r="E164" s="191"/>
      <c r="F164" s="191">
        <f>SUM(F165:F167)</f>
        <v>50000</v>
      </c>
      <c r="G164" s="191"/>
      <c r="H164" s="227"/>
      <c r="I164" s="224"/>
      <c r="J164" s="39"/>
      <c r="K164" s="224"/>
      <c r="L164" s="39"/>
      <c r="M164" s="39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</row>
    <row r="165" spans="1:23" s="28" customFormat="1" ht="19.5" customHeight="1">
      <c r="A165" s="294"/>
      <c r="B165" s="195"/>
      <c r="C165" s="202" t="s">
        <v>253</v>
      </c>
      <c r="D165" s="198">
        <v>50000</v>
      </c>
      <c r="E165" s="198"/>
      <c r="F165" s="198"/>
      <c r="G165" s="198"/>
      <c r="H165" s="231"/>
      <c r="I165" s="238"/>
      <c r="J165" s="38"/>
      <c r="K165" s="238"/>
      <c r="L165" s="38"/>
      <c r="M165" s="38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s="28" customFormat="1" ht="19.5" customHeight="1">
      <c r="A166" s="199"/>
      <c r="B166" s="200"/>
      <c r="C166" s="202" t="s">
        <v>139</v>
      </c>
      <c r="D166" s="198"/>
      <c r="E166" s="198"/>
      <c r="F166" s="198">
        <v>6000</v>
      </c>
      <c r="G166" s="198"/>
      <c r="H166" s="231"/>
      <c r="I166" s="238"/>
      <c r="J166" s="38"/>
      <c r="K166" s="238"/>
      <c r="L166" s="38"/>
      <c r="M166" s="38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s="28" customFormat="1" ht="19.5" customHeight="1">
      <c r="A167" s="199"/>
      <c r="B167" s="200"/>
      <c r="C167" s="201" t="s">
        <v>144</v>
      </c>
      <c r="D167" s="198"/>
      <c r="E167" s="198"/>
      <c r="F167" s="198">
        <v>44000</v>
      </c>
      <c r="G167" s="198"/>
      <c r="H167" s="231"/>
      <c r="I167" s="238"/>
      <c r="J167" s="38"/>
      <c r="K167" s="238"/>
      <c r="L167" s="38"/>
      <c r="M167" s="38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s="28" customFormat="1" ht="19.5" customHeight="1">
      <c r="A168" s="412" t="s">
        <v>319</v>
      </c>
      <c r="B168" s="190" t="s">
        <v>320</v>
      </c>
      <c r="C168" s="194" t="s">
        <v>277</v>
      </c>
      <c r="D168" s="191"/>
      <c r="E168" s="191"/>
      <c r="F168" s="191">
        <v>40000</v>
      </c>
      <c r="G168" s="213"/>
      <c r="H168" s="231"/>
      <c r="I168" s="238"/>
      <c r="J168" s="38"/>
      <c r="K168" s="238"/>
      <c r="L168" s="38"/>
      <c r="M168" s="38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s="28" customFormat="1" ht="19.5" customHeight="1">
      <c r="A169" s="190" t="s">
        <v>335</v>
      </c>
      <c r="B169" s="250" t="s">
        <v>336</v>
      </c>
      <c r="C169" s="194"/>
      <c r="D169" s="191"/>
      <c r="E169" s="191"/>
      <c r="F169" s="191">
        <f>SUM(F170:F177)</f>
        <v>17540</v>
      </c>
      <c r="G169" s="213"/>
      <c r="H169" s="231"/>
      <c r="I169" s="238"/>
      <c r="J169" s="38"/>
      <c r="K169" s="238"/>
      <c r="L169" s="38"/>
      <c r="M169" s="38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s="28" customFormat="1" ht="19.5" customHeight="1">
      <c r="A170" s="473"/>
      <c r="B170" s="193"/>
      <c r="C170" s="197" t="s">
        <v>337</v>
      </c>
      <c r="D170" s="191"/>
      <c r="E170" s="191"/>
      <c r="F170" s="198">
        <v>382.5</v>
      </c>
      <c r="G170" s="213"/>
      <c r="H170" s="231"/>
      <c r="I170" s="238"/>
      <c r="J170" s="38"/>
      <c r="K170" s="238"/>
      <c r="L170" s="38"/>
      <c r="M170" s="38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s="28" customFormat="1" ht="19.5" customHeight="1">
      <c r="A171" s="473"/>
      <c r="B171" s="508"/>
      <c r="C171" s="197" t="s">
        <v>338</v>
      </c>
      <c r="D171" s="191"/>
      <c r="E171" s="191"/>
      <c r="F171" s="198">
        <v>67.5</v>
      </c>
      <c r="G171" s="213"/>
      <c r="H171" s="231"/>
      <c r="I171" s="238"/>
      <c r="J171" s="38"/>
      <c r="K171" s="238"/>
      <c r="L171" s="38"/>
      <c r="M171" s="38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s="28" customFormat="1" ht="19.5" customHeight="1">
      <c r="A172" s="473"/>
      <c r="B172" s="508"/>
      <c r="C172" s="197" t="s">
        <v>339</v>
      </c>
      <c r="D172" s="191"/>
      <c r="E172" s="191"/>
      <c r="F172" s="198">
        <v>2190.45</v>
      </c>
      <c r="G172" s="213"/>
      <c r="H172" s="231"/>
      <c r="I172" s="238"/>
      <c r="J172" s="38"/>
      <c r="K172" s="238"/>
      <c r="L172" s="38"/>
      <c r="M172" s="38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s="28" customFormat="1" ht="19.5" customHeight="1">
      <c r="A173" s="473"/>
      <c r="B173" s="508"/>
      <c r="C173" s="197" t="s">
        <v>340</v>
      </c>
      <c r="D173" s="191"/>
      <c r="E173" s="191"/>
      <c r="F173" s="198">
        <v>386.55</v>
      </c>
      <c r="G173" s="213"/>
      <c r="H173" s="231"/>
      <c r="I173" s="238"/>
      <c r="J173" s="38"/>
      <c r="K173" s="238"/>
      <c r="L173" s="38"/>
      <c r="M173" s="38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s="28" customFormat="1" ht="19.5" customHeight="1">
      <c r="A174" s="473"/>
      <c r="B174" s="508"/>
      <c r="C174" s="197" t="s">
        <v>341</v>
      </c>
      <c r="D174" s="191"/>
      <c r="E174" s="191"/>
      <c r="F174" s="198">
        <v>436.05</v>
      </c>
      <c r="G174" s="213"/>
      <c r="H174" s="231"/>
      <c r="I174" s="238"/>
      <c r="J174" s="38"/>
      <c r="K174" s="238"/>
      <c r="L174" s="38"/>
      <c r="M174" s="38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s="28" customFormat="1" ht="19.5" customHeight="1">
      <c r="A175" s="473"/>
      <c r="B175" s="508"/>
      <c r="C175" s="197" t="s">
        <v>342</v>
      </c>
      <c r="D175" s="191"/>
      <c r="E175" s="191"/>
      <c r="F175" s="198">
        <v>76.95</v>
      </c>
      <c r="G175" s="213"/>
      <c r="H175" s="231"/>
      <c r="I175" s="238"/>
      <c r="J175" s="38"/>
      <c r="K175" s="238"/>
      <c r="L175" s="38"/>
      <c r="M175" s="38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s="28" customFormat="1" ht="19.5" customHeight="1">
      <c r="A176" s="473"/>
      <c r="B176" s="508"/>
      <c r="C176" s="197" t="s">
        <v>343</v>
      </c>
      <c r="D176" s="191"/>
      <c r="E176" s="191"/>
      <c r="F176" s="198">
        <v>11900</v>
      </c>
      <c r="G176" s="213"/>
      <c r="H176" s="231"/>
      <c r="I176" s="238"/>
      <c r="J176" s="38"/>
      <c r="K176" s="238"/>
      <c r="L176" s="38"/>
      <c r="M176" s="38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s="28" customFormat="1" ht="19.5" customHeight="1">
      <c r="A177" s="472"/>
      <c r="B177" s="209"/>
      <c r="C177" s="197" t="s">
        <v>344</v>
      </c>
      <c r="D177" s="191"/>
      <c r="E177" s="191"/>
      <c r="F177" s="198">
        <v>2100</v>
      </c>
      <c r="G177" s="213"/>
      <c r="H177" s="231"/>
      <c r="I177" s="238"/>
      <c r="J177" s="38"/>
      <c r="K177" s="238"/>
      <c r="L177" s="38"/>
      <c r="M177" s="38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s="28" customFormat="1" ht="19.5" customHeight="1">
      <c r="A178" s="473" t="s">
        <v>327</v>
      </c>
      <c r="B178" s="508"/>
      <c r="C178" s="194"/>
      <c r="D178" s="191">
        <f>D179+D180</f>
        <v>6358</v>
      </c>
      <c r="E178" s="191"/>
      <c r="F178" s="191">
        <f>F179+F180</f>
        <v>2619</v>
      </c>
      <c r="G178" s="213"/>
      <c r="H178" s="231"/>
      <c r="I178" s="238"/>
      <c r="J178" s="38"/>
      <c r="K178" s="238"/>
      <c r="L178" s="38"/>
      <c r="M178" s="38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s="28" customFormat="1" ht="19.5" customHeight="1">
      <c r="A179" s="195"/>
      <c r="B179" s="196" t="s">
        <v>328</v>
      </c>
      <c r="C179" s="197" t="s">
        <v>247</v>
      </c>
      <c r="D179" s="198">
        <f>1388+2352+2618</f>
        <v>6358</v>
      </c>
      <c r="E179" s="198"/>
      <c r="F179" s="198"/>
      <c r="G179" s="213"/>
      <c r="H179" s="231"/>
      <c r="I179" s="238"/>
      <c r="J179" s="38"/>
      <c r="K179" s="238"/>
      <c r="L179" s="38"/>
      <c r="M179" s="38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s="28" customFormat="1" ht="19.5" customHeight="1">
      <c r="A180" s="200"/>
      <c r="B180" s="196" t="s">
        <v>329</v>
      </c>
      <c r="C180" s="197"/>
      <c r="D180" s="198"/>
      <c r="E180" s="198"/>
      <c r="F180" s="198">
        <f>SUM(F181:F183)</f>
        <v>2619</v>
      </c>
      <c r="G180" s="213"/>
      <c r="H180" s="231"/>
      <c r="I180" s="238"/>
      <c r="J180" s="38"/>
      <c r="K180" s="238"/>
      <c r="L180" s="38"/>
      <c r="M180" s="38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s="28" customFormat="1" ht="19.5" customHeight="1">
      <c r="A181" s="199"/>
      <c r="B181" s="195"/>
      <c r="C181" s="197" t="s">
        <v>330</v>
      </c>
      <c r="D181" s="198"/>
      <c r="E181" s="198"/>
      <c r="F181" s="198">
        <f>1059+1129</f>
        <v>2188</v>
      </c>
      <c r="G181" s="213"/>
      <c r="H181" s="231"/>
      <c r="I181" s="238"/>
      <c r="J181" s="38"/>
      <c r="K181" s="238"/>
      <c r="L181" s="38"/>
      <c r="M181" s="38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s="28" customFormat="1" ht="19.5" customHeight="1">
      <c r="A182" s="199"/>
      <c r="B182" s="200"/>
      <c r="C182" s="197" t="s">
        <v>324</v>
      </c>
      <c r="D182" s="198"/>
      <c r="E182" s="198"/>
      <c r="F182" s="198">
        <f>182+195</f>
        <v>377</v>
      </c>
      <c r="G182" s="213"/>
      <c r="H182" s="231"/>
      <c r="I182" s="238"/>
      <c r="J182" s="38"/>
      <c r="K182" s="238"/>
      <c r="L182" s="38"/>
      <c r="M182" s="38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s="28" customFormat="1" ht="19.5" customHeight="1">
      <c r="A183" s="414"/>
      <c r="B183" s="215"/>
      <c r="C183" s="197" t="s">
        <v>331</v>
      </c>
      <c r="D183" s="198"/>
      <c r="E183" s="198"/>
      <c r="F183" s="198">
        <f>26+28</f>
        <v>54</v>
      </c>
      <c r="G183" s="213"/>
      <c r="H183" s="231"/>
      <c r="I183" s="238"/>
      <c r="J183" s="38"/>
      <c r="K183" s="238"/>
      <c r="L183" s="38"/>
      <c r="M183" s="38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s="29" customFormat="1" ht="19.5" customHeight="1">
      <c r="A184" s="508" t="s">
        <v>252</v>
      </c>
      <c r="B184" s="190"/>
      <c r="C184" s="190"/>
      <c r="D184" s="191">
        <f>D185+D186+D187</f>
        <v>290000</v>
      </c>
      <c r="E184" s="191"/>
      <c r="F184" s="191">
        <f>F185+F186+F187</f>
        <v>663410</v>
      </c>
      <c r="G184" s="210"/>
      <c r="H184" s="227"/>
      <c r="I184" s="224"/>
      <c r="J184" s="39"/>
      <c r="K184" s="224"/>
      <c r="L184" s="39"/>
      <c r="M184" s="39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</row>
    <row r="185" spans="1:23" s="28" customFormat="1" ht="19.5" customHeight="1">
      <c r="A185" s="195"/>
      <c r="B185" s="329" t="s">
        <v>349</v>
      </c>
      <c r="C185" s="202" t="s">
        <v>144</v>
      </c>
      <c r="D185" s="198"/>
      <c r="E185" s="198"/>
      <c r="F185" s="198">
        <f>141000+200000</f>
        <v>341000</v>
      </c>
      <c r="G185" s="213"/>
      <c r="H185" s="231"/>
      <c r="I185" s="238"/>
      <c r="J185" s="38"/>
      <c r="K185" s="238"/>
      <c r="L185" s="38"/>
      <c r="M185" s="38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s="28" customFormat="1" ht="19.5" customHeight="1">
      <c r="A186" s="200"/>
      <c r="B186" s="329" t="s">
        <v>346</v>
      </c>
      <c r="C186" s="202" t="s">
        <v>136</v>
      </c>
      <c r="D186" s="198"/>
      <c r="E186" s="198"/>
      <c r="F186" s="198">
        <v>6000</v>
      </c>
      <c r="G186" s="213"/>
      <c r="H186" s="231"/>
      <c r="I186" s="238"/>
      <c r="J186" s="38"/>
      <c r="K186" s="238"/>
      <c r="L186" s="38"/>
      <c r="M186" s="38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s="28" customFormat="1" ht="19.5" customHeight="1">
      <c r="A187" s="200"/>
      <c r="B187" s="195" t="s">
        <v>267</v>
      </c>
      <c r="C187" s="202"/>
      <c r="D187" s="198">
        <f>SUM(D188:D191)</f>
        <v>290000</v>
      </c>
      <c r="E187" s="198"/>
      <c r="F187" s="198">
        <f>SUM(F188:F191)</f>
        <v>316410</v>
      </c>
      <c r="G187" s="213"/>
      <c r="H187" s="231"/>
      <c r="I187" s="238"/>
      <c r="J187" s="38"/>
      <c r="K187" s="238"/>
      <c r="L187" s="38"/>
      <c r="M187" s="38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s="28" customFormat="1" ht="19.5" customHeight="1">
      <c r="A188" s="199"/>
      <c r="B188" s="195"/>
      <c r="C188" s="202" t="s">
        <v>351</v>
      </c>
      <c r="D188" s="198">
        <v>90000</v>
      </c>
      <c r="E188" s="198"/>
      <c r="F188" s="198"/>
      <c r="G188" s="213"/>
      <c r="H188" s="231"/>
      <c r="I188" s="238"/>
      <c r="J188" s="38"/>
      <c r="K188" s="238"/>
      <c r="L188" s="38"/>
      <c r="M188" s="38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s="28" customFormat="1" ht="19.5" customHeight="1">
      <c r="A189" s="199"/>
      <c r="B189" s="200"/>
      <c r="C189" s="202" t="s">
        <v>259</v>
      </c>
      <c r="D189" s="198"/>
      <c r="E189" s="198"/>
      <c r="F189" s="198">
        <v>100000</v>
      </c>
      <c r="G189" s="213"/>
      <c r="H189" s="231"/>
      <c r="I189" s="238"/>
      <c r="J189" s="38"/>
      <c r="K189" s="238"/>
      <c r="L189" s="38"/>
      <c r="M189" s="38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s="28" customFormat="1" ht="19.5" customHeight="1">
      <c r="A190" s="199"/>
      <c r="B190" s="200"/>
      <c r="C190" s="202" t="s">
        <v>284</v>
      </c>
      <c r="D190" s="198"/>
      <c r="E190" s="198"/>
      <c r="F190" s="198">
        <f>72254+107746+48000-11590</f>
        <v>216410</v>
      </c>
      <c r="G190" s="213"/>
      <c r="H190" s="231"/>
      <c r="I190" s="238"/>
      <c r="J190" s="38"/>
      <c r="K190" s="238"/>
      <c r="L190" s="38"/>
      <c r="M190" s="38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s="28" customFormat="1" ht="19.5" customHeight="1">
      <c r="A191" s="199"/>
      <c r="B191" s="215"/>
      <c r="C191" s="202" t="s">
        <v>350</v>
      </c>
      <c r="D191" s="198">
        <v>200000</v>
      </c>
      <c r="E191" s="198"/>
      <c r="F191" s="198"/>
      <c r="G191" s="213"/>
      <c r="H191" s="231"/>
      <c r="I191" s="238"/>
      <c r="J191" s="38"/>
      <c r="K191" s="238"/>
      <c r="L191" s="38"/>
      <c r="M191" s="38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13" s="48" customFormat="1" ht="18.75" customHeight="1">
      <c r="A192" s="474">
        <v>921</v>
      </c>
      <c r="B192" s="642">
        <v>92109</v>
      </c>
      <c r="C192" s="640">
        <v>2480</v>
      </c>
      <c r="D192" s="46"/>
      <c r="E192" s="46"/>
      <c r="F192" s="46">
        <v>100000</v>
      </c>
      <c r="G192" s="46"/>
      <c r="I192" s="49"/>
      <c r="J192" s="49"/>
      <c r="K192" s="49"/>
      <c r="L192" s="49"/>
      <c r="M192" s="49"/>
    </row>
    <row r="193" spans="1:23" s="3" customFormat="1" ht="21.75" customHeight="1">
      <c r="A193" s="451" t="s">
        <v>39</v>
      </c>
      <c r="B193" s="452"/>
      <c r="C193" s="252"/>
      <c r="D193" s="47">
        <f>D135+D136+D137+D140+D164+D168+D169+D178+D184+D192</f>
        <v>503097</v>
      </c>
      <c r="E193" s="47">
        <f>E135+E136+E137+E140+E164+E168+E169+E178+E184+E192</f>
        <v>0</v>
      </c>
      <c r="F193" s="47">
        <f>F135+F136+F137+F140+F164+F168+F169+F178+F184+F192</f>
        <v>1167976.67</v>
      </c>
      <c r="G193" s="47">
        <f>G135+G136+G137+G140+G164+G168+G169+G178+G184+G192</f>
        <v>0</v>
      </c>
      <c r="H193" s="20"/>
      <c r="I193" s="253"/>
      <c r="J193" s="41"/>
      <c r="K193" s="45"/>
      <c r="L193" s="41"/>
      <c r="M193" s="41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s="3" customFormat="1" ht="21.75" customHeight="1">
      <c r="A194" s="254"/>
      <c r="B194" s="255"/>
      <c r="C194" s="256"/>
      <c r="D194" s="27"/>
      <c r="E194" s="27"/>
      <c r="F194" s="27"/>
      <c r="G194" s="27"/>
      <c r="H194" s="20"/>
      <c r="I194" s="253"/>
      <c r="J194" s="41"/>
      <c r="K194" s="45"/>
      <c r="L194" s="41"/>
      <c r="M194" s="41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s="3" customFormat="1" ht="21.75" customHeight="1">
      <c r="A195" s="254"/>
      <c r="B195" s="255"/>
      <c r="C195" s="256"/>
      <c r="D195" s="27"/>
      <c r="E195" s="27"/>
      <c r="F195" s="27"/>
      <c r="G195" s="27"/>
      <c r="H195" s="20"/>
      <c r="I195" s="253"/>
      <c r="J195" s="41"/>
      <c r="K195" s="45"/>
      <c r="L195" s="41"/>
      <c r="M195" s="41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ht="18.75">
      <c r="A196" s="241" t="s">
        <v>40</v>
      </c>
      <c r="B196" s="218"/>
      <c r="C196" s="243"/>
      <c r="D196" s="18"/>
      <c r="E196" s="18"/>
      <c r="F196" s="18"/>
      <c r="G196" s="18"/>
      <c r="H196" s="21"/>
      <c r="I196" s="228"/>
      <c r="J196" s="39"/>
      <c r="K196" s="244"/>
      <c r="L196" s="40"/>
      <c r="M196" s="37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1:23" ht="18.75">
      <c r="A197" s="241"/>
      <c r="B197" s="242"/>
      <c r="C197" s="243"/>
      <c r="D197" s="18"/>
      <c r="E197" s="18"/>
      <c r="F197" s="18"/>
      <c r="G197" s="18"/>
      <c r="H197" s="21"/>
      <c r="I197" s="228"/>
      <c r="J197" s="39"/>
      <c r="K197" s="244"/>
      <c r="L197" s="40"/>
      <c r="M197" s="37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1:23" ht="18.75">
      <c r="A198" s="246" t="s">
        <v>145</v>
      </c>
      <c r="B198" s="242"/>
      <c r="C198" s="247"/>
      <c r="D198" s="19"/>
      <c r="E198" s="19"/>
      <c r="F198" s="19"/>
      <c r="G198" s="19"/>
      <c r="H198" s="17"/>
      <c r="I198" s="220"/>
      <c r="J198" s="249"/>
      <c r="K198" s="502"/>
      <c r="L198" s="37"/>
      <c r="M198" s="37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1:23" ht="18.75">
      <c r="A199" s="246"/>
      <c r="B199" s="246"/>
      <c r="C199" s="247"/>
      <c r="D199" s="19"/>
      <c r="E199" s="19"/>
      <c r="F199" s="19"/>
      <c r="G199" s="19"/>
      <c r="H199" s="17"/>
      <c r="I199" s="220"/>
      <c r="J199" s="249"/>
      <c r="K199" s="502"/>
      <c r="L199" s="37"/>
      <c r="M199" s="37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1:23" ht="18.75">
      <c r="A200" s="257"/>
      <c r="B200" s="185"/>
      <c r="C200" s="258"/>
      <c r="D200" s="10" t="s">
        <v>30</v>
      </c>
      <c r="E200" s="11"/>
      <c r="F200" s="10" t="s">
        <v>101</v>
      </c>
      <c r="G200" s="11"/>
      <c r="H200" s="17"/>
      <c r="I200" s="228"/>
      <c r="J200" s="38"/>
      <c r="K200" s="221"/>
      <c r="L200" s="37"/>
      <c r="M200" s="37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1:23" ht="13.5" customHeight="1">
      <c r="A201" s="259"/>
      <c r="B201" s="187"/>
      <c r="C201" s="260"/>
      <c r="D201" s="12" t="s">
        <v>33</v>
      </c>
      <c r="E201" s="11" t="s">
        <v>32</v>
      </c>
      <c r="F201" s="12" t="s">
        <v>33</v>
      </c>
      <c r="G201" s="11" t="s">
        <v>32</v>
      </c>
      <c r="H201" s="17"/>
      <c r="I201" s="244"/>
      <c r="J201" s="38"/>
      <c r="K201" s="221"/>
      <c r="L201" s="37"/>
      <c r="M201" s="37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1:23" ht="27.75" customHeight="1">
      <c r="A202" s="261" t="s">
        <v>35</v>
      </c>
      <c r="B202" s="262" t="s">
        <v>41</v>
      </c>
      <c r="C202" s="263" t="s">
        <v>36</v>
      </c>
      <c r="D202" s="264" t="s">
        <v>37</v>
      </c>
      <c r="E202" s="265" t="s">
        <v>38</v>
      </c>
      <c r="F202" s="264" t="s">
        <v>37</v>
      </c>
      <c r="G202" s="265" t="s">
        <v>38</v>
      </c>
      <c r="H202" s="17"/>
      <c r="I202" s="228"/>
      <c r="J202" s="38"/>
      <c r="K202" s="221"/>
      <c r="L202" s="37"/>
      <c r="M202" s="37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1:13" s="48" customFormat="1" ht="18.75" customHeight="1">
      <c r="A203" s="482">
        <v>600</v>
      </c>
      <c r="B203" s="433">
        <v>60015</v>
      </c>
      <c r="C203" s="442"/>
      <c r="D203" s="46">
        <f>D204</f>
        <v>0</v>
      </c>
      <c r="E203" s="46"/>
      <c r="F203" s="46">
        <f>F204</f>
        <v>98650</v>
      </c>
      <c r="G203" s="46"/>
      <c r="I203" s="49"/>
      <c r="J203" s="49"/>
      <c r="K203" s="49"/>
      <c r="L203" s="49"/>
      <c r="M203" s="49"/>
    </row>
    <row r="204" spans="1:13" s="437" customFormat="1" ht="18.75" customHeight="1">
      <c r="A204" s="434"/>
      <c r="B204" s="483"/>
      <c r="C204" s="435">
        <v>6050</v>
      </c>
      <c r="D204" s="436"/>
      <c r="E204" s="436"/>
      <c r="F204" s="436">
        <f>16200+64000+18450</f>
        <v>98650</v>
      </c>
      <c r="G204" s="436"/>
      <c r="I204" s="438"/>
      <c r="J204" s="438"/>
      <c r="K204" s="438"/>
      <c r="L204" s="438"/>
      <c r="M204" s="438"/>
    </row>
    <row r="205" spans="1:13" s="48" customFormat="1" ht="18.75" customHeight="1">
      <c r="A205" s="433">
        <v>758</v>
      </c>
      <c r="B205" s="433">
        <v>75818</v>
      </c>
      <c r="C205" s="442"/>
      <c r="D205" s="46">
        <f>D206+D207</f>
        <v>185544</v>
      </c>
      <c r="E205" s="46"/>
      <c r="F205" s="46"/>
      <c r="G205" s="46"/>
      <c r="I205" s="49"/>
      <c r="J205" s="49"/>
      <c r="K205" s="49"/>
      <c r="L205" s="49"/>
      <c r="M205" s="49"/>
    </row>
    <row r="206" spans="1:13" s="437" customFormat="1" ht="18.75" customHeight="1">
      <c r="A206" s="536"/>
      <c r="B206" s="434"/>
      <c r="C206" s="435">
        <v>4810</v>
      </c>
      <c r="D206" s="436">
        <f>100000+63024+6320</f>
        <v>169344</v>
      </c>
      <c r="E206" s="436"/>
      <c r="F206" s="436"/>
      <c r="G206" s="436"/>
      <c r="I206" s="438"/>
      <c r="J206" s="438"/>
      <c r="K206" s="438"/>
      <c r="L206" s="438"/>
      <c r="M206" s="438"/>
    </row>
    <row r="207" spans="1:13" s="437" customFormat="1" ht="18.75" customHeight="1">
      <c r="A207" s="639"/>
      <c r="B207" s="638"/>
      <c r="C207" s="435">
        <v>6800</v>
      </c>
      <c r="D207" s="436">
        <v>16200</v>
      </c>
      <c r="E207" s="436"/>
      <c r="F207" s="436"/>
      <c r="G207" s="436"/>
      <c r="I207" s="438"/>
      <c r="J207" s="438"/>
      <c r="K207" s="438"/>
      <c r="L207" s="438"/>
      <c r="M207" s="438"/>
    </row>
    <row r="208" spans="1:13" s="48" customFormat="1" ht="18.75" customHeight="1">
      <c r="A208" s="637">
        <v>801</v>
      </c>
      <c r="B208" s="637"/>
      <c r="C208" s="30"/>
      <c r="D208" s="46">
        <f>D209+D210</f>
        <v>11545</v>
      </c>
      <c r="E208" s="46"/>
      <c r="F208" s="46">
        <f>F209+F210</f>
        <v>26234</v>
      </c>
      <c r="G208" s="46"/>
      <c r="I208" s="49"/>
      <c r="J208" s="49"/>
      <c r="K208" s="49"/>
      <c r="L208" s="49"/>
      <c r="M208" s="49"/>
    </row>
    <row r="209" spans="1:13" s="437" customFormat="1" ht="15.75" customHeight="1">
      <c r="A209" s="536"/>
      <c r="B209" s="635">
        <v>80120</v>
      </c>
      <c r="C209" s="435">
        <v>4240</v>
      </c>
      <c r="D209" s="436"/>
      <c r="E209" s="436"/>
      <c r="F209" s="436">
        <v>2340</v>
      </c>
      <c r="G209" s="436"/>
      <c r="I209" s="438"/>
      <c r="J209" s="438"/>
      <c r="K209" s="438"/>
      <c r="L209" s="438"/>
      <c r="M209" s="438"/>
    </row>
    <row r="210" spans="1:13" s="437" customFormat="1" ht="15.75" customHeight="1">
      <c r="A210" s="630"/>
      <c r="B210" s="635">
        <v>80130</v>
      </c>
      <c r="C210" s="435"/>
      <c r="D210" s="436">
        <f>SUM(D211:D214)</f>
        <v>11545</v>
      </c>
      <c r="E210" s="436"/>
      <c r="F210" s="436">
        <f>SUM(F211:F214)</f>
        <v>23894</v>
      </c>
      <c r="G210" s="436"/>
      <c r="I210" s="438"/>
      <c r="J210" s="438"/>
      <c r="K210" s="438"/>
      <c r="L210" s="438"/>
      <c r="M210" s="438"/>
    </row>
    <row r="211" spans="1:13" s="437" customFormat="1" ht="18" customHeight="1">
      <c r="A211" s="630"/>
      <c r="B211" s="641"/>
      <c r="C211" s="435">
        <v>4010</v>
      </c>
      <c r="D211" s="436"/>
      <c r="E211" s="436"/>
      <c r="F211" s="436">
        <v>17234</v>
      </c>
      <c r="G211" s="436"/>
      <c r="I211" s="438"/>
      <c r="J211" s="438"/>
      <c r="K211" s="438"/>
      <c r="L211" s="438"/>
      <c r="M211" s="438"/>
    </row>
    <row r="212" spans="1:13" s="437" customFormat="1" ht="20.25" customHeight="1">
      <c r="A212" s="630"/>
      <c r="B212" s="641"/>
      <c r="C212" s="435">
        <v>4040</v>
      </c>
      <c r="D212" s="436">
        <f>16625-5346</f>
        <v>11279</v>
      </c>
      <c r="E212" s="436"/>
      <c r="F212" s="436"/>
      <c r="G212" s="436"/>
      <c r="I212" s="438"/>
      <c r="J212" s="438"/>
      <c r="K212" s="438"/>
      <c r="L212" s="438"/>
      <c r="M212" s="438"/>
    </row>
    <row r="213" spans="1:13" s="437" customFormat="1" ht="20.25" customHeight="1">
      <c r="A213" s="630"/>
      <c r="B213" s="641"/>
      <c r="C213" s="435">
        <v>4240</v>
      </c>
      <c r="D213" s="436"/>
      <c r="E213" s="436"/>
      <c r="F213" s="436">
        <v>6660</v>
      </c>
      <c r="G213" s="436"/>
      <c r="I213" s="438"/>
      <c r="J213" s="438"/>
      <c r="K213" s="438"/>
      <c r="L213" s="438"/>
      <c r="M213" s="438"/>
    </row>
    <row r="214" spans="1:13" s="437" customFormat="1" ht="20.25" customHeight="1">
      <c r="A214" s="630"/>
      <c r="B214" s="641"/>
      <c r="C214" s="483">
        <v>4430</v>
      </c>
      <c r="D214" s="436">
        <v>266</v>
      </c>
      <c r="E214" s="436"/>
      <c r="F214" s="436"/>
      <c r="G214" s="436"/>
      <c r="I214" s="438"/>
      <c r="J214" s="438"/>
      <c r="K214" s="438"/>
      <c r="L214" s="438"/>
      <c r="M214" s="438"/>
    </row>
    <row r="215" spans="1:13" s="48" customFormat="1" ht="20.25" customHeight="1">
      <c r="A215" s="474">
        <v>853</v>
      </c>
      <c r="B215" s="30">
        <v>85395</v>
      </c>
      <c r="C215" s="442"/>
      <c r="D215" s="46"/>
      <c r="E215" s="46"/>
      <c r="F215" s="46">
        <f>SUM(F216:F217)</f>
        <v>6586</v>
      </c>
      <c r="G215" s="46"/>
      <c r="I215" s="49"/>
      <c r="J215" s="49"/>
      <c r="K215" s="49"/>
      <c r="L215" s="49"/>
      <c r="M215" s="49"/>
    </row>
    <row r="216" spans="1:13" s="437" customFormat="1" ht="20.25" customHeight="1">
      <c r="A216" s="630"/>
      <c r="B216" s="641"/>
      <c r="C216" s="643">
        <v>2910</v>
      </c>
      <c r="D216" s="436"/>
      <c r="E216" s="436"/>
      <c r="F216" s="436">
        <v>6320</v>
      </c>
      <c r="G216" s="436"/>
      <c r="I216" s="438"/>
      <c r="J216" s="438"/>
      <c r="K216" s="438"/>
      <c r="L216" s="438"/>
      <c r="M216" s="438"/>
    </row>
    <row r="217" spans="1:13" s="437" customFormat="1" ht="20.25" customHeight="1">
      <c r="A217" s="630"/>
      <c r="B217" s="641"/>
      <c r="C217" s="483">
        <v>4560</v>
      </c>
      <c r="D217" s="436"/>
      <c r="E217" s="436"/>
      <c r="F217" s="436">
        <v>266</v>
      </c>
      <c r="G217" s="436"/>
      <c r="I217" s="438"/>
      <c r="J217" s="438"/>
      <c r="K217" s="438"/>
      <c r="L217" s="438"/>
      <c r="M217" s="438"/>
    </row>
    <row r="218" spans="1:13" s="48" customFormat="1" ht="18.75" customHeight="1">
      <c r="A218" s="474">
        <v>854</v>
      </c>
      <c r="B218" s="30">
        <v>85401</v>
      </c>
      <c r="C218" s="442">
        <v>4040</v>
      </c>
      <c r="D218" s="46">
        <v>609</v>
      </c>
      <c r="E218" s="46"/>
      <c r="F218" s="46"/>
      <c r="G218" s="46"/>
      <c r="I218" s="49"/>
      <c r="J218" s="49"/>
      <c r="K218" s="49"/>
      <c r="L218" s="49"/>
      <c r="M218" s="49"/>
    </row>
    <row r="219" spans="1:23" s="3" customFormat="1" ht="21.75" customHeight="1">
      <c r="A219" s="636" t="s">
        <v>39</v>
      </c>
      <c r="B219" s="215"/>
      <c r="C219" s="329"/>
      <c r="D219" s="47">
        <f>D203+D205+D208+D215+D218</f>
        <v>197698</v>
      </c>
      <c r="E219" s="47">
        <f>E203+E205+E208+E215+E218</f>
        <v>0</v>
      </c>
      <c r="F219" s="47">
        <f>F203+F205+F208+F215+F218</f>
        <v>131470</v>
      </c>
      <c r="G219" s="47">
        <f>G203+G205+G208+G215+G218</f>
        <v>0</v>
      </c>
      <c r="H219" s="20"/>
      <c r="I219" s="253"/>
      <c r="J219" s="45"/>
      <c r="K219" s="45"/>
      <c r="L219" s="41"/>
      <c r="M219" s="41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s="3" customFormat="1" ht="21.75" customHeight="1">
      <c r="A220" s="254"/>
      <c r="B220" s="255"/>
      <c r="C220" s="255"/>
      <c r="D220" s="27"/>
      <c r="E220" s="27"/>
      <c r="F220" s="27"/>
      <c r="G220" s="27"/>
      <c r="H220" s="20"/>
      <c r="I220" s="253"/>
      <c r="J220" s="45"/>
      <c r="K220" s="45"/>
      <c r="L220" s="41"/>
      <c r="M220" s="41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s="3" customFormat="1" ht="21.75" customHeight="1">
      <c r="A221" s="254"/>
      <c r="B221" s="255"/>
      <c r="C221" s="255"/>
      <c r="D221" s="27"/>
      <c r="E221" s="27"/>
      <c r="F221" s="27"/>
      <c r="G221" s="27"/>
      <c r="H221" s="20"/>
      <c r="I221" s="253"/>
      <c r="J221" s="45"/>
      <c r="K221" s="45"/>
      <c r="L221" s="41"/>
      <c r="M221" s="41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s="3" customFormat="1" ht="21.75" customHeight="1">
      <c r="A222" s="19" t="s">
        <v>362</v>
      </c>
      <c r="B222" s="648"/>
      <c r="C222" s="648"/>
      <c r="D222" s="649"/>
      <c r="E222" s="649"/>
      <c r="F222" s="649"/>
      <c r="G222" s="649"/>
      <c r="H222" s="20"/>
      <c r="I222" s="253"/>
      <c r="J222" s="45"/>
      <c r="K222" s="45"/>
      <c r="L222" s="41"/>
      <c r="M222" s="41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s="3" customFormat="1" ht="21.75" customHeight="1">
      <c r="A223" s="650"/>
      <c r="B223" s="648"/>
      <c r="C223" s="648"/>
      <c r="D223" s="649"/>
      <c r="E223" s="649"/>
      <c r="F223" s="649"/>
      <c r="G223" s="649"/>
      <c r="H223" s="20"/>
      <c r="I223" s="253"/>
      <c r="J223" s="45"/>
      <c r="K223" s="45"/>
      <c r="L223" s="41"/>
      <c r="M223" s="41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s="3" customFormat="1" ht="21.75" customHeight="1">
      <c r="A224" s="651" t="s">
        <v>366</v>
      </c>
      <c r="B224" s="648"/>
      <c r="C224" s="648"/>
      <c r="D224" s="649"/>
      <c r="E224" s="649"/>
      <c r="F224" s="649"/>
      <c r="G224" s="649"/>
      <c r="H224" s="20"/>
      <c r="I224" s="253"/>
      <c r="J224" s="45"/>
      <c r="K224" s="45"/>
      <c r="L224" s="41"/>
      <c r="M224" s="41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s="3" customFormat="1" ht="21.75" customHeight="1">
      <c r="A225" s="651" t="s">
        <v>363</v>
      </c>
      <c r="B225" s="648"/>
      <c r="C225" s="648"/>
      <c r="D225" s="649"/>
      <c r="E225" s="649"/>
      <c r="F225" s="649"/>
      <c r="G225" s="649"/>
      <c r="H225" s="20"/>
      <c r="I225" s="253"/>
      <c r="J225" s="45"/>
      <c r="K225" s="45"/>
      <c r="L225" s="41"/>
      <c r="M225" s="41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s="3" customFormat="1" ht="21.75" customHeight="1">
      <c r="A226" s="651" t="s">
        <v>367</v>
      </c>
      <c r="B226" s="648"/>
      <c r="C226" s="648"/>
      <c r="D226" s="649"/>
      <c r="E226" s="652">
        <f>1769207-15000+200000</f>
        <v>1954207</v>
      </c>
      <c r="F226" s="652" t="s">
        <v>364</v>
      </c>
      <c r="G226" s="652"/>
      <c r="H226" s="20"/>
      <c r="I226" s="253"/>
      <c r="J226" s="45"/>
      <c r="K226" s="45"/>
      <c r="L226" s="41"/>
      <c r="M226" s="41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s="3" customFormat="1" ht="21.75" customHeight="1">
      <c r="A227" s="651" t="s">
        <v>368</v>
      </c>
      <c r="B227" s="648"/>
      <c r="C227" s="648"/>
      <c r="D227" s="649"/>
      <c r="E227" s="652">
        <f>5630793+15000-200000</f>
        <v>5445793</v>
      </c>
      <c r="F227" s="652" t="s">
        <v>365</v>
      </c>
      <c r="G227" s="652"/>
      <c r="H227" s="20"/>
      <c r="I227" s="253"/>
      <c r="J227" s="45"/>
      <c r="K227" s="45"/>
      <c r="L227" s="41"/>
      <c r="M227" s="41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s="3" customFormat="1" ht="21.75" customHeight="1">
      <c r="A228" s="650"/>
      <c r="B228" s="648"/>
      <c r="C228" s="648"/>
      <c r="D228" s="649"/>
      <c r="E228" s="649"/>
      <c r="F228" s="649"/>
      <c r="G228" s="649"/>
      <c r="H228" s="20"/>
      <c r="I228" s="253"/>
      <c r="J228" s="45"/>
      <c r="K228" s="45"/>
      <c r="L228" s="41"/>
      <c r="M228" s="41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s="3" customFormat="1" ht="21.75" customHeight="1">
      <c r="A229" s="254"/>
      <c r="B229" s="255"/>
      <c r="C229" s="255"/>
      <c r="D229" s="27"/>
      <c r="E229" s="27"/>
      <c r="F229" s="27"/>
      <c r="G229" s="27"/>
      <c r="H229" s="20"/>
      <c r="I229" s="253"/>
      <c r="J229" s="45"/>
      <c r="K229" s="45"/>
      <c r="L229" s="41"/>
      <c r="M229" s="41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s="3" customFormat="1" ht="21.75" customHeight="1">
      <c r="A230" s="155" t="s">
        <v>268</v>
      </c>
      <c r="B230" s="255"/>
      <c r="C230" s="219"/>
      <c r="D230" s="16"/>
      <c r="E230" s="16"/>
      <c r="F230" s="27"/>
      <c r="G230" s="27"/>
      <c r="H230" s="20"/>
      <c r="I230" s="253"/>
      <c r="J230" s="41"/>
      <c r="K230" s="45"/>
      <c r="L230" s="41"/>
      <c r="M230" s="41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s="3" customFormat="1" ht="15.75" customHeight="1">
      <c r="A231" s="155"/>
      <c r="B231" s="255"/>
      <c r="C231" s="219"/>
      <c r="D231" s="16"/>
      <c r="E231" s="16"/>
      <c r="F231" s="27"/>
      <c r="G231" s="27"/>
      <c r="H231" s="20"/>
      <c r="I231" s="253"/>
      <c r="J231" s="41"/>
      <c r="K231" s="45"/>
      <c r="L231" s="41"/>
      <c r="M231" s="41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s="3" customFormat="1" ht="18.75" customHeight="1">
      <c r="A232" s="267" t="s">
        <v>102</v>
      </c>
      <c r="B232" s="218"/>
      <c r="C232" s="219"/>
      <c r="D232" s="16"/>
      <c r="E232" s="16"/>
      <c r="F232" s="27"/>
      <c r="G232" s="27"/>
      <c r="H232" s="20"/>
      <c r="I232" s="253"/>
      <c r="J232" s="41"/>
      <c r="K232" s="45"/>
      <c r="L232" s="41"/>
      <c r="M232" s="41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s="3" customFormat="1" ht="21" customHeight="1">
      <c r="A233" s="268" t="s">
        <v>250</v>
      </c>
      <c r="B233" s="218"/>
      <c r="C233" s="269"/>
      <c r="D233" s="22"/>
      <c r="E233" s="16"/>
      <c r="F233" s="27"/>
      <c r="G233" s="27"/>
      <c r="H233" s="20"/>
      <c r="I233" s="253"/>
      <c r="J233" s="41"/>
      <c r="K233" s="45"/>
      <c r="L233" s="41"/>
      <c r="M233" s="41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s="3" customFormat="1" ht="21" customHeight="1">
      <c r="A234" s="267"/>
      <c r="B234" s="218"/>
      <c r="C234" s="269"/>
      <c r="D234" s="22"/>
      <c r="E234" s="16"/>
      <c r="F234" s="27"/>
      <c r="G234" s="27"/>
      <c r="H234" s="20"/>
      <c r="I234" s="253"/>
      <c r="J234" s="41"/>
      <c r="K234" s="45"/>
      <c r="L234" s="41"/>
      <c r="M234" s="41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s="3" customFormat="1" ht="21.75" customHeight="1">
      <c r="A235" s="270" t="s">
        <v>103</v>
      </c>
      <c r="B235" s="271"/>
      <c r="C235" s="255"/>
      <c r="D235" s="103"/>
      <c r="E235" s="103"/>
      <c r="F235" s="103"/>
      <c r="G235" s="103"/>
      <c r="H235" s="104"/>
      <c r="I235" s="253"/>
      <c r="J235" s="105"/>
      <c r="K235" s="45"/>
      <c r="L235" s="105"/>
      <c r="M235" s="105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</row>
    <row r="236" spans="1:23" s="3" customFormat="1" ht="15" customHeight="1">
      <c r="A236" s="155"/>
      <c r="B236" s="255"/>
      <c r="C236" s="255"/>
      <c r="D236" s="103"/>
      <c r="E236" s="103"/>
      <c r="F236" s="103"/>
      <c r="G236" s="103"/>
      <c r="H236" s="104"/>
      <c r="I236" s="253"/>
      <c r="J236" s="105"/>
      <c r="K236" s="45"/>
      <c r="L236" s="105"/>
      <c r="M236" s="105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</row>
    <row r="237" spans="1:23" s="3" customFormat="1" ht="15" customHeight="1">
      <c r="A237" s="155"/>
      <c r="B237" s="255"/>
      <c r="C237" s="255"/>
      <c r="D237" s="103"/>
      <c r="E237" s="103"/>
      <c r="F237" s="103"/>
      <c r="G237" s="103"/>
      <c r="H237" s="104"/>
      <c r="I237" s="253"/>
      <c r="J237" s="105"/>
      <c r="K237" s="45"/>
      <c r="L237" s="105"/>
      <c r="M237" s="105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</row>
    <row r="238" spans="1:23" s="3" customFormat="1" ht="15" customHeight="1">
      <c r="A238" s="272" t="s">
        <v>292</v>
      </c>
      <c r="B238" s="271"/>
      <c r="C238" s="255"/>
      <c r="D238" s="103"/>
      <c r="E238" s="103"/>
      <c r="F238" s="103"/>
      <c r="G238" s="103"/>
      <c r="H238" s="25">
        <f>H240</f>
        <v>211590</v>
      </c>
      <c r="I238" s="253"/>
      <c r="J238" s="105"/>
      <c r="K238" s="45"/>
      <c r="L238" s="105"/>
      <c r="M238" s="105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</row>
    <row r="239" spans="1:23" s="3" customFormat="1" ht="15" customHeight="1">
      <c r="A239" s="155" t="s">
        <v>32</v>
      </c>
      <c r="B239" s="274"/>
      <c r="C239" s="255"/>
      <c r="D239" s="103"/>
      <c r="E239" s="103"/>
      <c r="F239" s="103"/>
      <c r="G239" s="103"/>
      <c r="H239" s="25"/>
      <c r="I239" s="253"/>
      <c r="J239" s="105"/>
      <c r="K239" s="45"/>
      <c r="L239" s="105"/>
      <c r="M239" s="105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</row>
    <row r="240" spans="1:23" s="3" customFormat="1" ht="15" customHeight="1">
      <c r="A240" s="225" t="s">
        <v>356</v>
      </c>
      <c r="B240" s="266"/>
      <c r="C240" s="275"/>
      <c r="D240" s="22"/>
      <c r="E240" s="16"/>
      <c r="F240" s="27"/>
      <c r="G240" s="27"/>
      <c r="H240" s="25">
        <f>H242+H246</f>
        <v>211590</v>
      </c>
      <c r="I240" s="253"/>
      <c r="J240" s="105"/>
      <c r="K240" s="45"/>
      <c r="L240" s="105"/>
      <c r="M240" s="105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</row>
    <row r="241" spans="1:23" s="3" customFormat="1" ht="15" customHeight="1">
      <c r="A241" s="225" t="s">
        <v>32</v>
      </c>
      <c r="B241" s="266"/>
      <c r="C241" s="275"/>
      <c r="D241" s="22"/>
      <c r="E241" s="16"/>
      <c r="F241" s="27"/>
      <c r="G241" s="27"/>
      <c r="H241" s="104"/>
      <c r="I241" s="253"/>
      <c r="J241" s="105"/>
      <c r="K241" s="45"/>
      <c r="L241" s="105"/>
      <c r="M241" s="105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</row>
    <row r="242" spans="1:23" s="528" customFormat="1" ht="15" customHeight="1">
      <c r="A242" s="521"/>
      <c r="B242" s="522" t="s">
        <v>352</v>
      </c>
      <c r="C242" s="523"/>
      <c r="D242" s="524"/>
      <c r="E242" s="525"/>
      <c r="F242" s="526"/>
      <c r="G242" s="526"/>
      <c r="H242" s="106">
        <f>H244</f>
        <v>11590</v>
      </c>
      <c r="I242" s="276"/>
      <c r="J242" s="527"/>
      <c r="K242" s="277"/>
      <c r="L242" s="527"/>
      <c r="M242" s="527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3" customFormat="1" ht="15" customHeight="1">
      <c r="A243" s="225"/>
      <c r="B243" s="266" t="s">
        <v>301</v>
      </c>
      <c r="C243" s="275"/>
      <c r="D243" s="22"/>
      <c r="E243" s="16"/>
      <c r="F243" s="27"/>
      <c r="G243" s="27"/>
      <c r="H243" s="104"/>
      <c r="I243" s="253"/>
      <c r="J243" s="105"/>
      <c r="K243" s="45"/>
      <c r="L243" s="105"/>
      <c r="M243" s="105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</row>
    <row r="244" spans="1:23" s="3" customFormat="1" ht="15" customHeight="1">
      <c r="A244" s="225"/>
      <c r="B244" s="266" t="s">
        <v>302</v>
      </c>
      <c r="C244" s="275"/>
      <c r="D244" s="22"/>
      <c r="E244" s="16"/>
      <c r="F244" s="27"/>
      <c r="G244" s="27"/>
      <c r="H244" s="104">
        <v>11590</v>
      </c>
      <c r="I244" s="253"/>
      <c r="J244" s="105"/>
      <c r="K244" s="45"/>
      <c r="L244" s="105"/>
      <c r="M244" s="105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</row>
    <row r="245" spans="1:23" s="3" customFormat="1" ht="15" customHeight="1">
      <c r="A245" s="155"/>
      <c r="B245" s="274"/>
      <c r="C245" s="275"/>
      <c r="D245" s="22"/>
      <c r="E245" s="16"/>
      <c r="F245" s="27"/>
      <c r="G245" s="103"/>
      <c r="H245" s="104"/>
      <c r="I245" s="253"/>
      <c r="J245" s="105"/>
      <c r="K245" s="45"/>
      <c r="L245" s="105"/>
      <c r="M245" s="105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</row>
    <row r="246" spans="1:23" s="3" customFormat="1" ht="15" customHeight="1">
      <c r="A246" s="155"/>
      <c r="B246" s="522" t="s">
        <v>353</v>
      </c>
      <c r="C246" s="255"/>
      <c r="D246" s="103"/>
      <c r="E246" s="103"/>
      <c r="F246" s="103"/>
      <c r="G246" s="103"/>
      <c r="H246" s="104">
        <f>H248</f>
        <v>200000</v>
      </c>
      <c r="I246" s="253"/>
      <c r="J246" s="105"/>
      <c r="K246" s="45"/>
      <c r="L246" s="105"/>
      <c r="M246" s="105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</row>
    <row r="247" spans="1:23" s="3" customFormat="1" ht="15" customHeight="1">
      <c r="A247" s="155"/>
      <c r="B247" s="266" t="s">
        <v>354</v>
      </c>
      <c r="C247" s="255"/>
      <c r="D247" s="103"/>
      <c r="E247" s="103"/>
      <c r="F247" s="103"/>
      <c r="G247" s="103"/>
      <c r="H247" s="104"/>
      <c r="I247" s="253"/>
      <c r="J247" s="105"/>
      <c r="K247" s="45"/>
      <c r="L247" s="105"/>
      <c r="M247" s="105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</row>
    <row r="248" spans="1:23" s="3" customFormat="1" ht="15" customHeight="1">
      <c r="A248" s="155"/>
      <c r="B248" s="266" t="s">
        <v>355</v>
      </c>
      <c r="C248" s="255"/>
      <c r="D248" s="103"/>
      <c r="E248" s="103"/>
      <c r="F248" s="103"/>
      <c r="G248" s="103"/>
      <c r="H248" s="104">
        <v>200000</v>
      </c>
      <c r="I248" s="253"/>
      <c r="J248" s="105"/>
      <c r="K248" s="45"/>
      <c r="L248" s="105"/>
      <c r="M248" s="105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</row>
    <row r="249" spans="1:23" s="3" customFormat="1" ht="15" customHeight="1">
      <c r="A249" s="155"/>
      <c r="B249" s="522"/>
      <c r="C249" s="255"/>
      <c r="D249" s="103"/>
      <c r="E249" s="103"/>
      <c r="F249" s="103"/>
      <c r="G249" s="103"/>
      <c r="H249" s="104"/>
      <c r="I249" s="253"/>
      <c r="J249" s="105"/>
      <c r="K249" s="45"/>
      <c r="L249" s="105"/>
      <c r="M249" s="105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</row>
    <row r="250" spans="1:23" s="3" customFormat="1" ht="15" customHeight="1">
      <c r="A250" s="155"/>
      <c r="B250" s="522"/>
      <c r="C250" s="255"/>
      <c r="D250" s="103"/>
      <c r="E250" s="103"/>
      <c r="F250" s="103"/>
      <c r="G250" s="103"/>
      <c r="H250" s="104"/>
      <c r="I250" s="253"/>
      <c r="J250" s="105"/>
      <c r="K250" s="45"/>
      <c r="L250" s="105"/>
      <c r="M250" s="105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</row>
    <row r="251" spans="1:23" s="3" customFormat="1" ht="15" customHeight="1">
      <c r="A251" s="155"/>
      <c r="B251" s="255"/>
      <c r="C251" s="255"/>
      <c r="D251" s="103"/>
      <c r="E251" s="103"/>
      <c r="F251" s="103"/>
      <c r="G251" s="103"/>
      <c r="H251" s="104"/>
      <c r="I251" s="253"/>
      <c r="J251" s="105"/>
      <c r="K251" s="45"/>
      <c r="L251" s="105"/>
      <c r="M251" s="105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</row>
    <row r="252" spans="1:23" s="3" customFormat="1" ht="17.25" customHeight="1">
      <c r="A252" s="272" t="s">
        <v>73</v>
      </c>
      <c r="B252" s="271"/>
      <c r="C252" s="273"/>
      <c r="D252" s="103"/>
      <c r="E252" s="103"/>
      <c r="F252" s="103"/>
      <c r="G252" s="103"/>
      <c r="H252" s="106">
        <f>H254+H258+H262+H272+H277</f>
        <v>500910</v>
      </c>
      <c r="I252" s="253"/>
      <c r="J252" s="105"/>
      <c r="K252" s="45"/>
      <c r="L252" s="105"/>
      <c r="M252" s="105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</row>
    <row r="253" spans="1:23" s="3" customFormat="1" ht="16.5" customHeight="1">
      <c r="A253" s="155" t="s">
        <v>32</v>
      </c>
      <c r="B253" s="274"/>
      <c r="C253" s="275"/>
      <c r="D253" s="22"/>
      <c r="E253" s="16"/>
      <c r="F253" s="27"/>
      <c r="G253" s="27"/>
      <c r="H253" s="104"/>
      <c r="I253" s="253"/>
      <c r="J253" s="41"/>
      <c r="K253" s="45"/>
      <c r="L253" s="41"/>
      <c r="M253" s="41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s="3" customFormat="1" ht="16.5" customHeight="1">
      <c r="A254" s="225" t="s">
        <v>288</v>
      </c>
      <c r="B254" s="266"/>
      <c r="C254" s="275"/>
      <c r="D254" s="22"/>
      <c r="E254" s="16"/>
      <c r="F254" s="27"/>
      <c r="G254" s="27"/>
      <c r="H254" s="25">
        <f>H256</f>
        <v>64000</v>
      </c>
      <c r="I254" s="253"/>
      <c r="J254" s="41"/>
      <c r="K254" s="45"/>
      <c r="L254" s="41"/>
      <c r="M254" s="41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s="3" customFormat="1" ht="16.5" customHeight="1">
      <c r="A255" s="225" t="s">
        <v>32</v>
      </c>
      <c r="B255" s="266"/>
      <c r="C255" s="275"/>
      <c r="D255" s="22"/>
      <c r="E255" s="16"/>
      <c r="F255" s="27"/>
      <c r="G255" s="27"/>
      <c r="H255" s="25"/>
      <c r="I255" s="253"/>
      <c r="J255" s="41"/>
      <c r="K255" s="45"/>
      <c r="L255" s="41"/>
      <c r="M255" s="41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3" customFormat="1" ht="16.5" customHeight="1">
      <c r="A256" s="225"/>
      <c r="B256" s="266" t="s">
        <v>295</v>
      </c>
      <c r="C256" s="275"/>
      <c r="D256" s="22"/>
      <c r="E256" s="16"/>
      <c r="F256" s="27"/>
      <c r="G256" s="27"/>
      <c r="H256" s="104">
        <v>64000</v>
      </c>
      <c r="I256" s="253"/>
      <c r="J256" s="41"/>
      <c r="K256" s="45"/>
      <c r="L256" s="41"/>
      <c r="M256" s="41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s="3" customFormat="1" ht="16.5" customHeight="1">
      <c r="A257" s="225"/>
      <c r="B257" s="266"/>
      <c r="C257" s="275"/>
      <c r="D257" s="22"/>
      <c r="E257" s="16"/>
      <c r="F257" s="27"/>
      <c r="G257" s="27"/>
      <c r="H257" s="104"/>
      <c r="I257" s="253"/>
      <c r="J257" s="41"/>
      <c r="K257" s="45"/>
      <c r="L257" s="41"/>
      <c r="M257" s="41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s="3" customFormat="1" ht="16.5" customHeight="1">
      <c r="A258" s="225" t="s">
        <v>371</v>
      </c>
      <c r="B258" s="266"/>
      <c r="C258" s="255"/>
      <c r="D258" s="103"/>
      <c r="E258" s="103"/>
      <c r="F258" s="103"/>
      <c r="G258" s="27"/>
      <c r="H258" s="25">
        <f>H260</f>
        <v>126190</v>
      </c>
      <c r="I258" s="253"/>
      <c r="J258" s="41"/>
      <c r="K258" s="45"/>
      <c r="L258" s="41"/>
      <c r="M258" s="41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s="3" customFormat="1" ht="16.5" customHeight="1">
      <c r="A259" s="225" t="s">
        <v>32</v>
      </c>
      <c r="B259" s="266"/>
      <c r="C259" s="255"/>
      <c r="D259" s="103"/>
      <c r="E259" s="103"/>
      <c r="F259" s="103"/>
      <c r="G259" s="27"/>
      <c r="H259" s="104"/>
      <c r="I259" s="253"/>
      <c r="J259" s="41"/>
      <c r="K259" s="45"/>
      <c r="L259" s="41"/>
      <c r="M259" s="41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s="3" customFormat="1" ht="16.5" customHeight="1">
      <c r="A260" s="155"/>
      <c r="B260" s="274" t="s">
        <v>62</v>
      </c>
      <c r="C260" s="275"/>
      <c r="D260" s="22"/>
      <c r="E260" s="16"/>
      <c r="F260" s="27"/>
      <c r="G260" s="27"/>
      <c r="H260" s="104">
        <f>F139</f>
        <v>126190</v>
      </c>
      <c r="I260" s="253"/>
      <c r="J260" s="41"/>
      <c r="K260" s="45"/>
      <c r="L260" s="41"/>
      <c r="M260" s="41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s="3" customFormat="1" ht="16.5" customHeight="1">
      <c r="A261" s="225"/>
      <c r="B261" s="266"/>
      <c r="C261" s="275"/>
      <c r="D261" s="22"/>
      <c r="E261" s="16"/>
      <c r="F261" s="27"/>
      <c r="G261" s="27"/>
      <c r="H261" s="25"/>
      <c r="I261" s="253"/>
      <c r="J261" s="41"/>
      <c r="K261" s="45"/>
      <c r="L261" s="41"/>
      <c r="M261" s="41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s="3" customFormat="1" ht="16.5" customHeight="1">
      <c r="A262" s="225" t="s">
        <v>298</v>
      </c>
      <c r="B262" s="266"/>
      <c r="C262" s="275"/>
      <c r="D262" s="22"/>
      <c r="E262" s="16"/>
      <c r="F262" s="27"/>
      <c r="G262" s="27"/>
      <c r="H262" s="25">
        <f>H264+H267</f>
        <v>36720</v>
      </c>
      <c r="I262" s="253"/>
      <c r="J262" s="41"/>
      <c r="K262" s="45"/>
      <c r="L262" s="41"/>
      <c r="M262" s="41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s="3" customFormat="1" ht="16.5" customHeight="1">
      <c r="A263" s="225" t="s">
        <v>32</v>
      </c>
      <c r="B263" s="266"/>
      <c r="C263" s="275"/>
      <c r="D263" s="22"/>
      <c r="E263" s="16"/>
      <c r="F263" s="27"/>
      <c r="G263" s="27"/>
      <c r="H263" s="104"/>
      <c r="I263" s="253"/>
      <c r="J263" s="41"/>
      <c r="K263" s="45"/>
      <c r="L263" s="41"/>
      <c r="M263" s="41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spans="1:23" s="528" customFormat="1" ht="16.5" customHeight="1">
      <c r="A264" s="521"/>
      <c r="B264" s="522" t="s">
        <v>299</v>
      </c>
      <c r="C264" s="523"/>
      <c r="D264" s="524"/>
      <c r="E264" s="525"/>
      <c r="F264" s="526"/>
      <c r="G264" s="526"/>
      <c r="H264" s="106">
        <f>H265</f>
        <v>11600</v>
      </c>
      <c r="I264" s="276"/>
      <c r="J264" s="527"/>
      <c r="K264" s="277"/>
      <c r="L264" s="527"/>
      <c r="M264" s="527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516" customFormat="1" ht="16.5" customHeight="1">
      <c r="A265" s="242"/>
      <c r="B265" s="515" t="s">
        <v>289</v>
      </c>
      <c r="D265" s="517"/>
      <c r="E265" s="518"/>
      <c r="F265" s="27"/>
      <c r="G265" s="27"/>
      <c r="H265" s="519">
        <v>11600</v>
      </c>
      <c r="I265" s="520"/>
      <c r="J265" s="513"/>
      <c r="K265" s="514"/>
      <c r="L265" s="513"/>
      <c r="M265" s="513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1:23" s="516" customFormat="1" ht="16.5" customHeight="1">
      <c r="A266" s="242"/>
      <c r="B266" s="515"/>
      <c r="D266" s="517"/>
      <c r="E266" s="518"/>
      <c r="F266" s="27"/>
      <c r="G266" s="27"/>
      <c r="H266" s="519"/>
      <c r="I266" s="520"/>
      <c r="J266" s="513"/>
      <c r="K266" s="514"/>
      <c r="L266" s="513"/>
      <c r="M266" s="513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1:23" s="535" customFormat="1" ht="16.5" customHeight="1">
      <c r="A267" s="529"/>
      <c r="B267" s="522" t="s">
        <v>300</v>
      </c>
      <c r="C267" s="523"/>
      <c r="D267" s="524"/>
      <c r="E267" s="530"/>
      <c r="F267" s="526"/>
      <c r="G267" s="526"/>
      <c r="H267" s="531">
        <f>SUM(D268:H270)</f>
        <v>25120</v>
      </c>
      <c r="I267" s="532"/>
      <c r="J267" s="533"/>
      <c r="K267" s="534"/>
      <c r="L267" s="533"/>
      <c r="M267" s="533"/>
      <c r="N267" s="526"/>
      <c r="O267" s="526"/>
      <c r="P267" s="526"/>
      <c r="Q267" s="526"/>
      <c r="R267" s="526"/>
      <c r="S267" s="526"/>
      <c r="T267" s="526"/>
      <c r="U267" s="526"/>
      <c r="V267" s="526"/>
      <c r="W267" s="526"/>
    </row>
    <row r="268" spans="1:23" s="516" customFormat="1" ht="16.5" customHeight="1">
      <c r="A268" s="242"/>
      <c r="B268" s="515" t="s">
        <v>290</v>
      </c>
      <c r="D268" s="517"/>
      <c r="E268" s="518"/>
      <c r="F268" s="27"/>
      <c r="G268" s="27"/>
      <c r="H268" s="519">
        <v>7500</v>
      </c>
      <c r="I268" s="520"/>
      <c r="J268" s="513"/>
      <c r="K268" s="514"/>
      <c r="L268" s="513"/>
      <c r="M268" s="513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1:23" s="516" customFormat="1" ht="16.5" customHeight="1">
      <c r="A269" s="242"/>
      <c r="B269" s="515" t="s">
        <v>294</v>
      </c>
      <c r="D269" s="517"/>
      <c r="E269" s="518"/>
      <c r="F269" s="27"/>
      <c r="G269" s="27"/>
      <c r="H269" s="519">
        <v>7300</v>
      </c>
      <c r="I269" s="520"/>
      <c r="J269" s="513"/>
      <c r="K269" s="514"/>
      <c r="L269" s="513"/>
      <c r="M269" s="513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1:23" s="516" customFormat="1" ht="16.5" customHeight="1">
      <c r="A270" s="242"/>
      <c r="B270" s="515" t="s">
        <v>297</v>
      </c>
      <c r="D270" s="517"/>
      <c r="E270" s="518"/>
      <c r="F270" s="27"/>
      <c r="G270" s="27"/>
      <c r="H270" s="519">
        <v>10320</v>
      </c>
      <c r="I270" s="520"/>
      <c r="J270" s="513"/>
      <c r="K270" s="514"/>
      <c r="L270" s="513"/>
      <c r="M270" s="513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1:23" s="3" customFormat="1" ht="16.5" customHeight="1">
      <c r="A271" s="225"/>
      <c r="B271" s="266"/>
      <c r="C271" s="275"/>
      <c r="D271" s="22"/>
      <c r="E271" s="16"/>
      <c r="F271" s="27"/>
      <c r="G271" s="27"/>
      <c r="H271" s="25"/>
      <c r="I271" s="253"/>
      <c r="J271" s="41"/>
      <c r="K271" s="45"/>
      <c r="L271" s="41"/>
      <c r="M271" s="41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s="3" customFormat="1" ht="16.5" customHeight="1">
      <c r="A272" s="225" t="s">
        <v>321</v>
      </c>
      <c r="B272" s="266"/>
      <c r="C272" s="275"/>
      <c r="D272" s="22"/>
      <c r="E272" s="16"/>
      <c r="F272" s="27"/>
      <c r="G272" s="27"/>
      <c r="H272" s="25">
        <f>H275</f>
        <v>40000</v>
      </c>
      <c r="I272" s="253"/>
      <c r="J272" s="41"/>
      <c r="K272" s="45"/>
      <c r="L272" s="41"/>
      <c r="M272" s="41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spans="1:23" s="3" customFormat="1" ht="16.5" customHeight="1">
      <c r="A273" s="155" t="s">
        <v>32</v>
      </c>
      <c r="B273" s="266"/>
      <c r="C273" s="275"/>
      <c r="D273" s="22"/>
      <c r="E273" s="16"/>
      <c r="F273" s="103"/>
      <c r="G273" s="103"/>
      <c r="H273" s="104"/>
      <c r="I273" s="633"/>
      <c r="J273" s="105"/>
      <c r="K273" s="634"/>
      <c r="L273" s="105"/>
      <c r="M273" s="105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</row>
    <row r="274" spans="1:23" s="3" customFormat="1" ht="16.5" customHeight="1">
      <c r="A274" s="225"/>
      <c r="B274" s="266" t="s">
        <v>372</v>
      </c>
      <c r="C274" s="275"/>
      <c r="D274" s="22"/>
      <c r="E274" s="16"/>
      <c r="F274" s="27"/>
      <c r="G274" s="27"/>
      <c r="H274" s="104"/>
      <c r="I274" s="253"/>
      <c r="J274" s="41"/>
      <c r="K274" s="45"/>
      <c r="L274" s="41"/>
      <c r="M274" s="41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3" customFormat="1" ht="16.5" customHeight="1">
      <c r="A275" s="225"/>
      <c r="B275" s="266" t="s">
        <v>373</v>
      </c>
      <c r="C275" s="275"/>
      <c r="D275" s="22"/>
      <c r="E275" s="16"/>
      <c r="F275" s="27"/>
      <c r="G275" s="27"/>
      <c r="H275" s="104">
        <v>40000</v>
      </c>
      <c r="I275" s="253"/>
      <c r="J275" s="41"/>
      <c r="K275" s="45"/>
      <c r="L275" s="41"/>
      <c r="M275" s="41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s="3" customFormat="1" ht="16.5" customHeight="1">
      <c r="A276" s="225"/>
      <c r="B276" s="266"/>
      <c r="C276" s="275"/>
      <c r="D276" s="22"/>
      <c r="E276" s="16"/>
      <c r="F276" s="27"/>
      <c r="G276" s="27"/>
      <c r="H276" s="25"/>
      <c r="I276" s="253"/>
      <c r="J276" s="41"/>
      <c r="K276" s="45"/>
      <c r="L276" s="41"/>
      <c r="M276" s="41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s="3" customFormat="1" ht="16.5" customHeight="1">
      <c r="A277" s="225" t="s">
        <v>357</v>
      </c>
      <c r="B277" s="266"/>
      <c r="C277" s="275"/>
      <c r="D277" s="22"/>
      <c r="E277" s="16"/>
      <c r="F277" s="27"/>
      <c r="G277" s="27"/>
      <c r="H277" s="25">
        <f>H279+H283</f>
        <v>234000</v>
      </c>
      <c r="I277" s="253"/>
      <c r="J277" s="41"/>
      <c r="K277" s="45"/>
      <c r="L277" s="41"/>
      <c r="M277" s="41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s="3" customFormat="1" ht="16.5" customHeight="1">
      <c r="A278" s="225" t="s">
        <v>32</v>
      </c>
      <c r="B278" s="266"/>
      <c r="C278" s="275"/>
      <c r="D278" s="22"/>
      <c r="E278" s="16"/>
      <c r="F278" s="27"/>
      <c r="G278" s="27"/>
      <c r="H278" s="25"/>
      <c r="I278" s="253"/>
      <c r="J278" s="41"/>
      <c r="K278" s="45"/>
      <c r="L278" s="41"/>
      <c r="M278" s="41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s="647" customFormat="1" ht="16.5" customHeight="1">
      <c r="A279" s="521" t="s">
        <v>359</v>
      </c>
      <c r="B279" s="644"/>
      <c r="C279" s="645"/>
      <c r="D279" s="646"/>
      <c r="E279" s="279"/>
      <c r="F279" s="526"/>
      <c r="G279" s="526"/>
      <c r="H279" s="106">
        <f>H281</f>
        <v>6000</v>
      </c>
      <c r="I279" s="276"/>
      <c r="J279" s="527"/>
      <c r="K279" s="277"/>
      <c r="L279" s="527"/>
      <c r="M279" s="527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3" customFormat="1" ht="16.5" customHeight="1">
      <c r="A280" s="225"/>
      <c r="B280" s="266" t="s">
        <v>360</v>
      </c>
      <c r="C280" s="275"/>
      <c r="D280" s="22"/>
      <c r="E280" s="16"/>
      <c r="F280" s="27"/>
      <c r="G280" s="27"/>
      <c r="H280" s="25"/>
      <c r="I280" s="253"/>
      <c r="J280" s="41"/>
      <c r="K280" s="45"/>
      <c r="L280" s="41"/>
      <c r="M280" s="41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spans="1:23" s="3" customFormat="1" ht="16.5" customHeight="1">
      <c r="A281" s="225"/>
      <c r="B281" s="266" t="s">
        <v>361</v>
      </c>
      <c r="C281" s="275"/>
      <c r="D281" s="22"/>
      <c r="E281" s="16"/>
      <c r="F281" s="27"/>
      <c r="G281" s="27"/>
      <c r="H281" s="104">
        <v>6000</v>
      </c>
      <c r="I281" s="253"/>
      <c r="J281" s="41"/>
      <c r="K281" s="45"/>
      <c r="L281" s="41"/>
      <c r="M281" s="41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9:16" ht="16.5" customHeight="1">
      <c r="I282" s="136"/>
      <c r="J282" s="136"/>
      <c r="K282" s="136"/>
      <c r="L282" s="136"/>
      <c r="M282" s="136"/>
      <c r="N282" s="136"/>
      <c r="O282" s="136"/>
      <c r="P282" s="136"/>
    </row>
    <row r="283" spans="1:23" s="647" customFormat="1" ht="16.5" customHeight="1">
      <c r="A283" s="521" t="s">
        <v>358</v>
      </c>
      <c r="B283" s="644"/>
      <c r="C283" s="645"/>
      <c r="D283" s="646"/>
      <c r="E283" s="279"/>
      <c r="F283" s="526"/>
      <c r="G283" s="526"/>
      <c r="H283" s="106">
        <f>H286+H289+H292</f>
        <v>228000</v>
      </c>
      <c r="I283" s="276"/>
      <c r="J283" s="527"/>
      <c r="K283" s="277"/>
      <c r="L283" s="527"/>
      <c r="M283" s="527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3" customFormat="1" ht="16.5" customHeight="1">
      <c r="A284" s="225"/>
      <c r="B284" s="266" t="s">
        <v>32</v>
      </c>
      <c r="C284" s="275"/>
      <c r="D284" s="22"/>
      <c r="E284" s="16"/>
      <c r="F284" s="27"/>
      <c r="G284" s="27"/>
      <c r="H284" s="25"/>
      <c r="I284" s="253"/>
      <c r="J284" s="41"/>
      <c r="K284" s="45"/>
      <c r="L284" s="41"/>
      <c r="M284" s="41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spans="1:23" s="3" customFormat="1" ht="16.5" customHeight="1">
      <c r="A285" s="225"/>
      <c r="B285" s="266" t="s">
        <v>309</v>
      </c>
      <c r="C285" s="275"/>
      <c r="D285" s="22"/>
      <c r="E285" s="16"/>
      <c r="F285" s="27"/>
      <c r="G285" s="27"/>
      <c r="H285" s="104"/>
      <c r="I285" s="253"/>
      <c r="J285" s="41"/>
      <c r="K285" s="45"/>
      <c r="L285" s="41"/>
      <c r="M285" s="41"/>
      <c r="N285" s="25"/>
      <c r="O285" s="25"/>
      <c r="P285" s="25"/>
      <c r="Q285" s="25"/>
      <c r="R285" s="25"/>
      <c r="S285" s="25"/>
      <c r="T285" s="25"/>
      <c r="U285" s="25"/>
      <c r="V285" s="25"/>
      <c r="W285" s="25"/>
    </row>
    <row r="286" spans="1:23" s="3" customFormat="1" ht="16.5" customHeight="1">
      <c r="A286" s="225"/>
      <c r="B286" s="266" t="s">
        <v>310</v>
      </c>
      <c r="C286" s="275"/>
      <c r="D286" s="22"/>
      <c r="E286" s="16"/>
      <c r="F286" s="27"/>
      <c r="G286" s="27"/>
      <c r="H286" s="104">
        <v>48000</v>
      </c>
      <c r="I286" s="253"/>
      <c r="J286" s="41"/>
      <c r="K286" s="45"/>
      <c r="L286" s="41"/>
      <c r="M286" s="41"/>
      <c r="N286" s="25"/>
      <c r="O286" s="25"/>
      <c r="P286" s="25"/>
      <c r="Q286" s="25"/>
      <c r="R286" s="25"/>
      <c r="S286" s="25"/>
      <c r="T286" s="25"/>
      <c r="U286" s="25"/>
      <c r="V286" s="25"/>
      <c r="W286" s="25"/>
    </row>
    <row r="287" spans="1:23" s="3" customFormat="1" ht="16.5" customHeight="1">
      <c r="A287" s="225"/>
      <c r="B287" s="266"/>
      <c r="C287" s="275"/>
      <c r="D287" s="22"/>
      <c r="E287" s="16"/>
      <c r="F287" s="27"/>
      <c r="G287" s="27"/>
      <c r="H287" s="104"/>
      <c r="I287" s="253"/>
      <c r="J287" s="41"/>
      <c r="K287" s="45"/>
      <c r="L287" s="41"/>
      <c r="M287" s="41"/>
      <c r="N287" s="25"/>
      <c r="O287" s="25"/>
      <c r="P287" s="25"/>
      <c r="Q287" s="25"/>
      <c r="R287" s="25"/>
      <c r="S287" s="25"/>
      <c r="T287" s="25"/>
      <c r="U287" s="25"/>
      <c r="V287" s="25"/>
      <c r="W287" s="25"/>
    </row>
    <row r="288" spans="1:23" s="3" customFormat="1" ht="16.5" customHeight="1">
      <c r="A288" s="225"/>
      <c r="B288" s="266" t="s">
        <v>303</v>
      </c>
      <c r="C288" s="275"/>
      <c r="D288" s="22"/>
      <c r="E288" s="16"/>
      <c r="F288" s="27"/>
      <c r="G288" s="27"/>
      <c r="H288" s="104"/>
      <c r="I288" s="253"/>
      <c r="J288" s="41"/>
      <c r="K288" s="45"/>
      <c r="L288" s="41"/>
      <c r="M288" s="41"/>
      <c r="N288" s="25"/>
      <c r="O288" s="25"/>
      <c r="P288" s="25"/>
      <c r="Q288" s="25"/>
      <c r="R288" s="25"/>
      <c r="S288" s="25"/>
      <c r="T288" s="25"/>
      <c r="U288" s="25"/>
      <c r="V288" s="25"/>
      <c r="W288" s="25"/>
    </row>
    <row r="289" spans="1:23" s="3" customFormat="1" ht="16.5" customHeight="1">
      <c r="A289" s="225"/>
      <c r="B289" s="266" t="s">
        <v>304</v>
      </c>
      <c r="C289" s="275"/>
      <c r="D289" s="22"/>
      <c r="E289" s="16"/>
      <c r="F289" s="27"/>
      <c r="G289" s="27"/>
      <c r="H289" s="104">
        <v>72254</v>
      </c>
      <c r="I289" s="253"/>
      <c r="J289" s="41"/>
      <c r="K289" s="45"/>
      <c r="L289" s="41"/>
      <c r="M289" s="41"/>
      <c r="N289" s="25"/>
      <c r="O289" s="25"/>
      <c r="P289" s="25"/>
      <c r="Q289" s="25"/>
      <c r="R289" s="25"/>
      <c r="S289" s="25"/>
      <c r="T289" s="25"/>
      <c r="U289" s="25"/>
      <c r="V289" s="25"/>
      <c r="W289" s="25"/>
    </row>
    <row r="290" spans="1:23" s="3" customFormat="1" ht="16.5" customHeight="1">
      <c r="A290" s="225"/>
      <c r="B290" s="266"/>
      <c r="C290" s="275"/>
      <c r="D290" s="22"/>
      <c r="E290" s="16"/>
      <c r="F290" s="27"/>
      <c r="G290" s="27"/>
      <c r="H290" s="104"/>
      <c r="I290" s="253"/>
      <c r="J290" s="41"/>
      <c r="K290" s="45"/>
      <c r="L290" s="41"/>
      <c r="M290" s="41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s="3" customFormat="1" ht="16.5" customHeight="1">
      <c r="A291" s="225"/>
      <c r="B291" s="266" t="s">
        <v>316</v>
      </c>
      <c r="C291" s="275"/>
      <c r="D291" s="22"/>
      <c r="E291" s="16"/>
      <c r="F291" s="27"/>
      <c r="G291" s="27"/>
      <c r="H291" s="104"/>
      <c r="I291" s="253"/>
      <c r="J291" s="41"/>
      <c r="K291" s="45"/>
      <c r="L291" s="41"/>
      <c r="M291" s="41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s="3" customFormat="1" ht="16.5" customHeight="1">
      <c r="A292" s="225"/>
      <c r="B292" s="266" t="s">
        <v>317</v>
      </c>
      <c r="C292" s="275"/>
      <c r="D292" s="22"/>
      <c r="E292" s="16"/>
      <c r="F292" s="27"/>
      <c r="G292" s="27"/>
      <c r="H292" s="104">
        <v>107746</v>
      </c>
      <c r="I292" s="253"/>
      <c r="J292" s="41"/>
      <c r="K292" s="45"/>
      <c r="L292" s="41"/>
      <c r="M292" s="41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s="3" customFormat="1" ht="16.5" customHeight="1">
      <c r="A293" s="225"/>
      <c r="B293" s="266"/>
      <c r="C293" s="275"/>
      <c r="D293" s="22"/>
      <c r="E293" s="16"/>
      <c r="F293" s="27"/>
      <c r="G293" s="27"/>
      <c r="H293" s="104"/>
      <c r="I293" s="253"/>
      <c r="J293" s="41"/>
      <c r="K293" s="45"/>
      <c r="L293" s="41"/>
      <c r="M293" s="41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3" customFormat="1" ht="16.5" customHeight="1">
      <c r="A294" s="225"/>
      <c r="B294" s="266"/>
      <c r="C294" s="275"/>
      <c r="D294" s="22"/>
      <c r="E294" s="16"/>
      <c r="F294" s="27"/>
      <c r="G294" s="27"/>
      <c r="H294" s="104"/>
      <c r="I294" s="253"/>
      <c r="J294" s="41"/>
      <c r="K294" s="45"/>
      <c r="L294" s="41"/>
      <c r="M294" s="41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spans="1:23" s="3" customFormat="1" ht="16.5" customHeight="1">
      <c r="A295" s="155"/>
      <c r="B295" s="266"/>
      <c r="C295" s="255"/>
      <c r="D295" s="103"/>
      <c r="E295" s="103"/>
      <c r="F295" s="103"/>
      <c r="G295" s="103"/>
      <c r="H295" s="104"/>
      <c r="I295" s="253"/>
      <c r="J295" s="41"/>
      <c r="K295" s="45"/>
      <c r="L295" s="41"/>
      <c r="M295" s="41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spans="1:23" s="3" customFormat="1" ht="16.5" customHeight="1">
      <c r="A296" s="270" t="s">
        <v>241</v>
      </c>
      <c r="B296" s="266"/>
      <c r="C296" s="255"/>
      <c r="D296" s="103"/>
      <c r="E296" s="103"/>
      <c r="F296" s="103"/>
      <c r="G296" s="103"/>
      <c r="H296" s="104"/>
      <c r="I296" s="253"/>
      <c r="J296" s="41"/>
      <c r="K296" s="45"/>
      <c r="L296" s="41"/>
      <c r="M296" s="41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spans="1:23" s="3" customFormat="1" ht="16.5" customHeight="1">
      <c r="A297" s="270"/>
      <c r="B297" s="266"/>
      <c r="C297" s="255"/>
      <c r="D297" s="103"/>
      <c r="E297" s="103"/>
      <c r="F297" s="103"/>
      <c r="G297" s="103"/>
      <c r="H297" s="104"/>
      <c r="I297" s="253"/>
      <c r="J297" s="41"/>
      <c r="K297" s="45"/>
      <c r="L297" s="41"/>
      <c r="M297" s="41"/>
      <c r="N297" s="25"/>
      <c r="O297" s="25"/>
      <c r="P297" s="25"/>
      <c r="Q297" s="25"/>
      <c r="R297" s="25"/>
      <c r="S297" s="25"/>
      <c r="T297" s="25"/>
      <c r="U297" s="25"/>
      <c r="V297" s="25"/>
      <c r="W297" s="25"/>
    </row>
    <row r="298" spans="1:23" s="3" customFormat="1" ht="16.5" customHeight="1">
      <c r="A298" s="270"/>
      <c r="B298" s="266"/>
      <c r="C298" s="255"/>
      <c r="D298" s="103"/>
      <c r="E298" s="103"/>
      <c r="F298" s="103"/>
      <c r="G298" s="103"/>
      <c r="H298" s="104"/>
      <c r="I298" s="253"/>
      <c r="J298" s="41"/>
      <c r="K298" s="45"/>
      <c r="L298" s="41"/>
      <c r="M298" s="41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spans="1:23" s="3" customFormat="1" ht="16.5" customHeight="1">
      <c r="A299" s="272" t="s">
        <v>292</v>
      </c>
      <c r="B299" s="271"/>
      <c r="C299" s="255"/>
      <c r="D299" s="103"/>
      <c r="E299" s="103"/>
      <c r="F299" s="103"/>
      <c r="G299" s="103"/>
      <c r="H299" s="25">
        <f>H301</f>
        <v>16200</v>
      </c>
      <c r="I299" s="253"/>
      <c r="J299" s="41"/>
      <c r="K299" s="45"/>
      <c r="L299" s="41"/>
      <c r="M299" s="41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spans="1:23" s="3" customFormat="1" ht="16.5" customHeight="1">
      <c r="A300" s="155" t="s">
        <v>32</v>
      </c>
      <c r="B300" s="274"/>
      <c r="C300" s="255"/>
      <c r="D300" s="103"/>
      <c r="E300" s="103"/>
      <c r="F300" s="103"/>
      <c r="G300" s="103"/>
      <c r="H300" s="104"/>
      <c r="I300" s="253"/>
      <c r="J300" s="41"/>
      <c r="K300" s="45"/>
      <c r="L300" s="41"/>
      <c r="M300" s="41"/>
      <c r="N300" s="25"/>
      <c r="O300" s="25"/>
      <c r="P300" s="25"/>
      <c r="Q300" s="25"/>
      <c r="R300" s="25"/>
      <c r="S300" s="25"/>
      <c r="T300" s="25"/>
      <c r="U300" s="25"/>
      <c r="V300" s="25"/>
      <c r="W300" s="25"/>
    </row>
    <row r="301" spans="1:23" s="3" customFormat="1" ht="16.5" customHeight="1">
      <c r="A301" s="225" t="s">
        <v>293</v>
      </c>
      <c r="B301" s="266"/>
      <c r="C301" s="255"/>
      <c r="D301" s="103"/>
      <c r="E301" s="103"/>
      <c r="F301" s="103"/>
      <c r="G301" s="103"/>
      <c r="H301" s="25">
        <v>16200</v>
      </c>
      <c r="I301" s="253"/>
      <c r="J301" s="41"/>
      <c r="K301" s="45"/>
      <c r="L301" s="41"/>
      <c r="M301" s="41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spans="1:23" s="3" customFormat="1" ht="16.5" customHeight="1">
      <c r="A302" s="225" t="s">
        <v>32</v>
      </c>
      <c r="B302" s="266"/>
      <c r="C302" s="255"/>
      <c r="D302" s="103"/>
      <c r="E302" s="103"/>
      <c r="F302" s="103"/>
      <c r="G302" s="103"/>
      <c r="H302" s="104"/>
      <c r="I302" s="253"/>
      <c r="J302" s="41"/>
      <c r="K302" s="45"/>
      <c r="L302" s="41"/>
      <c r="M302" s="41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s="3" customFormat="1" ht="16.5" customHeight="1">
      <c r="A303" s="155"/>
      <c r="B303" s="274" t="s">
        <v>62</v>
      </c>
      <c r="C303" s="275"/>
      <c r="D303" s="22"/>
      <c r="E303" s="16"/>
      <c r="F303" s="27"/>
      <c r="G303" s="103"/>
      <c r="H303" s="104">
        <v>16200</v>
      </c>
      <c r="I303" s="253"/>
      <c r="J303" s="41"/>
      <c r="K303" s="45"/>
      <c r="L303" s="41"/>
      <c r="M303" s="41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spans="1:23" s="3" customFormat="1" ht="16.5" customHeight="1">
      <c r="A304" s="270"/>
      <c r="B304" s="266"/>
      <c r="C304" s="255"/>
      <c r="D304" s="103"/>
      <c r="E304" s="103"/>
      <c r="F304" s="103"/>
      <c r="G304" s="103"/>
      <c r="H304" s="104"/>
      <c r="I304" s="253"/>
      <c r="J304" s="41"/>
      <c r="K304" s="45"/>
      <c r="L304" s="41"/>
      <c r="M304" s="41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spans="1:23" s="3" customFormat="1" ht="16.5" customHeight="1">
      <c r="A305" s="270"/>
      <c r="B305" s="266"/>
      <c r="C305" s="255"/>
      <c r="D305" s="103"/>
      <c r="E305" s="103"/>
      <c r="F305" s="103"/>
      <c r="G305" s="103"/>
      <c r="H305" s="104"/>
      <c r="I305" s="253"/>
      <c r="J305" s="41"/>
      <c r="K305" s="45"/>
      <c r="L305" s="41"/>
      <c r="M305" s="41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spans="1:23" s="3" customFormat="1" ht="16.5" customHeight="1">
      <c r="A306" s="155"/>
      <c r="B306" s="266"/>
      <c r="C306" s="255"/>
      <c r="D306" s="103"/>
      <c r="E306" s="103"/>
      <c r="F306" s="103"/>
      <c r="G306" s="103"/>
      <c r="H306" s="104"/>
      <c r="I306" s="253"/>
      <c r="J306" s="41"/>
      <c r="K306" s="45"/>
      <c r="L306" s="41"/>
      <c r="M306" s="41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spans="1:23" s="3" customFormat="1" ht="16.5" customHeight="1">
      <c r="A307" s="272" t="s">
        <v>73</v>
      </c>
      <c r="B307" s="266"/>
      <c r="C307" s="255"/>
      <c r="D307" s="103"/>
      <c r="E307" s="103"/>
      <c r="F307" s="103"/>
      <c r="G307" s="103"/>
      <c r="H307" s="25">
        <f>H309</f>
        <v>98650</v>
      </c>
      <c r="I307" s="253"/>
      <c r="J307" s="41"/>
      <c r="K307" s="45"/>
      <c r="L307" s="41"/>
      <c r="M307" s="41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spans="1:23" s="3" customFormat="1" ht="16.5" customHeight="1">
      <c r="A308" s="155" t="s">
        <v>32</v>
      </c>
      <c r="B308" s="266"/>
      <c r="C308" s="255"/>
      <c r="D308" s="103"/>
      <c r="E308" s="103"/>
      <c r="F308" s="103"/>
      <c r="G308" s="103"/>
      <c r="H308" s="104"/>
      <c r="I308" s="253"/>
      <c r="J308" s="41"/>
      <c r="K308" s="45"/>
      <c r="L308" s="41"/>
      <c r="M308" s="41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spans="1:23" s="3" customFormat="1" ht="16.5" customHeight="1">
      <c r="A309" s="225" t="s">
        <v>291</v>
      </c>
      <c r="B309" s="266"/>
      <c r="C309" s="255"/>
      <c r="D309" s="103"/>
      <c r="E309" s="103"/>
      <c r="F309" s="103"/>
      <c r="G309" s="103"/>
      <c r="H309" s="25">
        <f>H311+H315+H313</f>
        <v>98650</v>
      </c>
      <c r="I309" s="253"/>
      <c r="J309" s="41"/>
      <c r="K309" s="45"/>
      <c r="L309" s="41"/>
      <c r="M309" s="41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spans="1:23" s="3" customFormat="1" ht="16.5" customHeight="1">
      <c r="A310" s="155" t="s">
        <v>32</v>
      </c>
      <c r="B310" s="274"/>
      <c r="C310" s="275"/>
      <c r="D310" s="22"/>
      <c r="E310" s="16"/>
      <c r="F310" s="27"/>
      <c r="G310" s="103"/>
      <c r="H310" s="104"/>
      <c r="I310" s="253"/>
      <c r="J310" s="41"/>
      <c r="K310" s="45"/>
      <c r="L310" s="41"/>
      <c r="M310" s="41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spans="1:23" s="3" customFormat="1" ht="16.5" customHeight="1">
      <c r="A311" s="155"/>
      <c r="B311" s="274" t="s">
        <v>486</v>
      </c>
      <c r="C311" s="275"/>
      <c r="D311" s="22"/>
      <c r="E311" s="16"/>
      <c r="F311" s="27"/>
      <c r="G311" s="103"/>
      <c r="H311" s="104">
        <v>18450</v>
      </c>
      <c r="I311" s="253"/>
      <c r="J311" s="41"/>
      <c r="K311" s="45"/>
      <c r="L311" s="41"/>
      <c r="M311" s="41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spans="1:23" s="3" customFormat="1" ht="16.5" customHeight="1">
      <c r="A312" s="155"/>
      <c r="B312" s="657"/>
      <c r="C312" s="275"/>
      <c r="D312" s="22"/>
      <c r="E312" s="16"/>
      <c r="F312" s="27"/>
      <c r="G312" s="103"/>
      <c r="H312" s="104"/>
      <c r="I312" s="253"/>
      <c r="J312" s="41"/>
      <c r="K312" s="45"/>
      <c r="L312" s="41"/>
      <c r="M312" s="41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3" customFormat="1" ht="16.5" customHeight="1">
      <c r="A313" s="155"/>
      <c r="B313" s="838" t="s">
        <v>487</v>
      </c>
      <c r="C313" s="275"/>
      <c r="D313" s="22"/>
      <c r="E313" s="16"/>
      <c r="F313" s="27"/>
      <c r="G313" s="103"/>
      <c r="H313" s="104">
        <v>16200</v>
      </c>
      <c r="I313" s="253"/>
      <c r="J313" s="41"/>
      <c r="K313" s="45"/>
      <c r="L313" s="41"/>
      <c r="M313" s="41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spans="1:23" s="3" customFormat="1" ht="16.5" customHeight="1">
      <c r="A314" s="155"/>
      <c r="B314" s="274"/>
      <c r="C314" s="275"/>
      <c r="D314" s="22"/>
      <c r="E314" s="16"/>
      <c r="F314" s="27"/>
      <c r="G314" s="103"/>
      <c r="H314" s="104"/>
      <c r="I314" s="253"/>
      <c r="J314" s="41"/>
      <c r="K314" s="45"/>
      <c r="L314" s="41"/>
      <c r="M314" s="41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spans="1:23" s="3" customFormat="1" ht="16.5" customHeight="1">
      <c r="A315" s="155"/>
      <c r="B315" s="274" t="s">
        <v>296</v>
      </c>
      <c r="C315" s="275"/>
      <c r="D315" s="22"/>
      <c r="E315" s="16"/>
      <c r="F315" s="27"/>
      <c r="G315" s="103"/>
      <c r="H315" s="104">
        <v>64000</v>
      </c>
      <c r="I315" s="253"/>
      <c r="J315" s="41"/>
      <c r="K315" s="45"/>
      <c r="L315" s="41"/>
      <c r="M315" s="41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spans="1:23" s="3" customFormat="1" ht="16.5" customHeight="1">
      <c r="A316" s="155"/>
      <c r="B316" s="274"/>
      <c r="C316" s="275"/>
      <c r="D316" s="22"/>
      <c r="E316" s="16"/>
      <c r="F316" s="27"/>
      <c r="G316" s="103"/>
      <c r="H316" s="104"/>
      <c r="I316" s="253"/>
      <c r="J316" s="41"/>
      <c r="K316" s="45"/>
      <c r="L316" s="41"/>
      <c r="M316" s="41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spans="1:23" s="3" customFormat="1" ht="16.5" customHeight="1">
      <c r="A317" s="155"/>
      <c r="B317" s="274"/>
      <c r="C317" s="275"/>
      <c r="D317" s="22"/>
      <c r="E317" s="16"/>
      <c r="F317" s="27"/>
      <c r="G317" s="103"/>
      <c r="H317" s="104"/>
      <c r="I317" s="253"/>
      <c r="J317" s="41"/>
      <c r="K317" s="45"/>
      <c r="L317" s="41"/>
      <c r="M317" s="41"/>
      <c r="N317" s="25"/>
      <c r="O317" s="25"/>
      <c r="P317" s="25"/>
      <c r="Q317" s="25"/>
      <c r="R317" s="25"/>
      <c r="S317" s="25"/>
      <c r="T317" s="25"/>
      <c r="U317" s="25"/>
      <c r="V317" s="25"/>
      <c r="W317" s="25"/>
    </row>
    <row r="318" spans="1:23" s="3" customFormat="1" ht="17.25" customHeight="1">
      <c r="A318" s="278" t="s">
        <v>104</v>
      </c>
      <c r="B318" s="278"/>
      <c r="C318" s="269"/>
      <c r="D318" s="22"/>
      <c r="E318" s="16"/>
      <c r="F318" s="103"/>
      <c r="G318" s="103"/>
      <c r="H318" s="104"/>
      <c r="I318" s="253"/>
      <c r="J318" s="105"/>
      <c r="K318" s="45"/>
      <c r="L318" s="105"/>
      <c r="M318" s="105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</row>
    <row r="319" spans="1:23" s="3" customFormat="1" ht="17.25" customHeight="1">
      <c r="A319" s="278" t="s">
        <v>105</v>
      </c>
      <c r="B319" s="278"/>
      <c r="C319" s="269"/>
      <c r="D319" s="22"/>
      <c r="E319" s="16"/>
      <c r="F319" s="103"/>
      <c r="G319" s="103"/>
      <c r="H319" s="104"/>
      <c r="I319" s="253"/>
      <c r="J319" s="105"/>
      <c r="K319" s="45"/>
      <c r="L319" s="105"/>
      <c r="M319" s="105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</row>
    <row r="320" spans="1:23" s="3" customFormat="1" ht="17.25" customHeight="1">
      <c r="A320" s="278"/>
      <c r="B320" s="278"/>
      <c r="C320" s="269"/>
      <c r="D320" s="22"/>
      <c r="E320" s="16"/>
      <c r="F320" s="103"/>
      <c r="G320" s="103"/>
      <c r="H320" s="104"/>
      <c r="I320" s="253"/>
      <c r="J320" s="105"/>
      <c r="K320" s="45"/>
      <c r="L320" s="105"/>
      <c r="M320" s="105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</row>
    <row r="321" spans="1:23" s="3" customFormat="1" ht="17.25" customHeight="1">
      <c r="A321" s="278"/>
      <c r="B321" s="278"/>
      <c r="C321" s="269"/>
      <c r="D321" s="22"/>
      <c r="E321" s="16"/>
      <c r="F321" s="103"/>
      <c r="G321" s="103"/>
      <c r="H321" s="104"/>
      <c r="I321" s="253"/>
      <c r="J321" s="105"/>
      <c r="K321" s="45"/>
      <c r="L321" s="105"/>
      <c r="M321" s="105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</row>
    <row r="322" spans="1:23" s="3" customFormat="1" ht="17.25" customHeight="1">
      <c r="A322" s="278"/>
      <c r="B322" s="278"/>
      <c r="C322" s="269"/>
      <c r="D322" s="22"/>
      <c r="E322" s="16"/>
      <c r="F322" s="103"/>
      <c r="G322" s="103"/>
      <c r="H322" s="104"/>
      <c r="I322" s="253"/>
      <c r="J322" s="105"/>
      <c r="K322" s="45"/>
      <c r="L322" s="105"/>
      <c r="M322" s="105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</row>
    <row r="323" spans="1:23" s="3" customFormat="1" ht="17.25" customHeight="1">
      <c r="A323" s="278" t="s">
        <v>494</v>
      </c>
      <c r="B323" s="278"/>
      <c r="C323" s="269"/>
      <c r="D323" s="22"/>
      <c r="E323" s="16"/>
      <c r="F323" s="103"/>
      <c r="G323" s="103"/>
      <c r="H323" s="104"/>
      <c r="I323" s="253"/>
      <c r="J323" s="105"/>
      <c r="K323" s="45"/>
      <c r="L323" s="105"/>
      <c r="M323" s="105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</row>
    <row r="324" spans="1:23" s="3" customFormat="1" ht="17.25" customHeight="1">
      <c r="A324" s="834" t="s">
        <v>477</v>
      </c>
      <c r="B324" s="834"/>
      <c r="C324" s="835"/>
      <c r="D324" s="646"/>
      <c r="E324" s="279"/>
      <c r="F324" s="836"/>
      <c r="G324" s="103"/>
      <c r="H324" s="104"/>
      <c r="I324" s="253"/>
      <c r="J324" s="105"/>
      <c r="K324" s="45"/>
      <c r="L324" s="105"/>
      <c r="M324" s="105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</row>
    <row r="325" spans="1:23" s="3" customFormat="1" ht="17.25" customHeight="1">
      <c r="A325" s="834" t="s">
        <v>478</v>
      </c>
      <c r="B325" s="834"/>
      <c r="C325" s="835"/>
      <c r="D325" s="646"/>
      <c r="E325" s="279"/>
      <c r="F325" s="836"/>
      <c r="G325" s="103"/>
      <c r="H325" s="104"/>
      <c r="I325" s="253"/>
      <c r="J325" s="105"/>
      <c r="K325" s="45"/>
      <c r="L325" s="105"/>
      <c r="M325" s="105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</row>
    <row r="326" spans="1:23" s="3" customFormat="1" ht="17.25" customHeight="1">
      <c r="A326" s="278" t="s">
        <v>479</v>
      </c>
      <c r="B326" s="278"/>
      <c r="C326" s="269"/>
      <c r="D326" s="22"/>
      <c r="E326" s="16"/>
      <c r="F326" s="103"/>
      <c r="G326" s="103"/>
      <c r="H326" s="104"/>
      <c r="I326" s="253"/>
      <c r="J326" s="105"/>
      <c r="K326" s="45"/>
      <c r="L326" s="105"/>
      <c r="M326" s="105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</row>
    <row r="327" spans="1:23" s="3" customFormat="1" ht="17.25" customHeight="1">
      <c r="A327" s="278"/>
      <c r="B327" s="278"/>
      <c r="C327" s="269"/>
      <c r="D327" s="22"/>
      <c r="E327" s="16"/>
      <c r="F327" s="103"/>
      <c r="G327" s="103"/>
      <c r="H327" s="104"/>
      <c r="I327" s="253"/>
      <c r="J327" s="105"/>
      <c r="K327" s="45"/>
      <c r="L327" s="105"/>
      <c r="M327" s="105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</row>
    <row r="328" spans="1:23" s="3" customFormat="1" ht="17.25" customHeight="1">
      <c r="A328" s="278"/>
      <c r="B328" s="278"/>
      <c r="C328" s="269"/>
      <c r="D328" s="22"/>
      <c r="E328" s="16"/>
      <c r="F328" s="103"/>
      <c r="G328" s="103"/>
      <c r="H328" s="104"/>
      <c r="I328" s="253"/>
      <c r="J328" s="105"/>
      <c r="K328" s="45"/>
      <c r="L328" s="105"/>
      <c r="M328" s="105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</row>
    <row r="329" spans="1:23" s="3" customFormat="1" ht="17.25" customHeight="1">
      <c r="A329" s="426" t="s">
        <v>269</v>
      </c>
      <c r="B329" s="427"/>
      <c r="C329" s="427"/>
      <c r="D329" s="279"/>
      <c r="E329" s="279"/>
      <c r="F329" s="103"/>
      <c r="G329" s="103"/>
      <c r="H329" s="104"/>
      <c r="I329" s="428"/>
      <c r="J329" s="105"/>
      <c r="K329" s="45"/>
      <c r="L329" s="105"/>
      <c r="M329" s="105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</row>
    <row r="330" spans="1:23" s="3" customFormat="1" ht="17.25" customHeight="1">
      <c r="A330" s="429" t="s">
        <v>265</v>
      </c>
      <c r="B330" s="427"/>
      <c r="C330" s="427"/>
      <c r="D330" s="279"/>
      <c r="E330" s="279"/>
      <c r="F330" s="103"/>
      <c r="G330" s="103"/>
      <c r="H330" s="104"/>
      <c r="I330" s="428"/>
      <c r="J330" s="105"/>
      <c r="K330" s="45"/>
      <c r="L330" s="105"/>
      <c r="M330" s="105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</row>
    <row r="331" spans="1:23" s="3" customFormat="1" ht="17.25" customHeight="1">
      <c r="A331" s="429" t="s">
        <v>480</v>
      </c>
      <c r="B331" s="217"/>
      <c r="C331" s="152"/>
      <c r="D331" s="16"/>
      <c r="E331" s="16"/>
      <c r="F331" s="103"/>
      <c r="G331" s="103"/>
      <c r="H331" s="104"/>
      <c r="I331" s="428"/>
      <c r="J331" s="105"/>
      <c r="K331" s="45"/>
      <c r="L331" s="105"/>
      <c r="M331" s="105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</row>
    <row r="332" spans="1:23" s="3" customFormat="1" ht="17.25" customHeight="1">
      <c r="A332" s="426"/>
      <c r="B332" s="152"/>
      <c r="C332" s="152"/>
      <c r="D332" s="16"/>
      <c r="E332" s="16"/>
      <c r="F332" s="103"/>
      <c r="G332" s="103"/>
      <c r="H332" s="104"/>
      <c r="I332" s="428"/>
      <c r="J332" s="105"/>
      <c r="K332" s="45"/>
      <c r="L332" s="105"/>
      <c r="M332" s="105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</row>
    <row r="333" spans="1:23" s="3" customFormat="1" ht="17.25" customHeight="1">
      <c r="A333" s="426"/>
      <c r="B333" s="152"/>
      <c r="C333" s="152"/>
      <c r="D333" s="16"/>
      <c r="E333" s="16"/>
      <c r="F333" s="103"/>
      <c r="G333" s="103"/>
      <c r="H333" s="104"/>
      <c r="I333" s="428"/>
      <c r="J333" s="105"/>
      <c r="K333" s="45"/>
      <c r="L333" s="105"/>
      <c r="M333" s="105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</row>
    <row r="334" spans="1:23" s="3" customFormat="1" ht="17.25" customHeight="1">
      <c r="A334" s="426" t="s">
        <v>495</v>
      </c>
      <c r="B334" s="427"/>
      <c r="C334" s="427"/>
      <c r="D334" s="279"/>
      <c r="E334" s="279"/>
      <c r="F334" s="279"/>
      <c r="G334" s="279"/>
      <c r="H334" s="104"/>
      <c r="I334" s="428"/>
      <c r="J334" s="105"/>
      <c r="K334" s="45"/>
      <c r="L334" s="105"/>
      <c r="M334" s="105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</row>
    <row r="335" spans="1:23" s="3" customFormat="1" ht="17.25" customHeight="1">
      <c r="A335" s="429" t="s">
        <v>481</v>
      </c>
      <c r="B335" s="427"/>
      <c r="C335" s="427"/>
      <c r="D335" s="279"/>
      <c r="E335" s="279"/>
      <c r="F335" s="279"/>
      <c r="G335" s="279"/>
      <c r="H335" s="104"/>
      <c r="I335" s="428"/>
      <c r="J335" s="105"/>
      <c r="K335" s="45"/>
      <c r="L335" s="105"/>
      <c r="M335" s="105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</row>
    <row r="336" spans="1:23" s="3" customFormat="1" ht="17.25" customHeight="1">
      <c r="A336" s="426" t="s">
        <v>482</v>
      </c>
      <c r="B336" s="217"/>
      <c r="C336" s="152"/>
      <c r="D336" s="279"/>
      <c r="E336" s="279"/>
      <c r="F336" s="279"/>
      <c r="G336" s="279"/>
      <c r="H336" s="104"/>
      <c r="I336" s="428"/>
      <c r="J336" s="105"/>
      <c r="K336" s="45"/>
      <c r="L336" s="105"/>
      <c r="M336" s="105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</row>
    <row r="337" spans="1:23" s="3" customFormat="1" ht="17.25" customHeight="1">
      <c r="A337" s="426"/>
      <c r="B337" s="152"/>
      <c r="C337" s="152"/>
      <c r="D337" s="16"/>
      <c r="E337" s="16"/>
      <c r="F337" s="103"/>
      <c r="G337" s="103"/>
      <c r="H337" s="104"/>
      <c r="I337" s="428"/>
      <c r="J337" s="105"/>
      <c r="K337" s="45"/>
      <c r="L337" s="105"/>
      <c r="M337" s="105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</row>
    <row r="338" spans="1:23" ht="18.75">
      <c r="A338" s="280"/>
      <c r="B338" s="152"/>
      <c r="C338" s="152"/>
      <c r="D338" s="16"/>
      <c r="E338" s="16"/>
      <c r="F338" s="16"/>
      <c r="G338" s="239"/>
      <c r="H338" s="17"/>
      <c r="I338" s="228"/>
      <c r="J338" s="38"/>
      <c r="K338" s="221"/>
      <c r="L338" s="37"/>
      <c r="M338" s="37"/>
      <c r="N338" s="16"/>
      <c r="O338" s="16"/>
      <c r="P338" s="16"/>
      <c r="Q338" s="222"/>
      <c r="R338" s="222"/>
      <c r="S338" s="222"/>
      <c r="T338" s="222"/>
      <c r="U338" s="222"/>
      <c r="V338" s="222"/>
      <c r="W338" s="222"/>
    </row>
    <row r="339" spans="1:23" ht="18.75">
      <c r="A339" s="430" t="s">
        <v>496</v>
      </c>
      <c r="B339" s="152"/>
      <c r="C339" s="152"/>
      <c r="D339" s="16"/>
      <c r="E339" s="16"/>
      <c r="F339" s="16"/>
      <c r="G339" s="239"/>
      <c r="H339" s="17"/>
      <c r="I339" s="228"/>
      <c r="J339" s="38"/>
      <c r="K339" s="221"/>
      <c r="L339" s="37"/>
      <c r="M339" s="37"/>
      <c r="N339" s="16"/>
      <c r="O339" s="16"/>
      <c r="P339" s="16"/>
      <c r="Q339" s="222"/>
      <c r="R339" s="222"/>
      <c r="S339" s="222"/>
      <c r="T339" s="222"/>
      <c r="U339" s="222"/>
      <c r="V339" s="222"/>
      <c r="W339" s="222"/>
    </row>
    <row r="340" spans="1:23" ht="15.75">
      <c r="A340" s="280"/>
      <c r="B340" s="152"/>
      <c r="C340" s="152"/>
      <c r="D340" s="16"/>
      <c r="E340" s="16"/>
      <c r="F340" s="16"/>
      <c r="G340" s="239"/>
      <c r="H340" s="231"/>
      <c r="I340" s="228"/>
      <c r="J340" s="38"/>
      <c r="K340" s="221"/>
      <c r="L340" s="37"/>
      <c r="M340" s="37"/>
      <c r="N340" s="16"/>
      <c r="O340" s="16"/>
      <c r="P340" s="16"/>
      <c r="Q340" s="222"/>
      <c r="R340" s="222"/>
      <c r="S340" s="222"/>
      <c r="T340" s="222"/>
      <c r="U340" s="222"/>
      <c r="V340" s="222"/>
      <c r="W340" s="222"/>
    </row>
    <row r="341" spans="1:23" ht="16.5">
      <c r="A341" s="246" t="s">
        <v>483</v>
      </c>
      <c r="B341" s="246"/>
      <c r="C341" s="247"/>
      <c r="D341" s="19"/>
      <c r="E341" s="16"/>
      <c r="F341" s="16"/>
      <c r="G341" s="239"/>
      <c r="H341" s="231">
        <f>H344+160000</f>
        <v>304036.53</v>
      </c>
      <c r="I341" s="228"/>
      <c r="J341" s="38"/>
      <c r="K341" s="221"/>
      <c r="L341" s="37"/>
      <c r="M341" s="37"/>
      <c r="N341" s="16"/>
      <c r="O341" s="16"/>
      <c r="P341" s="16"/>
      <c r="Q341" s="222"/>
      <c r="R341" s="222"/>
      <c r="S341" s="222"/>
      <c r="T341" s="222"/>
      <c r="U341" s="222"/>
      <c r="V341" s="222"/>
      <c r="W341" s="222"/>
    </row>
    <row r="342" spans="1:23" ht="16.5">
      <c r="A342" s="246" t="s">
        <v>106</v>
      </c>
      <c r="B342" s="246"/>
      <c r="C342" s="247"/>
      <c r="D342" s="19"/>
      <c r="E342" s="16"/>
      <c r="F342" s="16"/>
      <c r="G342" s="239"/>
      <c r="H342" s="231">
        <f>H345+160000</f>
        <v>287127.53</v>
      </c>
      <c r="I342" s="228"/>
      <c r="J342" s="38"/>
      <c r="K342" s="221"/>
      <c r="L342" s="37"/>
      <c r="M342" s="37"/>
      <c r="N342" s="16"/>
      <c r="O342" s="16"/>
      <c r="P342" s="16"/>
      <c r="Q342" s="222"/>
      <c r="R342" s="222"/>
      <c r="S342" s="222"/>
      <c r="T342" s="222"/>
      <c r="U342" s="222"/>
      <c r="V342" s="222"/>
      <c r="W342" s="222"/>
    </row>
    <row r="343" spans="1:23" ht="16.5">
      <c r="A343" s="246" t="s">
        <v>484</v>
      </c>
      <c r="B343" s="246"/>
      <c r="C343" s="247"/>
      <c r="D343" s="19"/>
      <c r="E343" s="16"/>
      <c r="F343" s="16"/>
      <c r="G343" s="239"/>
      <c r="H343" s="231"/>
      <c r="I343" s="228"/>
      <c r="J343" s="38"/>
      <c r="K343" s="221"/>
      <c r="L343" s="37"/>
      <c r="M343" s="37"/>
      <c r="N343" s="16"/>
      <c r="O343" s="16"/>
      <c r="P343" s="16"/>
      <c r="Q343" s="222"/>
      <c r="R343" s="222"/>
      <c r="S343" s="222"/>
      <c r="T343" s="222"/>
      <c r="U343" s="222"/>
      <c r="V343" s="222"/>
      <c r="W343" s="222"/>
    </row>
    <row r="344" spans="1:23" ht="16.5">
      <c r="A344" s="246"/>
      <c r="B344" s="246" t="s">
        <v>108</v>
      </c>
      <c r="C344" s="440"/>
      <c r="D344" s="441"/>
      <c r="E344" s="16"/>
      <c r="F344" s="16"/>
      <c r="G344" s="239"/>
      <c r="H344" s="231">
        <v>144036.53</v>
      </c>
      <c r="I344" s="228"/>
      <c r="J344" s="38"/>
      <c r="K344" s="221"/>
      <c r="L344" s="37"/>
      <c r="M344" s="37"/>
      <c r="N344" s="16"/>
      <c r="O344" s="16"/>
      <c r="P344" s="16"/>
      <c r="Q344" s="222"/>
      <c r="R344" s="222"/>
      <c r="S344" s="222"/>
      <c r="T344" s="222"/>
      <c r="U344" s="222"/>
      <c r="V344" s="222"/>
      <c r="W344" s="222"/>
    </row>
    <row r="345" spans="1:23" ht="16.5">
      <c r="A345" s="246"/>
      <c r="B345" s="246" t="s">
        <v>109</v>
      </c>
      <c r="C345" s="440"/>
      <c r="D345" s="441"/>
      <c r="E345" s="16"/>
      <c r="F345" s="16"/>
      <c r="G345" s="239"/>
      <c r="H345" s="231">
        <f>H344-14909-2000</f>
        <v>127127.53</v>
      </c>
      <c r="I345" s="228"/>
      <c r="J345" s="38"/>
      <c r="K345" s="221"/>
      <c r="L345" s="37"/>
      <c r="M345" s="37"/>
      <c r="N345" s="16"/>
      <c r="O345" s="16"/>
      <c r="P345" s="16"/>
      <c r="Q345" s="222"/>
      <c r="R345" s="222"/>
      <c r="S345" s="222"/>
      <c r="T345" s="222"/>
      <c r="U345" s="222"/>
      <c r="V345" s="222"/>
      <c r="W345" s="222"/>
    </row>
    <row r="346" spans="1:23" ht="15.75">
      <c r="A346" s="280"/>
      <c r="B346" s="152"/>
      <c r="C346" s="152"/>
      <c r="D346" s="16"/>
      <c r="E346" s="16"/>
      <c r="F346" s="16"/>
      <c r="G346" s="239"/>
      <c r="H346" s="231"/>
      <c r="I346" s="228"/>
      <c r="J346" s="38"/>
      <c r="K346" s="221"/>
      <c r="L346" s="37"/>
      <c r="M346" s="37"/>
      <c r="N346" s="16"/>
      <c r="O346" s="16"/>
      <c r="P346" s="16"/>
      <c r="Q346" s="222"/>
      <c r="R346" s="222"/>
      <c r="S346" s="222"/>
      <c r="T346" s="222"/>
      <c r="U346" s="222"/>
      <c r="V346" s="222"/>
      <c r="W346" s="222"/>
    </row>
    <row r="347" spans="1:23" ht="15.75">
      <c r="A347" s="280"/>
      <c r="B347" s="152"/>
      <c r="C347" s="152"/>
      <c r="D347" s="16"/>
      <c r="E347" s="16"/>
      <c r="F347" s="16"/>
      <c r="G347" s="239"/>
      <c r="H347" s="231"/>
      <c r="I347" s="228"/>
      <c r="J347" s="38"/>
      <c r="K347" s="221"/>
      <c r="L347" s="37"/>
      <c r="M347" s="37"/>
      <c r="N347" s="16"/>
      <c r="O347" s="16"/>
      <c r="P347" s="16"/>
      <c r="Q347" s="222"/>
      <c r="R347" s="222"/>
      <c r="S347" s="222"/>
      <c r="T347" s="222"/>
      <c r="U347" s="222"/>
      <c r="V347" s="222"/>
      <c r="W347" s="222"/>
    </row>
    <row r="348" spans="1:23" ht="16.5">
      <c r="A348" s="439" t="s">
        <v>110</v>
      </c>
      <c r="B348" s="246"/>
      <c r="C348" s="440"/>
      <c r="D348" s="441"/>
      <c r="E348" s="16"/>
      <c r="F348" s="16"/>
      <c r="G348" s="231"/>
      <c r="H348" s="231">
        <f>H352+H355</f>
        <v>1412488.9100000001</v>
      </c>
      <c r="I348" s="228"/>
      <c r="J348" s="231"/>
      <c r="K348" s="221"/>
      <c r="L348" s="37"/>
      <c r="M348" s="37"/>
      <c r="N348" s="16"/>
      <c r="O348" s="16"/>
      <c r="P348" s="16"/>
      <c r="Q348" s="222"/>
      <c r="R348" s="222"/>
      <c r="S348" s="222"/>
      <c r="T348" s="222"/>
      <c r="U348" s="222"/>
      <c r="V348" s="222"/>
      <c r="W348" s="222"/>
    </row>
    <row r="349" spans="1:23" ht="16.5">
      <c r="A349" s="439" t="s">
        <v>106</v>
      </c>
      <c r="B349" s="246"/>
      <c r="C349" s="440"/>
      <c r="D349" s="441"/>
      <c r="E349" s="16"/>
      <c r="F349" s="16"/>
      <c r="G349" s="231"/>
      <c r="H349" s="231">
        <f>H353+H356</f>
        <v>1222144.9100000001</v>
      </c>
      <c r="I349" s="228"/>
      <c r="J349" s="38"/>
      <c r="K349" s="221"/>
      <c r="L349" s="37"/>
      <c r="M349" s="37"/>
      <c r="N349" s="16"/>
      <c r="O349" s="16"/>
      <c r="P349" s="16"/>
      <c r="Q349" s="222"/>
      <c r="R349" s="222"/>
      <c r="S349" s="222"/>
      <c r="T349" s="222"/>
      <c r="U349" s="222"/>
      <c r="V349" s="222"/>
      <c r="W349" s="222"/>
    </row>
    <row r="350" spans="1:23" ht="16.5">
      <c r="A350" s="246" t="s">
        <v>107</v>
      </c>
      <c r="B350" s="246"/>
      <c r="C350" s="440"/>
      <c r="D350" s="441"/>
      <c r="E350" s="16"/>
      <c r="F350" s="16"/>
      <c r="G350" s="231"/>
      <c r="H350" s="231"/>
      <c r="I350" s="228"/>
      <c r="J350" s="38"/>
      <c r="K350" s="221"/>
      <c r="L350" s="37"/>
      <c r="M350" s="37"/>
      <c r="N350" s="16"/>
      <c r="O350" s="16"/>
      <c r="P350" s="16"/>
      <c r="Q350" s="222"/>
      <c r="R350" s="222"/>
      <c r="S350" s="222"/>
      <c r="T350" s="222"/>
      <c r="U350" s="222"/>
      <c r="V350" s="222"/>
      <c r="W350" s="222"/>
    </row>
    <row r="351" spans="1:23" ht="16.5">
      <c r="A351" s="246"/>
      <c r="B351" s="246"/>
      <c r="C351" s="440"/>
      <c r="D351" s="441"/>
      <c r="E351" s="16"/>
      <c r="F351" s="16"/>
      <c r="G351" s="231"/>
      <c r="H351" s="231"/>
      <c r="I351" s="228"/>
      <c r="J351" s="38"/>
      <c r="K351" s="221"/>
      <c r="L351" s="37"/>
      <c r="M351" s="37"/>
      <c r="N351" s="16"/>
      <c r="O351" s="16"/>
      <c r="P351" s="16"/>
      <c r="Q351" s="222"/>
      <c r="R351" s="222"/>
      <c r="S351" s="222"/>
      <c r="T351" s="222"/>
      <c r="U351" s="222"/>
      <c r="V351" s="222"/>
      <c r="W351" s="222"/>
    </row>
    <row r="352" spans="1:23" ht="16.5">
      <c r="A352" s="246"/>
      <c r="B352" s="246" t="s">
        <v>108</v>
      </c>
      <c r="C352" s="440"/>
      <c r="D352" s="441"/>
      <c r="E352" s="16"/>
      <c r="F352" s="16"/>
      <c r="G352" s="231"/>
      <c r="H352" s="231">
        <v>307043.4</v>
      </c>
      <c r="I352" s="228"/>
      <c r="J352" s="38"/>
      <c r="K352" s="221"/>
      <c r="L352" s="37"/>
      <c r="M352" s="37"/>
      <c r="N352" s="16"/>
      <c r="O352" s="16"/>
      <c r="P352" s="16"/>
      <c r="Q352" s="222"/>
      <c r="R352" s="222"/>
      <c r="S352" s="222"/>
      <c r="T352" s="222"/>
      <c r="U352" s="222"/>
      <c r="V352" s="222"/>
      <c r="W352" s="222"/>
    </row>
    <row r="353" spans="1:23" ht="16.5">
      <c r="A353" s="246"/>
      <c r="B353" s="246" t="s">
        <v>109</v>
      </c>
      <c r="C353" s="440"/>
      <c r="D353" s="441"/>
      <c r="E353" s="16"/>
      <c r="F353" s="16"/>
      <c r="G353" s="231"/>
      <c r="H353" s="231">
        <f>H352-21000</f>
        <v>286043.4</v>
      </c>
      <c r="I353" s="228"/>
      <c r="J353" s="38"/>
      <c r="K353" s="221"/>
      <c r="L353" s="37"/>
      <c r="M353" s="37"/>
      <c r="N353" s="16"/>
      <c r="O353" s="16"/>
      <c r="P353" s="16"/>
      <c r="Q353" s="222"/>
      <c r="R353" s="222"/>
      <c r="S353" s="222"/>
      <c r="T353" s="222"/>
      <c r="U353" s="222"/>
      <c r="V353" s="222"/>
      <c r="W353" s="222"/>
    </row>
    <row r="354" spans="1:23" ht="15.75">
      <c r="A354" s="155"/>
      <c r="B354" s="155"/>
      <c r="C354" s="243"/>
      <c r="D354" s="18"/>
      <c r="E354" s="16"/>
      <c r="F354" s="16"/>
      <c r="G354" s="231"/>
      <c r="H354" s="231"/>
      <c r="I354" s="228"/>
      <c r="J354" s="38"/>
      <c r="K354" s="221"/>
      <c r="L354" s="37"/>
      <c r="M354" s="37"/>
      <c r="N354" s="16"/>
      <c r="O354" s="16"/>
      <c r="P354" s="16"/>
      <c r="Q354" s="222"/>
      <c r="R354" s="222"/>
      <c r="S354" s="222"/>
      <c r="T354" s="222"/>
      <c r="U354" s="222"/>
      <c r="V354" s="222"/>
      <c r="W354" s="222"/>
    </row>
    <row r="355" spans="1:23" ht="16.5">
      <c r="A355" s="246"/>
      <c r="B355" s="246" t="s">
        <v>243</v>
      </c>
      <c r="C355" s="440"/>
      <c r="D355" s="281"/>
      <c r="E355" s="16"/>
      <c r="F355" s="16"/>
      <c r="G355" s="231"/>
      <c r="H355" s="231">
        <v>1105445.51</v>
      </c>
      <c r="I355" s="228"/>
      <c r="J355" s="38"/>
      <c r="K355" s="221"/>
      <c r="L355" s="37"/>
      <c r="M355" s="37"/>
      <c r="N355" s="16"/>
      <c r="O355" s="16"/>
      <c r="P355" s="16"/>
      <c r="Q355" s="222"/>
      <c r="R355" s="222"/>
      <c r="S355" s="222"/>
      <c r="T355" s="222"/>
      <c r="U355" s="222"/>
      <c r="V355" s="222"/>
      <c r="W355" s="222"/>
    </row>
    <row r="356" spans="1:23" ht="16.5">
      <c r="A356" s="246"/>
      <c r="B356" s="246" t="s">
        <v>109</v>
      </c>
      <c r="C356" s="440"/>
      <c r="D356" s="281"/>
      <c r="E356" s="16"/>
      <c r="F356" s="16"/>
      <c r="G356" s="231"/>
      <c r="H356" s="231">
        <f>H355-169344</f>
        <v>936101.51</v>
      </c>
      <c r="I356" s="228"/>
      <c r="J356" s="38"/>
      <c r="K356" s="221"/>
      <c r="L356" s="37"/>
      <c r="M356" s="37"/>
      <c r="N356" s="16"/>
      <c r="O356" s="16"/>
      <c r="P356" s="16"/>
      <c r="Q356" s="222"/>
      <c r="R356" s="222"/>
      <c r="S356" s="222"/>
      <c r="T356" s="222"/>
      <c r="U356" s="222"/>
      <c r="V356" s="222"/>
      <c r="W356" s="222"/>
    </row>
    <row r="357" spans="1:23" ht="15.75">
      <c r="A357" s="155"/>
      <c r="B357" s="155"/>
      <c r="C357" s="243"/>
      <c r="D357" s="18"/>
      <c r="E357" s="16"/>
      <c r="F357" s="16"/>
      <c r="G357" s="231"/>
      <c r="H357" s="231"/>
      <c r="I357" s="228"/>
      <c r="J357" s="38"/>
      <c r="K357" s="221"/>
      <c r="L357" s="37"/>
      <c r="M357" s="37"/>
      <c r="N357" s="16"/>
      <c r="O357" s="16"/>
      <c r="P357" s="16"/>
      <c r="Q357" s="222"/>
      <c r="R357" s="222"/>
      <c r="S357" s="222"/>
      <c r="T357" s="222"/>
      <c r="U357" s="222"/>
      <c r="V357" s="222"/>
      <c r="W357" s="222"/>
    </row>
    <row r="358" spans="1:23" ht="15.75">
      <c r="A358" s="155"/>
      <c r="B358" s="155"/>
      <c r="C358" s="243"/>
      <c r="D358" s="18"/>
      <c r="E358" s="16"/>
      <c r="F358" s="16"/>
      <c r="G358" s="231"/>
      <c r="H358" s="231"/>
      <c r="I358" s="228"/>
      <c r="J358" s="38"/>
      <c r="K358" s="221"/>
      <c r="L358" s="37"/>
      <c r="M358" s="37"/>
      <c r="N358" s="16"/>
      <c r="O358" s="16"/>
      <c r="P358" s="16"/>
      <c r="Q358" s="222"/>
      <c r="R358" s="222"/>
      <c r="S358" s="222"/>
      <c r="T358" s="222"/>
      <c r="U358" s="222"/>
      <c r="V358" s="222"/>
      <c r="W358" s="222"/>
    </row>
    <row r="359" spans="1:23" ht="16.5">
      <c r="A359" s="439" t="s">
        <v>242</v>
      </c>
      <c r="B359" s="246"/>
      <c r="C359" s="440"/>
      <c r="D359" s="19"/>
      <c r="E359" s="19"/>
      <c r="F359" s="19"/>
      <c r="G359" s="231"/>
      <c r="H359" s="231">
        <f>238500+224500</f>
        <v>463000</v>
      </c>
      <c r="I359" s="228"/>
      <c r="J359" s="38"/>
      <c r="K359" s="221"/>
      <c r="L359" s="37"/>
      <c r="M359" s="37"/>
      <c r="N359" s="16"/>
      <c r="O359" s="16"/>
      <c r="P359" s="16"/>
      <c r="Q359" s="222"/>
      <c r="R359" s="222"/>
      <c r="S359" s="222"/>
      <c r="T359" s="222"/>
      <c r="U359" s="222"/>
      <c r="V359" s="222"/>
      <c r="W359" s="222"/>
    </row>
    <row r="360" spans="1:23" ht="16.5">
      <c r="A360" s="246" t="s">
        <v>106</v>
      </c>
      <c r="B360" s="246"/>
      <c r="C360" s="440"/>
      <c r="D360" s="19"/>
      <c r="E360" s="16"/>
      <c r="F360" s="16"/>
      <c r="G360" s="231"/>
      <c r="H360" s="231">
        <f>238500+H363</f>
        <v>589190</v>
      </c>
      <c r="I360" s="228"/>
      <c r="J360" s="38"/>
      <c r="K360" s="221"/>
      <c r="L360" s="37"/>
      <c r="M360" s="37"/>
      <c r="N360" s="16"/>
      <c r="O360" s="16"/>
      <c r="P360" s="16"/>
      <c r="Q360" s="222"/>
      <c r="R360" s="222"/>
      <c r="S360" s="222"/>
      <c r="T360" s="222"/>
      <c r="U360" s="222"/>
      <c r="V360" s="222"/>
      <c r="W360" s="222"/>
    </row>
    <row r="361" spans="1:23" ht="16.5">
      <c r="A361" s="246"/>
      <c r="B361" s="246" t="s">
        <v>32</v>
      </c>
      <c r="C361" s="440"/>
      <c r="D361" s="19"/>
      <c r="E361" s="16"/>
      <c r="F361" s="16"/>
      <c r="G361" s="231"/>
      <c r="H361" s="231"/>
      <c r="I361" s="228"/>
      <c r="J361" s="38"/>
      <c r="K361" s="221"/>
      <c r="L361" s="37"/>
      <c r="M361" s="37"/>
      <c r="N361" s="16"/>
      <c r="O361" s="16"/>
      <c r="P361" s="16"/>
      <c r="Q361" s="222"/>
      <c r="R361" s="222"/>
      <c r="S361" s="222"/>
      <c r="T361" s="222"/>
      <c r="U361" s="222"/>
      <c r="V361" s="222"/>
      <c r="W361" s="222"/>
    </row>
    <row r="362" spans="1:23" ht="16.5">
      <c r="A362" s="246"/>
      <c r="B362" s="246" t="s">
        <v>108</v>
      </c>
      <c r="C362" s="440"/>
      <c r="D362" s="441"/>
      <c r="E362" s="16"/>
      <c r="F362" s="16"/>
      <c r="G362" s="231"/>
      <c r="H362" s="231">
        <v>224500</v>
      </c>
      <c r="I362" s="228"/>
      <c r="J362" s="38"/>
      <c r="K362" s="221"/>
      <c r="L362" s="37"/>
      <c r="M362" s="37"/>
      <c r="N362" s="16"/>
      <c r="O362" s="16"/>
      <c r="P362" s="16"/>
      <c r="Q362" s="222"/>
      <c r="R362" s="222"/>
      <c r="S362" s="222"/>
      <c r="T362" s="222"/>
      <c r="U362" s="222"/>
      <c r="V362" s="222"/>
      <c r="W362" s="222"/>
    </row>
    <row r="363" spans="1:23" ht="16.5">
      <c r="A363" s="246"/>
      <c r="B363" s="246" t="s">
        <v>109</v>
      </c>
      <c r="C363" s="440"/>
      <c r="D363" s="441"/>
      <c r="E363" s="16"/>
      <c r="F363" s="16"/>
      <c r="G363" s="231"/>
      <c r="H363" s="231">
        <f>H362+126190</f>
        <v>350690</v>
      </c>
      <c r="I363" s="228"/>
      <c r="J363" s="38"/>
      <c r="K363" s="221"/>
      <c r="L363" s="37"/>
      <c r="M363" s="37"/>
      <c r="N363" s="16"/>
      <c r="O363" s="16"/>
      <c r="P363" s="16"/>
      <c r="Q363" s="222"/>
      <c r="R363" s="222"/>
      <c r="S363" s="222"/>
      <c r="T363" s="222"/>
      <c r="U363" s="222"/>
      <c r="V363" s="222"/>
      <c r="W363" s="222"/>
    </row>
    <row r="364" spans="1:23" ht="16.5">
      <c r="A364" s="246"/>
      <c r="B364" s="246"/>
      <c r="C364" s="247"/>
      <c r="D364" s="19"/>
      <c r="E364" s="16"/>
      <c r="F364" s="16"/>
      <c r="G364" s="231"/>
      <c r="H364" s="231"/>
      <c r="I364" s="228"/>
      <c r="J364" s="38"/>
      <c r="K364" s="221"/>
      <c r="L364" s="37"/>
      <c r="M364" s="37"/>
      <c r="N364" s="16"/>
      <c r="O364" s="16"/>
      <c r="P364" s="16"/>
      <c r="Q364" s="222"/>
      <c r="R364" s="222"/>
      <c r="S364" s="222"/>
      <c r="T364" s="222"/>
      <c r="U364" s="222"/>
      <c r="V364" s="222"/>
      <c r="W364" s="222"/>
    </row>
    <row r="365" spans="1:23" ht="16.5">
      <c r="A365" s="246"/>
      <c r="B365" s="246" t="s">
        <v>243</v>
      </c>
      <c r="C365" s="440"/>
      <c r="D365" s="19"/>
      <c r="E365" s="16"/>
      <c r="F365" s="16"/>
      <c r="G365" s="231"/>
      <c r="H365" s="231">
        <v>238500</v>
      </c>
      <c r="I365" s="228"/>
      <c r="J365" s="38"/>
      <c r="K365" s="221"/>
      <c r="L365" s="37"/>
      <c r="M365" s="37"/>
      <c r="N365" s="16"/>
      <c r="O365" s="16"/>
      <c r="P365" s="16"/>
      <c r="Q365" s="222"/>
      <c r="R365" s="222"/>
      <c r="S365" s="222"/>
      <c r="T365" s="222"/>
      <c r="U365" s="222"/>
      <c r="V365" s="222"/>
      <c r="W365" s="222"/>
    </row>
    <row r="366" spans="1:23" ht="16.5">
      <c r="A366" s="246"/>
      <c r="B366" s="246" t="s">
        <v>109</v>
      </c>
      <c r="C366" s="440"/>
      <c r="D366" s="19"/>
      <c r="E366" s="16"/>
      <c r="F366" s="16"/>
      <c r="G366" s="231"/>
      <c r="H366" s="231">
        <f>H365-16200</f>
        <v>222300</v>
      </c>
      <c r="I366" s="228"/>
      <c r="J366" s="38"/>
      <c r="K366" s="221"/>
      <c r="L366" s="37"/>
      <c r="M366" s="37"/>
      <c r="N366" s="16"/>
      <c r="O366" s="16"/>
      <c r="P366" s="16"/>
      <c r="Q366" s="222"/>
      <c r="R366" s="222"/>
      <c r="S366" s="222"/>
      <c r="T366" s="222"/>
      <c r="U366" s="222"/>
      <c r="V366" s="222"/>
      <c r="W366" s="222"/>
    </row>
    <row r="367" spans="1:23" ht="16.5">
      <c r="A367" s="246"/>
      <c r="B367" s="246"/>
      <c r="C367" s="247"/>
      <c r="D367" s="19"/>
      <c r="E367" s="16"/>
      <c r="F367" s="16"/>
      <c r="G367" s="231"/>
      <c r="H367" s="231"/>
      <c r="I367" s="228"/>
      <c r="J367" s="38"/>
      <c r="K367" s="221"/>
      <c r="L367" s="37"/>
      <c r="M367" s="37"/>
      <c r="N367" s="16"/>
      <c r="O367" s="16"/>
      <c r="P367" s="16"/>
      <c r="Q367" s="222"/>
      <c r="R367" s="222"/>
      <c r="S367" s="222"/>
      <c r="T367" s="222"/>
      <c r="U367" s="222"/>
      <c r="V367" s="222"/>
      <c r="W367" s="222"/>
    </row>
    <row r="368" spans="1:23" ht="15.75">
      <c r="A368" s="155"/>
      <c r="B368" s="155"/>
      <c r="C368" s="243"/>
      <c r="D368" s="18"/>
      <c r="E368" s="16"/>
      <c r="F368" s="16"/>
      <c r="G368" s="231"/>
      <c r="H368" s="231"/>
      <c r="I368" s="228"/>
      <c r="J368" s="38"/>
      <c r="K368" s="221"/>
      <c r="L368" s="37"/>
      <c r="M368" s="37"/>
      <c r="N368" s="16"/>
      <c r="O368" s="16"/>
      <c r="P368" s="16"/>
      <c r="Q368" s="222"/>
      <c r="R368" s="222"/>
      <c r="S368" s="222"/>
      <c r="T368" s="222"/>
      <c r="U368" s="222"/>
      <c r="V368" s="222"/>
      <c r="W368" s="222"/>
    </row>
    <row r="369" spans="1:13" ht="16.5" customHeight="1">
      <c r="A369" s="182" t="s">
        <v>111</v>
      </c>
      <c r="B369" s="182"/>
      <c r="C369" s="282"/>
      <c r="D369" s="283"/>
      <c r="E369" s="283"/>
      <c r="F369" s="284"/>
      <c r="G369" s="283"/>
      <c r="H369" s="231"/>
      <c r="I369" s="156"/>
      <c r="J369" s="1"/>
      <c r="K369" s="285"/>
      <c r="L369" s="4"/>
      <c r="M369" s="4"/>
    </row>
    <row r="370" spans="1:13" ht="16.5" customHeight="1">
      <c r="A370" s="182"/>
      <c r="B370" s="182"/>
      <c r="C370" s="282"/>
      <c r="D370" s="283"/>
      <c r="E370" s="283"/>
      <c r="F370" s="284"/>
      <c r="G370" s="283"/>
      <c r="H370" s="231"/>
      <c r="I370" s="156"/>
      <c r="J370" s="1"/>
      <c r="K370" s="285"/>
      <c r="L370" s="4"/>
      <c r="M370" s="4"/>
    </row>
    <row r="371" spans="1:13" ht="16.5" customHeight="1">
      <c r="A371" s="182"/>
      <c r="B371" s="182"/>
      <c r="C371" s="282"/>
      <c r="D371" s="283"/>
      <c r="E371" s="283"/>
      <c r="F371" s="284"/>
      <c r="G371" s="283"/>
      <c r="H371" s="231"/>
      <c r="I371" s="156"/>
      <c r="J371" s="1"/>
      <c r="K371" s="285"/>
      <c r="L371" s="4"/>
      <c r="M371" s="4"/>
    </row>
    <row r="372" spans="1:13" ht="18" customHeight="1">
      <c r="A372" s="286" t="s">
        <v>112</v>
      </c>
      <c r="B372" s="286"/>
      <c r="C372" s="287"/>
      <c r="D372" s="288"/>
      <c r="E372" s="288"/>
      <c r="F372" s="289"/>
      <c r="G372" s="288"/>
      <c r="H372" s="17"/>
      <c r="I372" s="156"/>
      <c r="J372" s="1"/>
      <c r="K372" s="285"/>
      <c r="L372" s="4"/>
      <c r="M372" s="4"/>
    </row>
    <row r="373" spans="1:13" ht="18" customHeight="1">
      <c r="A373" s="286"/>
      <c r="B373" s="286"/>
      <c r="C373" s="287"/>
      <c r="D373" s="288"/>
      <c r="E373" s="288"/>
      <c r="F373" s="289"/>
      <c r="G373" s="288"/>
      <c r="H373" s="17"/>
      <c r="I373" s="156"/>
      <c r="J373" s="1"/>
      <c r="K373" s="285"/>
      <c r="L373" s="4"/>
      <c r="M373" s="4"/>
    </row>
    <row r="374" spans="1:13" ht="16.5" customHeight="1">
      <c r="A374" s="182" t="s">
        <v>113</v>
      </c>
      <c r="B374" s="182"/>
      <c r="C374" s="282"/>
      <c r="D374" s="283"/>
      <c r="E374" s="283"/>
      <c r="F374" s="284"/>
      <c r="G374" s="283"/>
      <c r="H374" s="231"/>
      <c r="I374" s="156"/>
      <c r="J374" s="1"/>
      <c r="K374" s="285"/>
      <c r="L374" s="4"/>
      <c r="M374" s="4"/>
    </row>
    <row r="375" spans="1:13" ht="16.5" customHeight="1">
      <c r="A375" s="182"/>
      <c r="B375" s="182"/>
      <c r="C375" s="282"/>
      <c r="D375" s="283"/>
      <c r="E375" s="283"/>
      <c r="F375" s="284"/>
      <c r="G375" s="283"/>
      <c r="H375" s="231"/>
      <c r="I375" s="156"/>
      <c r="J375" s="1"/>
      <c r="K375" s="285"/>
      <c r="L375" s="4"/>
      <c r="M375" s="4"/>
    </row>
    <row r="376" spans="1:13" ht="18.75">
      <c r="A376" s="286"/>
      <c r="B376" s="286"/>
      <c r="C376" s="287"/>
      <c r="D376" s="288"/>
      <c r="E376" s="288"/>
      <c r="F376" s="289"/>
      <c r="G376" s="288"/>
      <c r="H376" s="17"/>
      <c r="I376" s="290"/>
      <c r="J376" s="1"/>
      <c r="K376" s="285"/>
      <c r="L376" s="2"/>
      <c r="M376" s="2"/>
    </row>
    <row r="377" spans="1:13" ht="18.75">
      <c r="A377" s="286" t="s">
        <v>114</v>
      </c>
      <c r="B377" s="286"/>
      <c r="C377" s="287"/>
      <c r="D377" s="288"/>
      <c r="E377" s="288"/>
      <c r="F377" s="289"/>
      <c r="G377" s="288"/>
      <c r="I377" s="290"/>
      <c r="J377" s="1"/>
      <c r="K377" s="285"/>
      <c r="L377" s="2"/>
      <c r="M377" s="2"/>
    </row>
    <row r="378" spans="1:13" ht="18.75">
      <c r="A378" s="286"/>
      <c r="B378" s="286"/>
      <c r="C378" s="287"/>
      <c r="D378" s="288"/>
      <c r="E378" s="288"/>
      <c r="F378" s="289"/>
      <c r="G378" s="288"/>
      <c r="I378" s="290"/>
      <c r="J378" s="1"/>
      <c r="K378" s="285"/>
      <c r="L378" s="2"/>
      <c r="M378" s="2"/>
    </row>
    <row r="379" spans="1:13" ht="18.75">
      <c r="A379" s="286"/>
      <c r="B379" s="286"/>
      <c r="C379" s="287"/>
      <c r="D379" s="288"/>
      <c r="E379" s="288"/>
      <c r="F379" s="289"/>
      <c r="G379" s="288"/>
      <c r="I379" s="290"/>
      <c r="J379" s="1"/>
      <c r="K379" s="285"/>
      <c r="L379" s="2"/>
      <c r="M379" s="2"/>
    </row>
    <row r="380" spans="1:13" ht="18.75">
      <c r="A380" s="286"/>
      <c r="B380" s="286"/>
      <c r="C380" s="287"/>
      <c r="D380" s="288"/>
      <c r="E380" s="288"/>
      <c r="F380" s="289"/>
      <c r="G380" s="288"/>
      <c r="I380" s="290"/>
      <c r="J380" s="1"/>
      <c r="K380" s="285"/>
      <c r="L380" s="2"/>
      <c r="M380" s="2"/>
    </row>
    <row r="381" spans="1:11" ht="18.75">
      <c r="A381" s="179"/>
      <c r="B381" s="179"/>
      <c r="C381" s="180"/>
      <c r="D381" s="291"/>
      <c r="E381" s="291"/>
      <c r="F381" s="292" t="s">
        <v>115</v>
      </c>
      <c r="G381" s="291"/>
      <c r="I381" s="156"/>
      <c r="K381" s="158"/>
    </row>
    <row r="382" spans="1:11" ht="18.75">
      <c r="A382" s="179"/>
      <c r="B382" s="179"/>
      <c r="C382" s="180"/>
      <c r="D382" s="291"/>
      <c r="E382" s="291"/>
      <c r="F382" s="292" t="s">
        <v>116</v>
      </c>
      <c r="G382" s="291"/>
      <c r="I382" s="156"/>
      <c r="K382" s="158"/>
    </row>
    <row r="383" spans="1:11" ht="18.75">
      <c r="A383" s="179"/>
      <c r="B383" s="179"/>
      <c r="C383" s="180"/>
      <c r="D383" s="291"/>
      <c r="E383" s="291"/>
      <c r="F383" s="292"/>
      <c r="G383" s="291"/>
      <c r="I383" s="156"/>
      <c r="K383" s="158"/>
    </row>
    <row r="384" spans="1:11" ht="19.5">
      <c r="A384" s="179"/>
      <c r="B384" s="179"/>
      <c r="C384" s="180"/>
      <c r="D384" s="291"/>
      <c r="E384" s="291"/>
      <c r="F384" s="293" t="s">
        <v>117</v>
      </c>
      <c r="G384" s="291"/>
      <c r="I384" s="156"/>
      <c r="K384" s="158"/>
    </row>
    <row r="385" spans="1:11" ht="18.75">
      <c r="A385" s="152"/>
      <c r="B385" s="152"/>
      <c r="C385" s="152"/>
      <c r="I385" s="156"/>
      <c r="K385" s="158"/>
    </row>
    <row r="386" spans="1:11" ht="18.75">
      <c r="A386" s="152"/>
      <c r="B386" s="152"/>
      <c r="C386" s="152"/>
      <c r="I386" s="156"/>
      <c r="K386" s="158"/>
    </row>
    <row r="387" spans="1:11" ht="18.75">
      <c r="A387" s="152"/>
      <c r="B387" s="152"/>
      <c r="C387" s="152"/>
      <c r="I387" s="156"/>
      <c r="K387" s="158"/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18">
      <selection activeCell="J131" sqref="J131"/>
    </sheetView>
  </sheetViews>
  <sheetFormatPr defaultColWidth="9.140625" defaultRowHeight="12.75"/>
  <cols>
    <col min="1" max="1" width="4.57421875" style="315" customWidth="1"/>
    <col min="2" max="2" width="5.140625" style="136" customWidth="1"/>
    <col min="3" max="3" width="6.57421875" style="136" customWidth="1"/>
    <col min="4" max="4" width="5.28125" style="411" customWidth="1"/>
    <col min="5" max="5" width="48.57421875" style="137" customWidth="1"/>
    <col min="6" max="6" width="14.8515625" style="315" customWidth="1"/>
    <col min="7" max="7" width="13.421875" style="315" customWidth="1"/>
    <col min="8" max="8" width="7.421875" style="136" customWidth="1"/>
    <col min="9" max="9" width="20.8515625" style="136" customWidth="1"/>
    <col min="10" max="10" width="14.7109375" style="136" customWidth="1"/>
    <col min="11" max="16384" width="9.140625" style="136" customWidth="1"/>
  </cols>
  <sheetData>
    <row r="1" spans="1:7" ht="20.25">
      <c r="A1" s="332"/>
      <c r="B1" s="50"/>
      <c r="C1" s="50"/>
      <c r="D1" s="332"/>
      <c r="E1" s="115"/>
      <c r="F1" s="314" t="s">
        <v>211</v>
      </c>
      <c r="G1" s="295"/>
    </row>
    <row r="2" spans="1:7" ht="18.75">
      <c r="A2" s="332"/>
      <c r="B2" s="50"/>
      <c r="C2" s="50"/>
      <c r="D2" s="332"/>
      <c r="E2" s="115"/>
      <c r="F2" s="178" t="s">
        <v>272</v>
      </c>
      <c r="G2" s="295"/>
    </row>
    <row r="3" spans="1:7" ht="18.75">
      <c r="A3" s="332"/>
      <c r="B3" s="50"/>
      <c r="C3" s="50"/>
      <c r="D3" s="332"/>
      <c r="E3" s="115"/>
      <c r="F3" s="178" t="s">
        <v>116</v>
      </c>
      <c r="G3" s="295"/>
    </row>
    <row r="4" spans="1:7" ht="15.75">
      <c r="A4" s="332"/>
      <c r="B4" s="50"/>
      <c r="C4" s="50"/>
      <c r="D4" s="332"/>
      <c r="E4" s="115"/>
      <c r="F4" s="1" t="s">
        <v>254</v>
      </c>
      <c r="G4" s="295"/>
    </row>
    <row r="5" spans="1:7" ht="12.75">
      <c r="A5" s="332"/>
      <c r="B5" s="50"/>
      <c r="C5" s="50"/>
      <c r="D5" s="332"/>
      <c r="E5" s="115"/>
      <c r="F5" s="295"/>
      <c r="G5" s="295"/>
    </row>
    <row r="6" spans="1:7" ht="12.75">
      <c r="A6" s="332"/>
      <c r="B6" s="50"/>
      <c r="C6" s="50"/>
      <c r="D6" s="332"/>
      <c r="E6" s="115"/>
      <c r="F6" s="295"/>
      <c r="G6" s="295"/>
    </row>
    <row r="7" spans="1:7" ht="19.5">
      <c r="A7" s="332"/>
      <c r="B7" s="52"/>
      <c r="C7" s="53" t="s">
        <v>148</v>
      </c>
      <c r="D7" s="333"/>
      <c r="E7" s="116"/>
      <c r="F7" s="334"/>
      <c r="G7" s="334"/>
    </row>
    <row r="8" spans="1:7" ht="19.5">
      <c r="A8" s="332"/>
      <c r="B8" s="52"/>
      <c r="C8" s="53" t="s">
        <v>149</v>
      </c>
      <c r="D8" s="333"/>
      <c r="E8" s="116"/>
      <c r="F8" s="334"/>
      <c r="G8" s="335"/>
    </row>
    <row r="9" spans="1:7" ht="18.75">
      <c r="A9" s="332"/>
      <c r="B9" s="52"/>
      <c r="C9" s="54"/>
      <c r="D9" s="333"/>
      <c r="E9" s="116"/>
      <c r="F9" s="334"/>
      <c r="G9" s="334"/>
    </row>
    <row r="10" spans="1:7" ht="12.75">
      <c r="A10" s="332"/>
      <c r="B10" s="52" t="s">
        <v>33</v>
      </c>
      <c r="C10" s="55"/>
      <c r="D10" s="336"/>
      <c r="E10" s="116"/>
      <c r="F10" s="337" t="s">
        <v>43</v>
      </c>
      <c r="G10" s="337"/>
    </row>
    <row r="11" spans="1:7" ht="18.75" customHeight="1">
      <c r="A11" s="338"/>
      <c r="B11" s="117"/>
      <c r="C11" s="56"/>
      <c r="D11" s="339"/>
      <c r="E11" s="118"/>
      <c r="F11" s="340" t="s">
        <v>150</v>
      </c>
      <c r="G11" s="341"/>
    </row>
    <row r="12" spans="1:7" ht="16.5" customHeight="1">
      <c r="A12" s="305" t="s">
        <v>74</v>
      </c>
      <c r="B12" s="119" t="s">
        <v>44</v>
      </c>
      <c r="C12" s="57" t="s">
        <v>41</v>
      </c>
      <c r="D12" s="57" t="s">
        <v>36</v>
      </c>
      <c r="E12" s="120" t="s">
        <v>45</v>
      </c>
      <c r="F12" s="342"/>
      <c r="G12" s="343" t="s">
        <v>32</v>
      </c>
    </row>
    <row r="13" spans="1:10" ht="46.5" customHeight="1">
      <c r="A13" s="344"/>
      <c r="B13" s="121"/>
      <c r="C13" s="58"/>
      <c r="D13" s="345"/>
      <c r="E13" s="122"/>
      <c r="F13" s="346" t="s">
        <v>46</v>
      </c>
      <c r="G13" s="347" t="s">
        <v>47</v>
      </c>
      <c r="I13" s="348"/>
      <c r="J13" s="348"/>
    </row>
    <row r="14" spans="1:10" ht="21" customHeight="1">
      <c r="A14" s="338"/>
      <c r="B14" s="59" t="s">
        <v>48</v>
      </c>
      <c r="C14" s="60"/>
      <c r="D14" s="349"/>
      <c r="E14" s="123"/>
      <c r="F14" s="350">
        <f>F15+F33+F40+F45+F50+F53+F81+F84+F88+F94+F115</f>
        <v>29016199.880000003</v>
      </c>
      <c r="G14" s="350">
        <f>G15+G33+G40+G45+G50+G53+G81+G84+G88+G94+G115</f>
        <v>5445793</v>
      </c>
      <c r="I14" s="351"/>
      <c r="J14" s="351"/>
    </row>
    <row r="15" spans="1:10" ht="19.5" customHeight="1">
      <c r="A15" s="296"/>
      <c r="B15" s="63">
        <v>600</v>
      </c>
      <c r="C15" s="63"/>
      <c r="D15" s="352"/>
      <c r="E15" s="124" t="s">
        <v>49</v>
      </c>
      <c r="F15" s="125">
        <f>F16+F18</f>
        <v>8150357.05</v>
      </c>
      <c r="G15" s="146">
        <f>G16+G18</f>
        <v>2500000</v>
      </c>
      <c r="I15" s="353"/>
      <c r="J15" s="353"/>
    </row>
    <row r="16" spans="1:10" s="488" customFormat="1" ht="19.5" customHeight="1">
      <c r="A16" s="344"/>
      <c r="B16" s="79"/>
      <c r="C16" s="72">
        <v>60004</v>
      </c>
      <c r="D16" s="300"/>
      <c r="E16" s="485" t="s">
        <v>257</v>
      </c>
      <c r="F16" s="138">
        <f>F17</f>
        <v>20000</v>
      </c>
      <c r="G16" s="139"/>
      <c r="H16" s="486"/>
      <c r="I16" s="487"/>
      <c r="J16" s="487"/>
    </row>
    <row r="17" spans="1:10" s="488" customFormat="1" ht="19.5" customHeight="1">
      <c r="A17" s="344">
        <v>1</v>
      </c>
      <c r="B17" s="79"/>
      <c r="C17" s="72"/>
      <c r="D17" s="300">
        <v>6050</v>
      </c>
      <c r="E17" s="485" t="s">
        <v>256</v>
      </c>
      <c r="F17" s="138">
        <v>20000</v>
      </c>
      <c r="G17" s="139"/>
      <c r="H17" s="486"/>
      <c r="I17" s="487"/>
      <c r="J17" s="487"/>
    </row>
    <row r="18" spans="1:7" ht="18" customHeight="1">
      <c r="A18" s="344"/>
      <c r="B18" s="100"/>
      <c r="C18" s="97">
        <v>60016</v>
      </c>
      <c r="D18" s="354"/>
      <c r="E18" s="91" t="s">
        <v>50</v>
      </c>
      <c r="F18" s="126">
        <f>SUM(F19:F32)</f>
        <v>8130357.05</v>
      </c>
      <c r="G18" s="133">
        <f>SUM(G19:G32)</f>
        <v>2500000</v>
      </c>
    </row>
    <row r="19" spans="1:9" s="302" customFormat="1" ht="26.25" customHeight="1">
      <c r="A19" s="296">
        <v>2</v>
      </c>
      <c r="B19" s="298"/>
      <c r="C19" s="443"/>
      <c r="D19" s="300">
        <v>6050</v>
      </c>
      <c r="E19" s="81" t="s">
        <v>122</v>
      </c>
      <c r="F19" s="139">
        <v>3013000</v>
      </c>
      <c r="G19" s="139">
        <v>2000000</v>
      </c>
      <c r="H19" s="301"/>
      <c r="I19" s="301"/>
    </row>
    <row r="20" spans="1:8" s="302" customFormat="1" ht="38.25" customHeight="1">
      <c r="A20" s="296">
        <v>3</v>
      </c>
      <c r="B20" s="298"/>
      <c r="C20" s="443"/>
      <c r="D20" s="300">
        <v>6050</v>
      </c>
      <c r="E20" s="303" t="s">
        <v>123</v>
      </c>
      <c r="F20" s="138">
        <v>1857.05</v>
      </c>
      <c r="G20" s="139">
        <v>0</v>
      </c>
      <c r="H20" s="301"/>
    </row>
    <row r="21" spans="1:9" s="302" customFormat="1" ht="29.25" customHeight="1">
      <c r="A21" s="296">
        <v>4</v>
      </c>
      <c r="B21" s="304"/>
      <c r="C21" s="444"/>
      <c r="D21" s="300">
        <v>6050</v>
      </c>
      <c r="E21" s="69" t="s">
        <v>151</v>
      </c>
      <c r="F21" s="138">
        <v>1500000</v>
      </c>
      <c r="G21" s="139">
        <v>0</v>
      </c>
      <c r="I21" s="301"/>
    </row>
    <row r="22" spans="1:7" s="302" customFormat="1" ht="31.5" customHeight="1">
      <c r="A22" s="296">
        <v>5</v>
      </c>
      <c r="B22" s="304"/>
      <c r="C22" s="444"/>
      <c r="D22" s="300">
        <v>6050</v>
      </c>
      <c r="E22" s="69" t="s">
        <v>152</v>
      </c>
      <c r="F22" s="138">
        <v>90000</v>
      </c>
      <c r="G22" s="139">
        <v>0</v>
      </c>
    </row>
    <row r="23" spans="1:7" s="302" customFormat="1" ht="27" customHeight="1">
      <c r="A23" s="296">
        <v>6</v>
      </c>
      <c r="B23" s="304"/>
      <c r="C23" s="444"/>
      <c r="D23" s="300">
        <v>6050</v>
      </c>
      <c r="E23" s="69" t="s">
        <v>153</v>
      </c>
      <c r="F23" s="138">
        <f>2000000-78000</f>
        <v>1922000</v>
      </c>
      <c r="G23" s="139">
        <v>100000</v>
      </c>
    </row>
    <row r="24" spans="1:7" s="302" customFormat="1" ht="23.25" customHeight="1">
      <c r="A24" s="296">
        <v>7</v>
      </c>
      <c r="B24" s="304"/>
      <c r="C24" s="444"/>
      <c r="D24" s="300">
        <v>6050</v>
      </c>
      <c r="E24" s="69" t="s">
        <v>154</v>
      </c>
      <c r="F24" s="138">
        <v>1200000</v>
      </c>
      <c r="G24" s="139">
        <v>400000</v>
      </c>
    </row>
    <row r="25" spans="1:7" s="302" customFormat="1" ht="48.75" customHeight="1">
      <c r="A25" s="296">
        <v>9</v>
      </c>
      <c r="B25" s="304"/>
      <c r="C25" s="444"/>
      <c r="D25" s="300">
        <v>6050</v>
      </c>
      <c r="E25" s="69" t="s">
        <v>155</v>
      </c>
      <c r="F25" s="138">
        <f>148000-8000</f>
        <v>140000</v>
      </c>
      <c r="G25" s="139">
        <v>0</v>
      </c>
    </row>
    <row r="26" spans="1:7" s="302" customFormat="1" ht="24.75" customHeight="1">
      <c r="A26" s="296">
        <v>9</v>
      </c>
      <c r="B26" s="304"/>
      <c r="C26" s="444"/>
      <c r="D26" s="300">
        <v>6050</v>
      </c>
      <c r="E26" s="69" t="s">
        <v>156</v>
      </c>
      <c r="F26" s="138">
        <v>45000</v>
      </c>
      <c r="G26" s="139">
        <v>0</v>
      </c>
    </row>
    <row r="27" spans="1:7" s="302" customFormat="1" ht="32.25" customHeight="1">
      <c r="A27" s="344">
        <v>10</v>
      </c>
      <c r="B27" s="304"/>
      <c r="C27" s="444"/>
      <c r="D27" s="300">
        <v>6050</v>
      </c>
      <c r="E27" s="69" t="s">
        <v>157</v>
      </c>
      <c r="F27" s="138">
        <v>500</v>
      </c>
      <c r="G27" s="139">
        <v>0</v>
      </c>
    </row>
    <row r="28" spans="1:7" s="302" customFormat="1" ht="29.25" customHeight="1">
      <c r="A28" s="344">
        <v>11</v>
      </c>
      <c r="B28" s="304"/>
      <c r="C28" s="444"/>
      <c r="D28" s="300">
        <v>6050</v>
      </c>
      <c r="E28" s="69" t="s">
        <v>158</v>
      </c>
      <c r="F28" s="138">
        <v>21000</v>
      </c>
      <c r="G28" s="139">
        <v>0</v>
      </c>
    </row>
    <row r="29" spans="1:7" s="302" customFormat="1" ht="30.75" customHeight="1">
      <c r="A29" s="344">
        <v>12</v>
      </c>
      <c r="B29" s="304"/>
      <c r="C29" s="444"/>
      <c r="D29" s="300">
        <v>6050</v>
      </c>
      <c r="E29" s="69" t="s">
        <v>159</v>
      </c>
      <c r="F29" s="138">
        <v>30000</v>
      </c>
      <c r="G29" s="139">
        <v>0</v>
      </c>
    </row>
    <row r="30" spans="1:7" s="302" customFormat="1" ht="30.75" customHeight="1">
      <c r="A30" s="344">
        <v>13</v>
      </c>
      <c r="B30" s="304"/>
      <c r="C30" s="305"/>
      <c r="D30" s="300">
        <v>6050</v>
      </c>
      <c r="E30" s="69" t="s">
        <v>248</v>
      </c>
      <c r="F30" s="138">
        <v>3000</v>
      </c>
      <c r="G30" s="139">
        <v>0</v>
      </c>
    </row>
    <row r="31" spans="1:7" s="302" customFormat="1" ht="30.75" customHeight="1">
      <c r="A31" s="344">
        <v>14</v>
      </c>
      <c r="B31" s="304"/>
      <c r="C31" s="305"/>
      <c r="D31" s="489">
        <v>6050</v>
      </c>
      <c r="E31" s="494" t="s">
        <v>295</v>
      </c>
      <c r="F31" s="490">
        <v>64000</v>
      </c>
      <c r="G31" s="491"/>
    </row>
    <row r="32" spans="1:7" s="302" customFormat="1" ht="28.5" customHeight="1">
      <c r="A32" s="344">
        <v>15</v>
      </c>
      <c r="B32" s="304"/>
      <c r="C32" s="305"/>
      <c r="D32" s="300">
        <v>6050</v>
      </c>
      <c r="E32" s="69" t="s">
        <v>160</v>
      </c>
      <c r="F32" s="138">
        <v>100000</v>
      </c>
      <c r="G32" s="139">
        <v>0</v>
      </c>
    </row>
    <row r="33" spans="1:7" ht="27" customHeight="1">
      <c r="A33" s="355"/>
      <c r="B33" s="63">
        <v>700</v>
      </c>
      <c r="C33" s="63"/>
      <c r="D33" s="352"/>
      <c r="E33" s="127" t="s">
        <v>51</v>
      </c>
      <c r="F33" s="128">
        <f>F34+F36</f>
        <v>1574343</v>
      </c>
      <c r="G33" s="131">
        <f>G34+G36</f>
        <v>0</v>
      </c>
    </row>
    <row r="34" spans="1:7" ht="27" customHeight="1">
      <c r="A34" s="296"/>
      <c r="B34" s="68"/>
      <c r="C34" s="77">
        <v>70005</v>
      </c>
      <c r="D34" s="354"/>
      <c r="E34" s="91" t="s">
        <v>52</v>
      </c>
      <c r="F34" s="126">
        <f>SUM(F35:F35)</f>
        <v>913960</v>
      </c>
      <c r="G34" s="133">
        <f>SUM(G35:G35)</f>
        <v>0</v>
      </c>
    </row>
    <row r="35" spans="1:7" ht="30" customHeight="1">
      <c r="A35" s="296">
        <v>16</v>
      </c>
      <c r="B35" s="78"/>
      <c r="C35" s="445"/>
      <c r="D35" s="300">
        <v>6060</v>
      </c>
      <c r="E35" s="69" t="s">
        <v>53</v>
      </c>
      <c r="F35" s="95">
        <f>866460+45000+2500</f>
        <v>913960</v>
      </c>
      <c r="G35" s="95">
        <v>0</v>
      </c>
    </row>
    <row r="36" spans="1:7" ht="24.75" customHeight="1">
      <c r="A36" s="296"/>
      <c r="B36" s="70"/>
      <c r="C36" s="80">
        <v>70095</v>
      </c>
      <c r="D36" s="356"/>
      <c r="E36" s="91" t="s">
        <v>54</v>
      </c>
      <c r="F36" s="126">
        <f>SUM(F37:F39)</f>
        <v>660383</v>
      </c>
      <c r="G36" s="133">
        <f>SUM(G37:G39)</f>
        <v>0</v>
      </c>
    </row>
    <row r="37" spans="1:7" ht="34.5" customHeight="1">
      <c r="A37" s="296">
        <v>17</v>
      </c>
      <c r="B37" s="70"/>
      <c r="C37" s="446"/>
      <c r="D37" s="296">
        <v>6050</v>
      </c>
      <c r="E37" s="81" t="s">
        <v>161</v>
      </c>
      <c r="F37" s="95">
        <v>574383</v>
      </c>
      <c r="G37" s="95">
        <v>0</v>
      </c>
    </row>
    <row r="38" spans="1:7" ht="34.5" customHeight="1">
      <c r="A38" s="296">
        <v>18</v>
      </c>
      <c r="B38" s="70"/>
      <c r="C38" s="446"/>
      <c r="D38" s="296">
        <v>6050</v>
      </c>
      <c r="E38" s="81" t="s">
        <v>258</v>
      </c>
      <c r="F38" s="95">
        <v>75000</v>
      </c>
      <c r="G38" s="95"/>
    </row>
    <row r="39" spans="1:7" s="137" customFormat="1" ht="36.75" customHeight="1">
      <c r="A39" s="296">
        <v>19</v>
      </c>
      <c r="B39" s="78"/>
      <c r="C39" s="445"/>
      <c r="D39" s="296">
        <v>6050</v>
      </c>
      <c r="E39" s="81" t="s">
        <v>162</v>
      </c>
      <c r="F39" s="95">
        <v>11000</v>
      </c>
      <c r="G39" s="95">
        <v>0</v>
      </c>
    </row>
    <row r="40" spans="1:7" ht="27" customHeight="1">
      <c r="A40" s="357"/>
      <c r="B40" s="63">
        <v>750</v>
      </c>
      <c r="C40" s="63"/>
      <c r="D40" s="352"/>
      <c r="E40" s="89" t="s">
        <v>56</v>
      </c>
      <c r="F40" s="129">
        <f>F41+F43</f>
        <v>900000</v>
      </c>
      <c r="G40" s="358">
        <f>G41+G43</f>
        <v>0</v>
      </c>
    </row>
    <row r="41" spans="1:7" ht="30.75" customHeight="1">
      <c r="A41" s="296"/>
      <c r="B41" s="359"/>
      <c r="C41" s="80">
        <v>75023</v>
      </c>
      <c r="D41" s="356"/>
      <c r="E41" s="92" t="s">
        <v>57</v>
      </c>
      <c r="F41" s="130">
        <f>SUM(F42:F42)</f>
        <v>250000</v>
      </c>
      <c r="G41" s="360">
        <f>SUM(G42:G42)</f>
        <v>0</v>
      </c>
    </row>
    <row r="42" spans="1:7" ht="28.5" customHeight="1">
      <c r="A42" s="296">
        <v>20</v>
      </c>
      <c r="B42" s="361"/>
      <c r="C42" s="362"/>
      <c r="D42" s="363">
        <v>6060</v>
      </c>
      <c r="E42" s="140" t="s">
        <v>163</v>
      </c>
      <c r="F42" s="364">
        <v>250000</v>
      </c>
      <c r="G42" s="141">
        <v>0</v>
      </c>
    </row>
    <row r="43" spans="1:7" ht="21.75" customHeight="1">
      <c r="A43" s="296"/>
      <c r="B43" s="83"/>
      <c r="C43" s="97">
        <v>75095</v>
      </c>
      <c r="D43" s="356"/>
      <c r="E43" s="92" t="s">
        <v>54</v>
      </c>
      <c r="F43" s="130">
        <f>SUM(F44:F44)</f>
        <v>650000</v>
      </c>
      <c r="G43" s="360">
        <f>SUM(G44:G44)</f>
        <v>0</v>
      </c>
    </row>
    <row r="44" spans="1:7" ht="33" customHeight="1">
      <c r="A44" s="296">
        <v>21</v>
      </c>
      <c r="B44" s="83"/>
      <c r="C44" s="446"/>
      <c r="D44" s="365">
        <v>6050</v>
      </c>
      <c r="E44" s="81" t="s">
        <v>124</v>
      </c>
      <c r="F44" s="95">
        <f>950000-300000</f>
        <v>650000</v>
      </c>
      <c r="G44" s="95">
        <v>0</v>
      </c>
    </row>
    <row r="45" spans="1:7" ht="30" customHeight="1">
      <c r="A45" s="357"/>
      <c r="B45" s="63">
        <v>754</v>
      </c>
      <c r="C45" s="63"/>
      <c r="D45" s="357"/>
      <c r="E45" s="108" t="s">
        <v>58</v>
      </c>
      <c r="F45" s="131">
        <f>F46+F48</f>
        <v>23000</v>
      </c>
      <c r="G45" s="131">
        <f>G46+G48</f>
        <v>0</v>
      </c>
    </row>
    <row r="46" spans="1:7" ht="21.75" customHeight="1">
      <c r="A46" s="296"/>
      <c r="B46" s="86"/>
      <c r="C46" s="68">
        <v>75412</v>
      </c>
      <c r="D46" s="309"/>
      <c r="E46" s="132" t="s">
        <v>125</v>
      </c>
      <c r="F46" s="133">
        <f>F47</f>
        <v>6000</v>
      </c>
      <c r="G46" s="133">
        <f>G47</f>
        <v>0</v>
      </c>
    </row>
    <row r="47" spans="1:7" ht="27.75" customHeight="1">
      <c r="A47" s="296">
        <v>22</v>
      </c>
      <c r="B47" s="134"/>
      <c r="C47" s="84"/>
      <c r="D47" s="300">
        <v>6060</v>
      </c>
      <c r="E47" s="69" t="s">
        <v>126</v>
      </c>
      <c r="F47" s="95">
        <v>6000</v>
      </c>
      <c r="G47" s="95"/>
    </row>
    <row r="48" spans="1:7" ht="22.5" customHeight="1">
      <c r="A48" s="296"/>
      <c r="B48" s="86"/>
      <c r="C48" s="80">
        <v>75414</v>
      </c>
      <c r="D48" s="309"/>
      <c r="E48" s="132" t="s">
        <v>59</v>
      </c>
      <c r="F48" s="130">
        <f>SUM(F49)</f>
        <v>17000</v>
      </c>
      <c r="G48" s="360">
        <f>SUM(G49)</f>
        <v>0</v>
      </c>
    </row>
    <row r="49" spans="1:7" ht="26.25" customHeight="1">
      <c r="A49" s="296">
        <v>23</v>
      </c>
      <c r="B49" s="78"/>
      <c r="C49" s="85"/>
      <c r="D49" s="365">
        <v>6060</v>
      </c>
      <c r="E49" s="69" t="s">
        <v>126</v>
      </c>
      <c r="F49" s="139">
        <v>17000</v>
      </c>
      <c r="G49" s="139">
        <v>0</v>
      </c>
    </row>
    <row r="50" spans="1:7" ht="21.75" customHeight="1">
      <c r="A50" s="366"/>
      <c r="B50" s="63">
        <v>758</v>
      </c>
      <c r="C50" s="63"/>
      <c r="D50" s="352"/>
      <c r="E50" s="127" t="s">
        <v>60</v>
      </c>
      <c r="F50" s="128">
        <f>F51</f>
        <v>340690</v>
      </c>
      <c r="G50" s="131">
        <f>G51</f>
        <v>0</v>
      </c>
    </row>
    <row r="51" spans="1:7" ht="22.5" customHeight="1">
      <c r="A51" s="305"/>
      <c r="B51" s="66"/>
      <c r="C51" s="74">
        <v>75818</v>
      </c>
      <c r="D51" s="356"/>
      <c r="E51" s="92" t="s">
        <v>61</v>
      </c>
      <c r="F51" s="130">
        <f>F52</f>
        <v>340690</v>
      </c>
      <c r="G51" s="360">
        <f>G52</f>
        <v>0</v>
      </c>
    </row>
    <row r="52" spans="1:7" ht="28.5" customHeight="1">
      <c r="A52" s="305"/>
      <c r="B52" s="87"/>
      <c r="C52" s="85"/>
      <c r="D52" s="365">
        <v>6800</v>
      </c>
      <c r="E52" s="82" t="s">
        <v>62</v>
      </c>
      <c r="F52" s="484">
        <f>400000-200000+24500-10000+174688-2498-40000-6000</f>
        <v>340690</v>
      </c>
      <c r="G52" s="139">
        <f>500000-500000</f>
        <v>0</v>
      </c>
    </row>
    <row r="53" spans="1:7" ht="24.75" customHeight="1">
      <c r="A53" s="344"/>
      <c r="B53" s="62">
        <v>801</v>
      </c>
      <c r="C53" s="85"/>
      <c r="D53" s="365"/>
      <c r="E53" s="93" t="s">
        <v>63</v>
      </c>
      <c r="F53" s="129">
        <f>F54+F62+F72+F74</f>
        <v>1229478</v>
      </c>
      <c r="G53" s="358">
        <f>G54+G62+G72+G74</f>
        <v>0</v>
      </c>
    </row>
    <row r="54" spans="1:7" ht="24" customHeight="1">
      <c r="A54" s="365"/>
      <c r="B54" s="66"/>
      <c r="C54" s="100">
        <v>80101</v>
      </c>
      <c r="D54" s="356"/>
      <c r="E54" s="92" t="s">
        <v>64</v>
      </c>
      <c r="F54" s="130">
        <f>SUM(F55:F61)</f>
        <v>950000</v>
      </c>
      <c r="G54" s="360">
        <f>SUM(G55:G61)</f>
        <v>0</v>
      </c>
    </row>
    <row r="55" spans="1:7" ht="34.5" customHeight="1">
      <c r="A55" s="365">
        <v>24</v>
      </c>
      <c r="B55" s="86"/>
      <c r="C55" s="367"/>
      <c r="D55" s="300">
        <v>6050</v>
      </c>
      <c r="E55" s="81" t="s">
        <v>164</v>
      </c>
      <c r="F55" s="96">
        <f>40000+30000</f>
        <v>70000</v>
      </c>
      <c r="G55" s="139">
        <v>0</v>
      </c>
    </row>
    <row r="56" spans="1:9" ht="27.75" customHeight="1">
      <c r="A56" s="365">
        <v>25</v>
      </c>
      <c r="B56" s="86"/>
      <c r="C56" s="100"/>
      <c r="D56" s="300">
        <v>6050</v>
      </c>
      <c r="E56" s="69" t="s">
        <v>165</v>
      </c>
      <c r="F56" s="96">
        <v>600000</v>
      </c>
      <c r="G56" s="139">
        <v>0</v>
      </c>
      <c r="I56" s="368"/>
    </row>
    <row r="57" spans="1:7" ht="23.25" customHeight="1">
      <c r="A57" s="365">
        <v>26</v>
      </c>
      <c r="B57" s="86"/>
      <c r="C57" s="100"/>
      <c r="D57" s="369">
        <v>6050</v>
      </c>
      <c r="E57" s="370" t="s">
        <v>166</v>
      </c>
      <c r="F57" s="95">
        <v>9000</v>
      </c>
      <c r="G57" s="139">
        <v>0</v>
      </c>
    </row>
    <row r="58" spans="1:7" ht="34.5" customHeight="1">
      <c r="A58" s="365">
        <v>27</v>
      </c>
      <c r="B58" s="87"/>
      <c r="C58" s="100"/>
      <c r="D58" s="369">
        <v>6050</v>
      </c>
      <c r="E58" s="370" t="s">
        <v>167</v>
      </c>
      <c r="F58" s="95">
        <v>50000</v>
      </c>
      <c r="G58" s="139">
        <v>0</v>
      </c>
    </row>
    <row r="59" spans="1:7" ht="34.5" customHeight="1">
      <c r="A59" s="365">
        <v>28</v>
      </c>
      <c r="B59" s="87"/>
      <c r="C59" s="100"/>
      <c r="D59" s="369">
        <v>6050</v>
      </c>
      <c r="E59" s="370" t="s">
        <v>245</v>
      </c>
      <c r="F59" s="95">
        <v>200000</v>
      </c>
      <c r="G59" s="139">
        <v>0</v>
      </c>
    </row>
    <row r="60" spans="1:7" ht="24.75" customHeight="1">
      <c r="A60" s="365">
        <v>29</v>
      </c>
      <c r="B60" s="87"/>
      <c r="C60" s="79"/>
      <c r="D60" s="369">
        <v>6060</v>
      </c>
      <c r="E60" s="371" t="s">
        <v>168</v>
      </c>
      <c r="F60" s="95">
        <v>15000</v>
      </c>
      <c r="G60" s="139">
        <v>0</v>
      </c>
    </row>
    <row r="61" spans="1:7" ht="34.5" customHeight="1">
      <c r="A61" s="365">
        <v>30</v>
      </c>
      <c r="B61" s="87"/>
      <c r="C61" s="85"/>
      <c r="D61" s="369">
        <v>6060</v>
      </c>
      <c r="E61" s="371" t="s">
        <v>169</v>
      </c>
      <c r="F61" s="95">
        <v>6000</v>
      </c>
      <c r="G61" s="139">
        <v>0</v>
      </c>
    </row>
    <row r="62" spans="1:7" ht="18.75" customHeight="1">
      <c r="A62" s="365"/>
      <c r="B62" s="86"/>
      <c r="C62" s="77">
        <v>80104</v>
      </c>
      <c r="D62" s="354"/>
      <c r="E62" s="91" t="s">
        <v>65</v>
      </c>
      <c r="F62" s="126">
        <f>SUM(F63:F71)</f>
        <v>206720</v>
      </c>
      <c r="G62" s="133">
        <f>SUM(G63:G71)</f>
        <v>0</v>
      </c>
    </row>
    <row r="63" spans="1:7" s="372" customFormat="1" ht="25.5" customHeight="1">
      <c r="A63" s="365">
        <v>31</v>
      </c>
      <c r="B63" s="87"/>
      <c r="C63" s="445"/>
      <c r="D63" s="369">
        <v>6050</v>
      </c>
      <c r="E63" s="69" t="s">
        <v>170</v>
      </c>
      <c r="F63" s="96">
        <f>26000+78000</f>
        <v>104000</v>
      </c>
      <c r="G63" s="95">
        <v>0</v>
      </c>
    </row>
    <row r="64" spans="1:7" s="372" customFormat="1" ht="25.5" customHeight="1">
      <c r="A64" s="365">
        <v>32</v>
      </c>
      <c r="B64" s="87"/>
      <c r="C64" s="79"/>
      <c r="D64" s="369">
        <v>6050</v>
      </c>
      <c r="E64" s="69" t="s">
        <v>262</v>
      </c>
      <c r="F64" s="96">
        <v>40000</v>
      </c>
      <c r="G64" s="95"/>
    </row>
    <row r="65" spans="1:7" s="372" customFormat="1" ht="25.5" customHeight="1">
      <c r="A65" s="365">
        <v>33</v>
      </c>
      <c r="B65" s="87"/>
      <c r="C65" s="79"/>
      <c r="D65" s="493">
        <v>6050</v>
      </c>
      <c r="E65" s="494" t="s">
        <v>289</v>
      </c>
      <c r="F65" s="495">
        <v>11600</v>
      </c>
      <c r="G65" s="492"/>
    </row>
    <row r="66" spans="1:7" s="372" customFormat="1" ht="25.5" customHeight="1">
      <c r="A66" s="365">
        <v>35</v>
      </c>
      <c r="B66" s="87"/>
      <c r="C66" s="79"/>
      <c r="D66" s="493">
        <v>6060</v>
      </c>
      <c r="E66" s="494" t="s">
        <v>290</v>
      </c>
      <c r="F66" s="495">
        <v>7500</v>
      </c>
      <c r="G66" s="492"/>
    </row>
    <row r="67" spans="1:7" s="372" customFormat="1" ht="25.5" customHeight="1">
      <c r="A67" s="365">
        <v>35</v>
      </c>
      <c r="B67" s="87"/>
      <c r="C67" s="79"/>
      <c r="D67" s="493">
        <v>6060</v>
      </c>
      <c r="E67" s="494" t="s">
        <v>294</v>
      </c>
      <c r="F67" s="495">
        <v>7300</v>
      </c>
      <c r="G67" s="492"/>
    </row>
    <row r="68" spans="1:7" s="372" customFormat="1" ht="25.5" customHeight="1">
      <c r="A68" s="365">
        <v>36</v>
      </c>
      <c r="B68" s="87"/>
      <c r="C68" s="79"/>
      <c r="D68" s="493">
        <v>6060</v>
      </c>
      <c r="E68" s="494" t="s">
        <v>297</v>
      </c>
      <c r="F68" s="495">
        <v>10320</v>
      </c>
      <c r="G68" s="492"/>
    </row>
    <row r="69" spans="1:7" ht="30" customHeight="1">
      <c r="A69" s="365">
        <v>37</v>
      </c>
      <c r="B69" s="87"/>
      <c r="C69" s="79"/>
      <c r="D69" s="373">
        <v>6060</v>
      </c>
      <c r="E69" s="371" t="s">
        <v>171</v>
      </c>
      <c r="F69" s="95">
        <v>11000</v>
      </c>
      <c r="G69" s="139">
        <v>0</v>
      </c>
    </row>
    <row r="70" spans="1:7" ht="29.25" customHeight="1">
      <c r="A70" s="365">
        <v>38</v>
      </c>
      <c r="B70" s="87"/>
      <c r="C70" s="79"/>
      <c r="D70" s="373">
        <v>6060</v>
      </c>
      <c r="E70" s="371" t="s">
        <v>172</v>
      </c>
      <c r="F70" s="95">
        <v>7000</v>
      </c>
      <c r="G70" s="139">
        <v>0</v>
      </c>
    </row>
    <row r="71" spans="1:7" ht="30" customHeight="1">
      <c r="A71" s="365">
        <v>39</v>
      </c>
      <c r="B71" s="87"/>
      <c r="C71" s="79"/>
      <c r="D71" s="373">
        <v>6060</v>
      </c>
      <c r="E71" s="371" t="s">
        <v>173</v>
      </c>
      <c r="F71" s="95">
        <v>8000</v>
      </c>
      <c r="G71" s="139">
        <v>0</v>
      </c>
    </row>
    <row r="72" spans="1:7" ht="19.5" customHeight="1">
      <c r="A72" s="365"/>
      <c r="B72" s="87"/>
      <c r="C72" s="77">
        <v>80110</v>
      </c>
      <c r="D72" s="354"/>
      <c r="E72" s="91" t="s">
        <v>127</v>
      </c>
      <c r="F72" s="126">
        <f>F73</f>
        <v>30000</v>
      </c>
      <c r="G72" s="126">
        <f>G73</f>
        <v>0</v>
      </c>
    </row>
    <row r="73" spans="1:7" ht="31.5" customHeight="1">
      <c r="A73" s="365">
        <v>40</v>
      </c>
      <c r="B73" s="87"/>
      <c r="C73" s="100"/>
      <c r="D73" s="145">
        <v>6050</v>
      </c>
      <c r="E73" s="81" t="s">
        <v>174</v>
      </c>
      <c r="F73" s="96">
        <v>30000</v>
      </c>
      <c r="G73" s="95">
        <v>0</v>
      </c>
    </row>
    <row r="74" spans="1:7" s="311" customFormat="1" ht="22.5" customHeight="1">
      <c r="A74" s="356"/>
      <c r="B74" s="86"/>
      <c r="C74" s="77">
        <v>80148</v>
      </c>
      <c r="D74" s="354"/>
      <c r="E74" s="91" t="s">
        <v>146</v>
      </c>
      <c r="F74" s="126">
        <f>SUM(F75:F80)</f>
        <v>42758</v>
      </c>
      <c r="G74" s="133">
        <f>SUM(G75:G80)</f>
        <v>0</v>
      </c>
    </row>
    <row r="75" spans="1:7" ht="27" customHeight="1">
      <c r="A75" s="365">
        <v>41</v>
      </c>
      <c r="B75" s="87"/>
      <c r="C75" s="100"/>
      <c r="D75" s="373">
        <v>6060</v>
      </c>
      <c r="E75" s="371" t="s">
        <v>175</v>
      </c>
      <c r="F75" s="96">
        <f>12000-5400</f>
        <v>6600</v>
      </c>
      <c r="G75" s="95">
        <v>0</v>
      </c>
    </row>
    <row r="76" spans="1:7" ht="27" customHeight="1">
      <c r="A76" s="365">
        <v>42</v>
      </c>
      <c r="B76" s="87"/>
      <c r="C76" s="100"/>
      <c r="D76" s="373">
        <v>6060</v>
      </c>
      <c r="E76" s="371" t="s">
        <v>246</v>
      </c>
      <c r="F76" s="96">
        <v>5400</v>
      </c>
      <c r="G76" s="95">
        <v>0</v>
      </c>
    </row>
    <row r="77" spans="1:7" ht="27" customHeight="1">
      <c r="A77" s="365">
        <v>43</v>
      </c>
      <c r="B77" s="87"/>
      <c r="C77" s="100"/>
      <c r="D77" s="373">
        <v>6060</v>
      </c>
      <c r="E77" s="371" t="s">
        <v>176</v>
      </c>
      <c r="F77" s="96">
        <f>12000-2442</f>
        <v>9558</v>
      </c>
      <c r="G77" s="95">
        <v>0</v>
      </c>
    </row>
    <row r="78" spans="1:7" ht="27" customHeight="1">
      <c r="A78" s="365">
        <v>44</v>
      </c>
      <c r="B78" s="87"/>
      <c r="C78" s="100"/>
      <c r="D78" s="373">
        <v>6060</v>
      </c>
      <c r="E78" s="371" t="s">
        <v>177</v>
      </c>
      <c r="F78" s="96">
        <v>7000</v>
      </c>
      <c r="G78" s="95">
        <v>0</v>
      </c>
    </row>
    <row r="79" spans="1:7" ht="27.75" customHeight="1">
      <c r="A79" s="365">
        <v>45</v>
      </c>
      <c r="B79" s="87"/>
      <c r="C79" s="79"/>
      <c r="D79" s="373">
        <v>6060</v>
      </c>
      <c r="E79" s="371" t="s">
        <v>178</v>
      </c>
      <c r="F79" s="96">
        <v>6200</v>
      </c>
      <c r="G79" s="139">
        <v>0</v>
      </c>
    </row>
    <row r="80" spans="1:7" ht="27.75" customHeight="1">
      <c r="A80" s="365">
        <v>46</v>
      </c>
      <c r="B80" s="88"/>
      <c r="C80" s="79"/>
      <c r="D80" s="373">
        <v>6060</v>
      </c>
      <c r="E80" s="371" t="s">
        <v>179</v>
      </c>
      <c r="F80" s="96">
        <v>8000</v>
      </c>
      <c r="G80" s="139">
        <v>0</v>
      </c>
    </row>
    <row r="81" spans="1:7" s="306" customFormat="1" ht="18.75" customHeight="1">
      <c r="A81" s="357"/>
      <c r="B81" s="374">
        <v>851</v>
      </c>
      <c r="C81" s="63"/>
      <c r="D81" s="375"/>
      <c r="E81" s="89" t="s">
        <v>66</v>
      </c>
      <c r="F81" s="128">
        <f>F82</f>
        <v>7500</v>
      </c>
      <c r="G81" s="131">
        <f>G82</f>
        <v>0</v>
      </c>
    </row>
    <row r="82" spans="1:7" s="311" customFormat="1" ht="19.5" customHeight="1">
      <c r="A82" s="309"/>
      <c r="B82" s="376"/>
      <c r="C82" s="80">
        <v>85154</v>
      </c>
      <c r="D82" s="309"/>
      <c r="E82" s="307" t="s">
        <v>180</v>
      </c>
      <c r="F82" s="126">
        <f>F83</f>
        <v>7500</v>
      </c>
      <c r="G82" s="147"/>
    </row>
    <row r="83" spans="1:7" ht="33.75" customHeight="1">
      <c r="A83" s="296">
        <v>47</v>
      </c>
      <c r="B83" s="134"/>
      <c r="C83" s="78"/>
      <c r="D83" s="300">
        <v>6220</v>
      </c>
      <c r="E83" s="69" t="s">
        <v>181</v>
      </c>
      <c r="F83" s="138">
        <v>7500</v>
      </c>
      <c r="G83" s="139">
        <v>0</v>
      </c>
    </row>
    <row r="84" spans="1:7" ht="20.25" customHeight="1">
      <c r="A84" s="296"/>
      <c r="B84" s="64">
        <v>852</v>
      </c>
      <c r="C84" s="63"/>
      <c r="D84" s="375"/>
      <c r="E84" s="89" t="s">
        <v>118</v>
      </c>
      <c r="F84" s="128">
        <f>F85</f>
        <v>55000</v>
      </c>
      <c r="G84" s="131">
        <f>G85</f>
        <v>0</v>
      </c>
    </row>
    <row r="85" spans="1:7" s="311" customFormat="1" ht="25.5" customHeight="1">
      <c r="A85" s="309"/>
      <c r="B85" s="67"/>
      <c r="C85" s="80">
        <v>85219</v>
      </c>
      <c r="D85" s="309"/>
      <c r="E85" s="307" t="s">
        <v>182</v>
      </c>
      <c r="F85" s="126">
        <f>F86+F87</f>
        <v>55000</v>
      </c>
      <c r="G85" s="147"/>
    </row>
    <row r="86" spans="1:7" ht="34.5" customHeight="1">
      <c r="A86" s="296">
        <v>48</v>
      </c>
      <c r="B86" s="134"/>
      <c r="C86" s="78"/>
      <c r="D86" s="300">
        <v>6050</v>
      </c>
      <c r="E86" s="69" t="s">
        <v>183</v>
      </c>
      <c r="F86" s="138">
        <v>15000</v>
      </c>
      <c r="G86" s="139">
        <v>0</v>
      </c>
    </row>
    <row r="87" spans="1:7" ht="34.5" customHeight="1">
      <c r="A87" s="296">
        <v>49</v>
      </c>
      <c r="B87" s="134"/>
      <c r="C87" s="78"/>
      <c r="D87" s="837">
        <v>6060</v>
      </c>
      <c r="E87" s="494" t="s">
        <v>485</v>
      </c>
      <c r="F87" s="490">
        <v>40000</v>
      </c>
      <c r="G87" s="491"/>
    </row>
    <row r="88" spans="1:7" ht="30" customHeight="1">
      <c r="A88" s="296"/>
      <c r="B88" s="62">
        <v>853</v>
      </c>
      <c r="C88" s="76"/>
      <c r="D88" s="377"/>
      <c r="E88" s="143" t="s">
        <v>77</v>
      </c>
      <c r="F88" s="128">
        <f>F89</f>
        <v>841981.88</v>
      </c>
      <c r="G88" s="131">
        <f>G89</f>
        <v>0</v>
      </c>
    </row>
    <row r="89" spans="1:7" ht="24" customHeight="1">
      <c r="A89" s="145"/>
      <c r="B89" s="62"/>
      <c r="C89" s="77">
        <v>85395</v>
      </c>
      <c r="D89" s="378"/>
      <c r="E89" s="91" t="s">
        <v>78</v>
      </c>
      <c r="F89" s="126">
        <f>SUM(F90:F93)</f>
        <v>841981.88</v>
      </c>
      <c r="G89" s="133">
        <f>SUM(G90:G93)</f>
        <v>0</v>
      </c>
    </row>
    <row r="90" spans="1:10" ht="34.5" customHeight="1">
      <c r="A90" s="841">
        <v>50</v>
      </c>
      <c r="B90" s="455"/>
      <c r="C90" s="100"/>
      <c r="D90" s="296">
        <v>6237</v>
      </c>
      <c r="E90" s="316" t="s">
        <v>29</v>
      </c>
      <c r="F90" s="96">
        <v>35684.6</v>
      </c>
      <c r="G90" s="133">
        <v>0</v>
      </c>
      <c r="J90" s="297"/>
    </row>
    <row r="91" spans="1:7" ht="34.5" customHeight="1">
      <c r="A91" s="842"/>
      <c r="B91" s="455"/>
      <c r="C91" s="100"/>
      <c r="D91" s="296">
        <v>6239</v>
      </c>
      <c r="E91" s="316" t="s">
        <v>29</v>
      </c>
      <c r="F91" s="96">
        <v>6297.28</v>
      </c>
      <c r="G91" s="133">
        <v>0</v>
      </c>
    </row>
    <row r="92" spans="1:7" ht="36.75" customHeight="1">
      <c r="A92" s="456">
        <v>51</v>
      </c>
      <c r="B92" s="87"/>
      <c r="C92" s="446"/>
      <c r="D92" s="377">
        <v>6237</v>
      </c>
      <c r="E92" s="69" t="s">
        <v>184</v>
      </c>
      <c r="F92" s="138">
        <v>680000</v>
      </c>
      <c r="G92" s="139">
        <v>0</v>
      </c>
    </row>
    <row r="93" spans="1:7" ht="31.5" customHeight="1">
      <c r="A93" s="379"/>
      <c r="B93" s="88"/>
      <c r="C93" s="445"/>
      <c r="D93" s="377">
        <v>6239</v>
      </c>
      <c r="E93" s="69" t="s">
        <v>184</v>
      </c>
      <c r="F93" s="138">
        <v>120000</v>
      </c>
      <c r="G93" s="139">
        <v>0</v>
      </c>
    </row>
    <row r="94" spans="1:7" ht="30" customHeight="1">
      <c r="A94" s="357"/>
      <c r="B94" s="88">
        <v>900</v>
      </c>
      <c r="C94" s="63"/>
      <c r="D94" s="352"/>
      <c r="E94" s="127" t="s">
        <v>67</v>
      </c>
      <c r="F94" s="128">
        <f>F95+F98+F103</f>
        <v>14464919.95</v>
      </c>
      <c r="G94" s="131">
        <f>G95+G98+G103</f>
        <v>2245793</v>
      </c>
    </row>
    <row r="95" spans="1:7" ht="21" customHeight="1">
      <c r="A95" s="357"/>
      <c r="B95" s="87"/>
      <c r="C95" s="70">
        <v>90002</v>
      </c>
      <c r="D95" s="356"/>
      <c r="E95" s="91" t="s">
        <v>79</v>
      </c>
      <c r="F95" s="126">
        <f>SUM(F96:F97)</f>
        <v>42000</v>
      </c>
      <c r="G95" s="133">
        <f>SUM(G96:G97)</f>
        <v>42000</v>
      </c>
    </row>
    <row r="96" spans="1:7" ht="36" customHeight="1">
      <c r="A96" s="296">
        <v>52</v>
      </c>
      <c r="B96" s="134"/>
      <c r="C96" s="62"/>
      <c r="D96" s="300">
        <v>6220</v>
      </c>
      <c r="E96" s="90" t="s">
        <v>80</v>
      </c>
      <c r="F96" s="331">
        <v>12000</v>
      </c>
      <c r="G96" s="380">
        <v>12000</v>
      </c>
    </row>
    <row r="97" spans="1:7" ht="36" customHeight="1">
      <c r="A97" s="296">
        <v>53</v>
      </c>
      <c r="B97" s="134"/>
      <c r="C97" s="88"/>
      <c r="D97" s="300">
        <v>6230</v>
      </c>
      <c r="E97" s="101" t="s">
        <v>80</v>
      </c>
      <c r="F97" s="331">
        <v>30000</v>
      </c>
      <c r="G97" s="380">
        <v>30000</v>
      </c>
    </row>
    <row r="98" spans="1:7" ht="29.25" customHeight="1">
      <c r="A98" s="296"/>
      <c r="B98" s="70"/>
      <c r="C98" s="80">
        <v>90015</v>
      </c>
      <c r="D98" s="356"/>
      <c r="E98" s="91" t="s">
        <v>68</v>
      </c>
      <c r="F98" s="126">
        <f>SUM(F99:F102)</f>
        <v>3777917.78</v>
      </c>
      <c r="G98" s="133">
        <f>SUM(G99:G102)</f>
        <v>0</v>
      </c>
    </row>
    <row r="99" spans="1:7" ht="33" customHeight="1">
      <c r="A99" s="296">
        <v>54</v>
      </c>
      <c r="B99" s="71"/>
      <c r="C99" s="447"/>
      <c r="D99" s="363">
        <v>6050</v>
      </c>
      <c r="E99" s="381" t="s">
        <v>128</v>
      </c>
      <c r="F99" s="331">
        <v>1149.61</v>
      </c>
      <c r="G99" s="380">
        <v>0</v>
      </c>
    </row>
    <row r="100" spans="1:7" ht="24.75" customHeight="1">
      <c r="A100" s="296">
        <v>55</v>
      </c>
      <c r="B100" s="71"/>
      <c r="C100" s="447"/>
      <c r="D100" s="363">
        <v>6050</v>
      </c>
      <c r="E100" s="101" t="s">
        <v>129</v>
      </c>
      <c r="F100" s="331">
        <v>442.17</v>
      </c>
      <c r="G100" s="380">
        <v>0</v>
      </c>
    </row>
    <row r="101" spans="1:7" ht="28.5" customHeight="1">
      <c r="A101" s="296">
        <v>56</v>
      </c>
      <c r="B101" s="71"/>
      <c r="C101" s="78"/>
      <c r="D101" s="653">
        <v>6050</v>
      </c>
      <c r="E101" s="654" t="s">
        <v>369</v>
      </c>
      <c r="F101" s="655">
        <v>6000</v>
      </c>
      <c r="G101" s="656"/>
    </row>
    <row r="102" spans="1:7" ht="33.75" customHeight="1">
      <c r="A102" s="296">
        <v>57</v>
      </c>
      <c r="B102" s="71"/>
      <c r="C102" s="447"/>
      <c r="D102" s="363">
        <v>6050</v>
      </c>
      <c r="E102" s="101" t="s">
        <v>185</v>
      </c>
      <c r="F102" s="331">
        <f>3760327-2+1+10000</f>
        <v>3770326</v>
      </c>
      <c r="G102" s="380">
        <v>0</v>
      </c>
    </row>
    <row r="103" spans="1:7" ht="30.75" customHeight="1">
      <c r="A103" s="296" t="s">
        <v>33</v>
      </c>
      <c r="B103" s="70"/>
      <c r="C103" s="80">
        <v>90095</v>
      </c>
      <c r="D103" s="356"/>
      <c r="E103" s="91" t="s">
        <v>54</v>
      </c>
      <c r="F103" s="126">
        <f>SUM(F104:F114)</f>
        <v>10645002.17</v>
      </c>
      <c r="G103" s="133">
        <f>SUM(G104:G114)</f>
        <v>2203793</v>
      </c>
    </row>
    <row r="104" spans="1:7" s="372" customFormat="1" ht="33" customHeight="1">
      <c r="A104" s="338">
        <v>58</v>
      </c>
      <c r="B104" s="94"/>
      <c r="C104" s="447"/>
      <c r="D104" s="300">
        <v>6010</v>
      </c>
      <c r="E104" s="69" t="s">
        <v>186</v>
      </c>
      <c r="F104" s="495">
        <f>182470-11590</f>
        <v>170880</v>
      </c>
      <c r="G104" s="95">
        <f>175999-11590</f>
        <v>164409</v>
      </c>
    </row>
    <row r="105" spans="1:7" s="372" customFormat="1" ht="32.25" customHeight="1">
      <c r="A105" s="338">
        <v>59</v>
      </c>
      <c r="B105" s="94"/>
      <c r="C105" s="447"/>
      <c r="D105" s="365">
        <v>6010</v>
      </c>
      <c r="E105" s="69" t="s">
        <v>187</v>
      </c>
      <c r="F105" s="96">
        <v>328000</v>
      </c>
      <c r="G105" s="95">
        <v>328000</v>
      </c>
    </row>
    <row r="106" spans="1:7" s="372" customFormat="1" ht="32.25" customHeight="1">
      <c r="A106" s="338">
        <v>60</v>
      </c>
      <c r="B106" s="94"/>
      <c r="C106" s="447"/>
      <c r="D106" s="489">
        <v>6010</v>
      </c>
      <c r="E106" s="628" t="s">
        <v>283</v>
      </c>
      <c r="F106" s="495">
        <v>72254</v>
      </c>
      <c r="G106" s="492"/>
    </row>
    <row r="107" spans="1:7" s="372" customFormat="1" ht="32.25" customHeight="1">
      <c r="A107" s="338">
        <v>61</v>
      </c>
      <c r="B107" s="94"/>
      <c r="C107" s="447"/>
      <c r="D107" s="489">
        <v>6010</v>
      </c>
      <c r="E107" s="628" t="s">
        <v>318</v>
      </c>
      <c r="F107" s="495">
        <v>107746</v>
      </c>
      <c r="G107" s="492"/>
    </row>
    <row r="108" spans="1:7" s="372" customFormat="1" ht="32.25" customHeight="1">
      <c r="A108" s="338">
        <v>62</v>
      </c>
      <c r="B108" s="94"/>
      <c r="C108" s="447"/>
      <c r="D108" s="489">
        <v>6010</v>
      </c>
      <c r="E108" s="512" t="s">
        <v>311</v>
      </c>
      <c r="F108" s="495">
        <v>48000</v>
      </c>
      <c r="G108" s="631">
        <v>11590</v>
      </c>
    </row>
    <row r="109" spans="1:7" s="372" customFormat="1" ht="27" customHeight="1">
      <c r="A109" s="338">
        <v>63</v>
      </c>
      <c r="B109" s="94"/>
      <c r="C109" s="78"/>
      <c r="D109" s="300">
        <v>6050</v>
      </c>
      <c r="E109" s="69" t="s">
        <v>188</v>
      </c>
      <c r="F109" s="96">
        <v>200000</v>
      </c>
      <c r="G109" s="95">
        <v>0</v>
      </c>
    </row>
    <row r="110" spans="1:7" ht="25.5" customHeight="1">
      <c r="A110" s="338">
        <v>64</v>
      </c>
      <c r="B110" s="142"/>
      <c r="C110" s="448"/>
      <c r="D110" s="300">
        <v>6050</v>
      </c>
      <c r="E110" s="81" t="s">
        <v>130</v>
      </c>
      <c r="F110" s="96">
        <v>500000</v>
      </c>
      <c r="G110" s="95">
        <v>500000</v>
      </c>
    </row>
    <row r="111" spans="1:7" ht="45.75" customHeight="1">
      <c r="A111" s="338">
        <v>65</v>
      </c>
      <c r="B111" s="142"/>
      <c r="C111" s="70"/>
      <c r="D111" s="300">
        <v>6050</v>
      </c>
      <c r="E111" s="69" t="s">
        <v>271</v>
      </c>
      <c r="F111" s="96">
        <v>15000</v>
      </c>
      <c r="G111" s="95">
        <v>15000</v>
      </c>
    </row>
    <row r="112" spans="1:9" ht="29.25" customHeight="1">
      <c r="A112" s="843">
        <v>55</v>
      </c>
      <c r="B112" s="142"/>
      <c r="C112" s="448"/>
      <c r="D112" s="300">
        <v>6057</v>
      </c>
      <c r="E112" s="101" t="s">
        <v>189</v>
      </c>
      <c r="F112" s="331">
        <v>7482653.84</v>
      </c>
      <c r="G112" s="380"/>
      <c r="I112" s="297"/>
    </row>
    <row r="113" spans="1:9" ht="22.5" customHeight="1">
      <c r="A113" s="844"/>
      <c r="B113" s="144"/>
      <c r="C113" s="449"/>
      <c r="D113" s="300">
        <v>6059</v>
      </c>
      <c r="E113" s="101" t="s">
        <v>189</v>
      </c>
      <c r="F113" s="331">
        <v>1320468.33</v>
      </c>
      <c r="G113" s="380">
        <v>784794</v>
      </c>
      <c r="I113" s="297"/>
    </row>
    <row r="114" spans="1:9" ht="30.75" customHeight="1">
      <c r="A114" s="344">
        <v>67</v>
      </c>
      <c r="B114" s="144"/>
      <c r="C114" s="75"/>
      <c r="D114" s="300">
        <v>6230</v>
      </c>
      <c r="E114" s="101" t="s">
        <v>131</v>
      </c>
      <c r="F114" s="655">
        <f>600000-200000</f>
        <v>400000</v>
      </c>
      <c r="G114" s="656">
        <f>600000-200000</f>
        <v>400000</v>
      </c>
      <c r="I114" s="297"/>
    </row>
    <row r="115" spans="1:7" s="306" customFormat="1" ht="27.75" customHeight="1">
      <c r="A115" s="357"/>
      <c r="B115" s="382">
        <v>921</v>
      </c>
      <c r="C115" s="382"/>
      <c r="D115" s="357"/>
      <c r="E115" s="383" t="s">
        <v>190</v>
      </c>
      <c r="F115" s="384">
        <f>F116</f>
        <v>1428930</v>
      </c>
      <c r="G115" s="385">
        <f>G116</f>
        <v>700000</v>
      </c>
    </row>
    <row r="116" spans="1:7" s="311" customFormat="1" ht="27" customHeight="1">
      <c r="A116" s="299" t="s">
        <v>33</v>
      </c>
      <c r="B116" s="386"/>
      <c r="C116" s="387">
        <v>92109</v>
      </c>
      <c r="D116" s="388"/>
      <c r="E116" s="389" t="s">
        <v>191</v>
      </c>
      <c r="F116" s="390">
        <f>SUM(F117:F118)</f>
        <v>1428930</v>
      </c>
      <c r="G116" s="391">
        <f>SUM(G117:G118)</f>
        <v>700000</v>
      </c>
    </row>
    <row r="117" spans="1:7" ht="41.25" customHeight="1">
      <c r="A117" s="296">
        <v>68</v>
      </c>
      <c r="B117" s="144"/>
      <c r="C117" s="450"/>
      <c r="D117" s="365">
        <v>6050</v>
      </c>
      <c r="E117" s="101" t="s">
        <v>192</v>
      </c>
      <c r="F117" s="331">
        <f>1428930-574386.1</f>
        <v>854543.9</v>
      </c>
      <c r="G117" s="380">
        <f>700000-350000</f>
        <v>350000</v>
      </c>
    </row>
    <row r="118" spans="1:7" ht="41.25" customHeight="1">
      <c r="A118" s="296">
        <v>69</v>
      </c>
      <c r="B118" s="144"/>
      <c r="C118" s="75"/>
      <c r="D118" s="296">
        <v>6220</v>
      </c>
      <c r="E118" s="90" t="s">
        <v>193</v>
      </c>
      <c r="F118" s="331">
        <v>574386.1</v>
      </c>
      <c r="G118" s="380">
        <v>350000</v>
      </c>
    </row>
    <row r="119" spans="1:10" ht="30" customHeight="1">
      <c r="A119" s="296"/>
      <c r="B119" s="98" t="s">
        <v>70</v>
      </c>
      <c r="C119" s="99"/>
      <c r="D119" s="365"/>
      <c r="E119" s="392"/>
      <c r="F119" s="146">
        <f>F120+F129+F136+F139+F142+F132+F152+F155</f>
        <v>13973050</v>
      </c>
      <c r="G119" s="146">
        <f>G120+G129+G136+G139+G142+G132+G152+G155</f>
        <v>0</v>
      </c>
      <c r="J119" s="348"/>
    </row>
    <row r="120" spans="1:10" ht="26.25" customHeight="1">
      <c r="A120" s="357"/>
      <c r="B120" s="62">
        <v>600</v>
      </c>
      <c r="C120" s="63"/>
      <c r="D120" s="352"/>
      <c r="E120" s="127" t="s">
        <v>49</v>
      </c>
      <c r="F120" s="128">
        <f>F121</f>
        <v>11761650</v>
      </c>
      <c r="G120" s="131">
        <f>G121</f>
        <v>0</v>
      </c>
      <c r="J120" s="353"/>
    </row>
    <row r="121" spans="1:7" ht="27" customHeight="1">
      <c r="A121" s="296"/>
      <c r="B121" s="68"/>
      <c r="C121" s="80">
        <v>60015</v>
      </c>
      <c r="D121" s="354"/>
      <c r="E121" s="91" t="s">
        <v>71</v>
      </c>
      <c r="F121" s="126">
        <f>SUM(F122:F128)</f>
        <v>11761650</v>
      </c>
      <c r="G121" s="133">
        <f>SUM(G122:G128)</f>
        <v>0</v>
      </c>
    </row>
    <row r="122" spans="1:10" s="137" customFormat="1" ht="23.25" customHeight="1">
      <c r="A122" s="296">
        <v>70</v>
      </c>
      <c r="B122" s="71"/>
      <c r="C122" s="447"/>
      <c r="D122" s="300">
        <v>6050</v>
      </c>
      <c r="E122" s="90" t="s">
        <v>132</v>
      </c>
      <c r="F122" s="475">
        <f>3700000-3650000</f>
        <v>50000</v>
      </c>
      <c r="G122" s="380">
        <v>0</v>
      </c>
      <c r="J122" s="393"/>
    </row>
    <row r="123" spans="1:7" s="137" customFormat="1" ht="33.75" customHeight="1">
      <c r="A123" s="296">
        <v>71</v>
      </c>
      <c r="B123" s="71"/>
      <c r="C123" s="447"/>
      <c r="D123" s="300">
        <v>6050</v>
      </c>
      <c r="E123" s="394" t="s">
        <v>194</v>
      </c>
      <c r="F123" s="380">
        <v>80000</v>
      </c>
      <c r="G123" s="380">
        <v>0</v>
      </c>
    </row>
    <row r="124" spans="1:7" s="137" customFormat="1" ht="27.75" customHeight="1">
      <c r="A124" s="296">
        <v>72</v>
      </c>
      <c r="B124" s="71"/>
      <c r="C124" s="454"/>
      <c r="D124" s="300">
        <v>6050</v>
      </c>
      <c r="E124" s="69" t="s">
        <v>249</v>
      </c>
      <c r="F124" s="138">
        <v>5000</v>
      </c>
      <c r="G124" s="139">
        <v>0</v>
      </c>
    </row>
    <row r="125" spans="1:7" s="137" customFormat="1" ht="27.75" customHeight="1">
      <c r="A125" s="296">
        <v>73</v>
      </c>
      <c r="B125" s="71"/>
      <c r="C125" s="454"/>
      <c r="D125" s="489">
        <v>6050</v>
      </c>
      <c r="E125" s="494" t="s">
        <v>296</v>
      </c>
      <c r="F125" s="490">
        <v>64000</v>
      </c>
      <c r="G125" s="491"/>
    </row>
    <row r="126" spans="1:7" s="137" customFormat="1" ht="27.75" customHeight="1">
      <c r="A126" s="296">
        <v>74</v>
      </c>
      <c r="B126" s="71"/>
      <c r="C126" s="454"/>
      <c r="D126" s="489">
        <v>6050</v>
      </c>
      <c r="E126" s="494" t="s">
        <v>486</v>
      </c>
      <c r="F126" s="490">
        <v>18450</v>
      </c>
      <c r="G126" s="491"/>
    </row>
    <row r="127" spans="1:7" s="137" customFormat="1" ht="27.75" customHeight="1">
      <c r="A127" s="296">
        <v>74</v>
      </c>
      <c r="B127" s="71"/>
      <c r="C127" s="454"/>
      <c r="D127" s="489">
        <v>6050</v>
      </c>
      <c r="E127" s="494" t="s">
        <v>487</v>
      </c>
      <c r="F127" s="490">
        <v>16200</v>
      </c>
      <c r="G127" s="491"/>
    </row>
    <row r="128" spans="1:7" s="137" customFormat="1" ht="23.25" customHeight="1">
      <c r="A128" s="296">
        <v>76</v>
      </c>
      <c r="B128" s="71"/>
      <c r="C128" s="78"/>
      <c r="D128" s="300">
        <v>6050</v>
      </c>
      <c r="E128" s="395" t="s">
        <v>195</v>
      </c>
      <c r="F128" s="380">
        <f>5000000+6528000</f>
        <v>11528000</v>
      </c>
      <c r="G128" s="380"/>
    </row>
    <row r="129" spans="1:7" s="397" customFormat="1" ht="22.5" customHeight="1">
      <c r="A129" s="357"/>
      <c r="B129" s="64">
        <v>630</v>
      </c>
      <c r="C129" s="63"/>
      <c r="D129" s="375"/>
      <c r="E129" s="396" t="s">
        <v>196</v>
      </c>
      <c r="F129" s="385">
        <f>F130</f>
        <v>1000</v>
      </c>
      <c r="G129" s="385">
        <f>G130</f>
        <v>0</v>
      </c>
    </row>
    <row r="130" spans="1:7" s="400" customFormat="1" ht="21" customHeight="1">
      <c r="A130" s="299"/>
      <c r="B130" s="376"/>
      <c r="C130" s="80">
        <v>63095</v>
      </c>
      <c r="D130" s="398"/>
      <c r="E130" s="399" t="s">
        <v>54</v>
      </c>
      <c r="F130" s="391">
        <f>SUM(F131:F131)</f>
        <v>1000</v>
      </c>
      <c r="G130" s="391">
        <f>SUM(G131:G131)</f>
        <v>0</v>
      </c>
    </row>
    <row r="131" spans="1:9" s="137" customFormat="1" ht="28.5" customHeight="1">
      <c r="A131" s="296">
        <v>77</v>
      </c>
      <c r="B131" s="71"/>
      <c r="C131" s="447"/>
      <c r="D131" s="300">
        <v>6050</v>
      </c>
      <c r="E131" s="90" t="s">
        <v>197</v>
      </c>
      <c r="F131" s="380">
        <v>1000</v>
      </c>
      <c r="G131" s="380">
        <v>0</v>
      </c>
      <c r="I131" s="393"/>
    </row>
    <row r="132" spans="1:9" s="137" customFormat="1" ht="22.5" customHeight="1">
      <c r="A132" s="296"/>
      <c r="B132" s="64">
        <v>710</v>
      </c>
      <c r="C132" s="63"/>
      <c r="D132" s="375"/>
      <c r="E132" s="396" t="s">
        <v>55</v>
      </c>
      <c r="F132" s="385">
        <f>F133</f>
        <v>105000</v>
      </c>
      <c r="G132" s="385">
        <f>G133</f>
        <v>0</v>
      </c>
      <c r="I132" s="393"/>
    </row>
    <row r="133" spans="1:9" s="137" customFormat="1" ht="27" customHeight="1">
      <c r="A133" s="296"/>
      <c r="B133" s="376"/>
      <c r="C133" s="80">
        <v>71012</v>
      </c>
      <c r="D133" s="398"/>
      <c r="E133" s="399" t="s">
        <v>76</v>
      </c>
      <c r="F133" s="391">
        <f>SUM(F134:F135)</f>
        <v>105000</v>
      </c>
      <c r="G133" s="391">
        <f>SUM(G135:G135)</f>
        <v>0</v>
      </c>
      <c r="I133" s="393"/>
    </row>
    <row r="134" spans="1:9" s="496" customFormat="1" ht="36" customHeight="1">
      <c r="A134" s="296">
        <v>78</v>
      </c>
      <c r="B134" s="71"/>
      <c r="C134" s="78"/>
      <c r="D134" s="509">
        <v>6050</v>
      </c>
      <c r="E134" s="510" t="s">
        <v>266</v>
      </c>
      <c r="F134" s="511">
        <v>60000</v>
      </c>
      <c r="G134" s="511"/>
      <c r="I134" s="497"/>
    </row>
    <row r="135" spans="1:9" s="137" customFormat="1" ht="24.75" customHeight="1">
      <c r="A135" s="296">
        <v>78</v>
      </c>
      <c r="B135" s="71"/>
      <c r="C135" s="78"/>
      <c r="D135" s="300">
        <v>6060</v>
      </c>
      <c r="E135" s="90" t="s">
        <v>198</v>
      </c>
      <c r="F135" s="380">
        <v>45000</v>
      </c>
      <c r="G135" s="380">
        <v>0</v>
      </c>
      <c r="I135" s="393"/>
    </row>
    <row r="136" spans="1:12" s="65" customFormat="1" ht="24" customHeight="1">
      <c r="A136" s="357"/>
      <c r="B136" s="63">
        <v>754</v>
      </c>
      <c r="C136" s="63"/>
      <c r="D136" s="357"/>
      <c r="E136" s="93" t="s">
        <v>58</v>
      </c>
      <c r="F136" s="131">
        <f>F137</f>
        <v>400000</v>
      </c>
      <c r="G136" s="131">
        <f>G137</f>
        <v>0</v>
      </c>
      <c r="J136" s="61"/>
      <c r="K136" s="61"/>
      <c r="L136" s="3"/>
    </row>
    <row r="137" spans="1:12" s="65" customFormat="1" ht="24" customHeight="1">
      <c r="A137" s="296"/>
      <c r="B137" s="70"/>
      <c r="C137" s="80">
        <v>75411</v>
      </c>
      <c r="D137" s="388"/>
      <c r="E137" s="92" t="s">
        <v>72</v>
      </c>
      <c r="F137" s="133">
        <f>SUM(F138:F138)</f>
        <v>400000</v>
      </c>
      <c r="G137" s="133">
        <f>SUM(G138:G138)</f>
        <v>0</v>
      </c>
      <c r="I137" s="61"/>
      <c r="J137" s="61"/>
      <c r="K137" s="61"/>
      <c r="L137" s="3"/>
    </row>
    <row r="138" spans="1:12" s="65" customFormat="1" ht="58.5" customHeight="1">
      <c r="A138" s="338">
        <v>80</v>
      </c>
      <c r="B138" s="78"/>
      <c r="C138" s="79"/>
      <c r="D138" s="145">
        <v>6050</v>
      </c>
      <c r="E138" s="69" t="s">
        <v>133</v>
      </c>
      <c r="F138" s="95">
        <v>400000</v>
      </c>
      <c r="G138" s="95">
        <v>0</v>
      </c>
      <c r="I138" s="61"/>
      <c r="J138" s="61"/>
      <c r="K138" s="61"/>
      <c r="L138" s="3"/>
    </row>
    <row r="139" spans="1:7" ht="21" customHeight="1">
      <c r="A139" s="357"/>
      <c r="B139" s="63">
        <v>758</v>
      </c>
      <c r="C139" s="63"/>
      <c r="D139" s="352"/>
      <c r="E139" s="127" t="s">
        <v>60</v>
      </c>
      <c r="F139" s="128">
        <f>F140</f>
        <v>222300</v>
      </c>
      <c r="G139" s="131">
        <f>G140</f>
        <v>0</v>
      </c>
    </row>
    <row r="140" spans="1:7" ht="22.5" customHeight="1">
      <c r="A140" s="305"/>
      <c r="B140" s="66"/>
      <c r="C140" s="74">
        <v>75818</v>
      </c>
      <c r="D140" s="356"/>
      <c r="E140" s="92" t="s">
        <v>61</v>
      </c>
      <c r="F140" s="130">
        <f>F141</f>
        <v>222300</v>
      </c>
      <c r="G140" s="360">
        <f>G141</f>
        <v>0</v>
      </c>
    </row>
    <row r="141" spans="1:9" ht="21.75" customHeight="1">
      <c r="A141" s="305"/>
      <c r="B141" s="87"/>
      <c r="C141" s="79"/>
      <c r="D141" s="365">
        <v>6800</v>
      </c>
      <c r="E141" s="82" t="s">
        <v>62</v>
      </c>
      <c r="F141" s="484">
        <f>658000-500000+80500-16200</f>
        <v>222300</v>
      </c>
      <c r="G141" s="139">
        <f>500000-500000</f>
        <v>0</v>
      </c>
      <c r="I141" s="297"/>
    </row>
    <row r="142" spans="1:7" ht="24.75" customHeight="1">
      <c r="A142" s="338"/>
      <c r="B142" s="62">
        <v>801</v>
      </c>
      <c r="C142" s="63"/>
      <c r="D142" s="357"/>
      <c r="E142" s="108" t="s">
        <v>63</v>
      </c>
      <c r="F142" s="128">
        <f>F143+F148</f>
        <v>126000</v>
      </c>
      <c r="G142" s="131">
        <f>G143+G148</f>
        <v>0</v>
      </c>
    </row>
    <row r="143" spans="1:7" s="311" customFormat="1" ht="25.5" customHeight="1">
      <c r="A143" s="401"/>
      <c r="B143" s="68"/>
      <c r="C143" s="367">
        <v>80120</v>
      </c>
      <c r="D143" s="309"/>
      <c r="E143" s="132" t="s">
        <v>199</v>
      </c>
      <c r="F143" s="126">
        <f>SUM(F144:F147)</f>
        <v>101953</v>
      </c>
      <c r="G143" s="133">
        <f>SUM(G144:G147)</f>
        <v>0</v>
      </c>
    </row>
    <row r="144" spans="1:7" s="372" customFormat="1" ht="24.75" customHeight="1">
      <c r="A144" s="296">
        <v>81</v>
      </c>
      <c r="B144" s="71"/>
      <c r="C144" s="84"/>
      <c r="D144" s="363">
        <v>6050</v>
      </c>
      <c r="E144" s="402" t="s">
        <v>200</v>
      </c>
      <c r="F144" s="96">
        <v>45000</v>
      </c>
      <c r="G144" s="95">
        <v>0</v>
      </c>
    </row>
    <row r="145" spans="1:7" s="372" customFormat="1" ht="24" customHeight="1">
      <c r="A145" s="296">
        <v>82</v>
      </c>
      <c r="B145" s="71"/>
      <c r="C145" s="78"/>
      <c r="D145" s="369">
        <v>6050</v>
      </c>
      <c r="E145" s="371" t="s">
        <v>201</v>
      </c>
      <c r="F145" s="96">
        <v>50000</v>
      </c>
      <c r="G145" s="95">
        <v>0</v>
      </c>
    </row>
    <row r="146" spans="1:7" s="372" customFormat="1" ht="27.75" customHeight="1">
      <c r="A146" s="296">
        <v>83</v>
      </c>
      <c r="B146" s="71"/>
      <c r="C146" s="78"/>
      <c r="D146" s="369">
        <v>6060</v>
      </c>
      <c r="E146" s="371" t="s">
        <v>202</v>
      </c>
      <c r="F146" s="96">
        <v>1953</v>
      </c>
      <c r="G146" s="95">
        <v>0</v>
      </c>
    </row>
    <row r="147" spans="1:7" s="372" customFormat="1" ht="24.75" customHeight="1">
      <c r="A147" s="296">
        <v>84</v>
      </c>
      <c r="B147" s="71"/>
      <c r="C147" s="72"/>
      <c r="D147" s="363">
        <v>6060</v>
      </c>
      <c r="E147" s="402" t="s">
        <v>203</v>
      </c>
      <c r="F147" s="96">
        <v>5000</v>
      </c>
      <c r="G147" s="95">
        <v>0</v>
      </c>
    </row>
    <row r="148" spans="1:7" s="372" customFormat="1" ht="20.25" customHeight="1">
      <c r="A148" s="296"/>
      <c r="B148" s="79"/>
      <c r="C148" s="100">
        <v>80130</v>
      </c>
      <c r="D148" s="309"/>
      <c r="E148" s="132" t="s">
        <v>204</v>
      </c>
      <c r="F148" s="126">
        <f>SUM(F149:F151)</f>
        <v>24047</v>
      </c>
      <c r="G148" s="133">
        <f>SUM(G149:G151)</f>
        <v>0</v>
      </c>
    </row>
    <row r="149" spans="1:7" s="372" customFormat="1" ht="29.25" customHeight="1">
      <c r="A149" s="296">
        <v>84</v>
      </c>
      <c r="B149" s="94"/>
      <c r="C149" s="68"/>
      <c r="D149" s="369">
        <v>6060</v>
      </c>
      <c r="E149" s="371" t="s">
        <v>205</v>
      </c>
      <c r="F149" s="96">
        <v>6000</v>
      </c>
      <c r="G149" s="95">
        <v>0</v>
      </c>
    </row>
    <row r="150" spans="1:7" s="372" customFormat="1" ht="34.5" customHeight="1">
      <c r="A150" s="296">
        <v>86</v>
      </c>
      <c r="B150" s="94"/>
      <c r="C150" s="70"/>
      <c r="D150" s="369">
        <v>6060</v>
      </c>
      <c r="E150" s="371" t="s">
        <v>202</v>
      </c>
      <c r="F150" s="96">
        <v>8047</v>
      </c>
      <c r="G150" s="95">
        <v>0</v>
      </c>
    </row>
    <row r="151" spans="1:7" s="372" customFormat="1" ht="26.25" customHeight="1">
      <c r="A151" s="296">
        <v>87</v>
      </c>
      <c r="B151" s="94"/>
      <c r="C151" s="72"/>
      <c r="D151" s="369">
        <v>6060</v>
      </c>
      <c r="E151" s="371" t="s">
        <v>206</v>
      </c>
      <c r="F151" s="96">
        <v>10000</v>
      </c>
      <c r="G151" s="95">
        <v>0</v>
      </c>
    </row>
    <row r="152" spans="1:7" s="306" customFormat="1" ht="20.25" customHeight="1">
      <c r="A152" s="357"/>
      <c r="B152" s="63">
        <v>854</v>
      </c>
      <c r="C152" s="308"/>
      <c r="D152" s="403"/>
      <c r="E152" s="404" t="s">
        <v>207</v>
      </c>
      <c r="F152" s="128">
        <f>F153</f>
        <v>12300</v>
      </c>
      <c r="G152" s="131">
        <f>G153</f>
        <v>0</v>
      </c>
    </row>
    <row r="153" spans="1:7" s="311" customFormat="1" ht="24.75" customHeight="1">
      <c r="A153" s="309"/>
      <c r="B153" s="100"/>
      <c r="C153" s="77">
        <v>85403</v>
      </c>
      <c r="D153" s="405"/>
      <c r="E153" s="406" t="s">
        <v>208</v>
      </c>
      <c r="F153" s="126">
        <f>F154</f>
        <v>12300</v>
      </c>
      <c r="G153" s="133">
        <f>G154</f>
        <v>0</v>
      </c>
    </row>
    <row r="154" spans="1:7" s="372" customFormat="1" ht="24" customHeight="1">
      <c r="A154" s="296">
        <v>88</v>
      </c>
      <c r="B154" s="79"/>
      <c r="C154" s="73"/>
      <c r="D154" s="373">
        <v>6060</v>
      </c>
      <c r="E154" s="371" t="s">
        <v>209</v>
      </c>
      <c r="F154" s="96">
        <v>12300</v>
      </c>
      <c r="G154" s="95">
        <v>0</v>
      </c>
    </row>
    <row r="155" spans="1:7" ht="20.25" customHeight="1">
      <c r="A155" s="357"/>
      <c r="B155" s="63">
        <v>926</v>
      </c>
      <c r="C155" s="63"/>
      <c r="D155" s="352"/>
      <c r="E155" s="127" t="s">
        <v>75</v>
      </c>
      <c r="F155" s="128">
        <f>F156</f>
        <v>1344800</v>
      </c>
      <c r="G155" s="131">
        <f>G156</f>
        <v>0</v>
      </c>
    </row>
    <row r="156" spans="1:7" ht="24" customHeight="1">
      <c r="A156" s="407"/>
      <c r="B156" s="66"/>
      <c r="C156" s="74">
        <v>92601</v>
      </c>
      <c r="D156" s="356"/>
      <c r="E156" s="91" t="s">
        <v>69</v>
      </c>
      <c r="F156" s="126">
        <f>SUM(F157:F157)</f>
        <v>1344800</v>
      </c>
      <c r="G156" s="133">
        <f>SUM(G157:G157)</f>
        <v>0</v>
      </c>
    </row>
    <row r="157" spans="1:7" ht="29.25" customHeight="1">
      <c r="A157" s="408">
        <v>89</v>
      </c>
      <c r="B157" s="86"/>
      <c r="C157" s="446"/>
      <c r="D157" s="145">
        <v>6050</v>
      </c>
      <c r="E157" s="81" t="s">
        <v>210</v>
      </c>
      <c r="F157" s="96">
        <v>1344800</v>
      </c>
      <c r="G157" s="95">
        <v>0</v>
      </c>
    </row>
    <row r="158" spans="1:10" ht="28.5" customHeight="1">
      <c r="A158" s="357"/>
      <c r="B158" s="135" t="s">
        <v>42</v>
      </c>
      <c r="C158" s="102"/>
      <c r="D158" s="409"/>
      <c r="E158" s="410"/>
      <c r="F158" s="146">
        <f>F14+F119</f>
        <v>42989249.88</v>
      </c>
      <c r="G158" s="146">
        <f>G14+G119</f>
        <v>5445793</v>
      </c>
      <c r="I158" s="351"/>
      <c r="J158" s="351"/>
    </row>
    <row r="159" spans="1:10" ht="21.75" customHeight="1">
      <c r="A159" s="332"/>
      <c r="B159" s="51"/>
      <c r="C159" s="51"/>
      <c r="D159" s="332"/>
      <c r="F159" s="312"/>
      <c r="G159" s="312"/>
      <c r="I159" s="353"/>
      <c r="J159" s="353"/>
    </row>
    <row r="160" spans="1:10" ht="22.5" customHeight="1">
      <c r="A160" s="332"/>
      <c r="B160" s="50"/>
      <c r="C160" s="50"/>
      <c r="D160" s="332"/>
      <c r="F160" s="318"/>
      <c r="G160" s="318"/>
      <c r="I160" s="297"/>
      <c r="J160" s="328"/>
    </row>
    <row r="161" spans="1:10" ht="12.75">
      <c r="A161" s="332"/>
      <c r="B161" s="50"/>
      <c r="C161" s="50"/>
      <c r="D161" s="332"/>
      <c r="F161" s="318"/>
      <c r="G161" s="318"/>
      <c r="H161" s="297"/>
      <c r="I161" s="297"/>
      <c r="J161" s="297"/>
    </row>
    <row r="162" spans="6:10" ht="12.75">
      <c r="F162" s="301"/>
      <c r="G162" s="317"/>
      <c r="I162" s="297"/>
      <c r="J162" s="297"/>
    </row>
    <row r="163" spans="6:10" ht="12.75">
      <c r="F163" s="313"/>
      <c r="G163" s="317"/>
      <c r="I163" s="297"/>
      <c r="J163" s="297"/>
    </row>
    <row r="164" spans="6:10" ht="12.75">
      <c r="F164" s="317"/>
      <c r="G164" s="317"/>
      <c r="I164" s="297"/>
      <c r="J164" s="297"/>
    </row>
    <row r="165" spans="6:10" ht="12.75">
      <c r="F165" s="317"/>
      <c r="G165" s="317"/>
      <c r="I165" s="297"/>
      <c r="J165" s="297"/>
    </row>
    <row r="166" spans="6:7" ht="12.75">
      <c r="F166" s="317"/>
      <c r="G166" s="317"/>
    </row>
    <row r="167" spans="6:7" ht="12.75">
      <c r="F167" s="317"/>
      <c r="G167" s="317"/>
    </row>
    <row r="168" spans="6:7" ht="12.75">
      <c r="F168" s="317"/>
      <c r="G168" s="317"/>
    </row>
    <row r="169" spans="6:7" ht="12.75">
      <c r="F169" s="317"/>
      <c r="G169" s="317"/>
    </row>
    <row r="170" spans="6:7" ht="12.75">
      <c r="F170" s="317"/>
      <c r="G170" s="317"/>
    </row>
    <row r="171" spans="6:7" ht="12.75">
      <c r="F171" s="317"/>
      <c r="G171" s="317"/>
    </row>
    <row r="172" spans="6:7" ht="12.75">
      <c r="F172" s="317"/>
      <c r="G172" s="317"/>
    </row>
    <row r="173" spans="6:7" ht="12.75">
      <c r="F173" s="317"/>
      <c r="G173" s="317"/>
    </row>
  </sheetData>
  <mergeCells count="2">
    <mergeCell ref="A90:A91"/>
    <mergeCell ref="A112:A113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workbookViewId="0" topLeftCell="A1">
      <selection activeCell="C19" sqref="C19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660" customWidth="1"/>
    <col min="8" max="8" width="18.140625" style="660" customWidth="1"/>
    <col min="9" max="9" width="23.00390625" style="660" customWidth="1"/>
    <col min="10" max="10" width="33.140625" style="295" customWidth="1"/>
    <col min="11" max="11" width="18.140625" style="178" customWidth="1"/>
    <col min="12" max="12" width="15.7109375" style="178" customWidth="1"/>
    <col min="13" max="13" width="10.140625" style="178" bestFit="1" customWidth="1"/>
    <col min="14" max="14" width="9.140625" style="178" customWidth="1"/>
    <col min="15" max="16384" width="9.140625" style="2" customWidth="1"/>
  </cols>
  <sheetData>
    <row r="1" spans="3:4" ht="20.25">
      <c r="C1" s="658" t="s">
        <v>374</v>
      </c>
      <c r="D1" s="659"/>
    </row>
    <row r="2" spans="3:4" ht="18.75">
      <c r="C2" s="661" t="s">
        <v>451</v>
      </c>
      <c r="D2" s="659"/>
    </row>
    <row r="3" spans="3:4" ht="18.75">
      <c r="C3" s="661" t="s">
        <v>116</v>
      </c>
      <c r="D3" s="659"/>
    </row>
    <row r="4" spans="3:4" ht="18.75">
      <c r="C4" s="178" t="s">
        <v>307</v>
      </c>
      <c r="D4" s="659"/>
    </row>
    <row r="5" spans="3:4" ht="18.75">
      <c r="C5" s="659"/>
      <c r="D5" s="659"/>
    </row>
    <row r="6" spans="1:13" ht="18.75">
      <c r="A6" s="659"/>
      <c r="B6" s="659"/>
      <c r="C6" s="659"/>
      <c r="D6" s="659"/>
      <c r="E6" s="659"/>
      <c r="F6" s="659"/>
      <c r="G6" s="662"/>
      <c r="H6" s="662"/>
      <c r="I6" s="662"/>
      <c r="J6" s="663"/>
      <c r="K6" s="664"/>
      <c r="L6" s="664"/>
      <c r="M6" s="664"/>
    </row>
    <row r="7" spans="1:13" ht="20.25">
      <c r="A7" s="659"/>
      <c r="B7" s="665" t="s">
        <v>375</v>
      </c>
      <c r="C7" s="659"/>
      <c r="D7" s="659"/>
      <c r="E7" s="659"/>
      <c r="F7" s="659"/>
      <c r="G7" s="662"/>
      <c r="H7" s="662"/>
      <c r="I7" s="662"/>
      <c r="J7" s="663"/>
      <c r="K7" s="664"/>
      <c r="L7" s="664"/>
      <c r="M7" s="664"/>
    </row>
    <row r="8" spans="1:13" ht="20.25">
      <c r="A8" s="666"/>
      <c r="B8" s="665" t="s">
        <v>376</v>
      </c>
      <c r="C8" s="5"/>
      <c r="D8" s="6"/>
      <c r="E8" s="5"/>
      <c r="F8" s="5"/>
      <c r="G8" s="667"/>
      <c r="H8" s="667"/>
      <c r="I8" s="667"/>
      <c r="J8" s="668"/>
      <c r="K8" s="7"/>
      <c r="L8" s="664"/>
      <c r="M8" s="664"/>
    </row>
    <row r="9" spans="1:13" ht="20.25">
      <c r="A9" s="666"/>
      <c r="B9" s="665" t="s">
        <v>377</v>
      </c>
      <c r="C9" s="5"/>
      <c r="D9" s="6"/>
      <c r="E9" s="5"/>
      <c r="F9" s="5"/>
      <c r="G9" s="667"/>
      <c r="H9" s="667"/>
      <c r="I9" s="667"/>
      <c r="J9" s="668"/>
      <c r="K9" s="7"/>
      <c r="L9" s="664"/>
      <c r="M9" s="664"/>
    </row>
    <row r="10" spans="1:13" ht="18.75">
      <c r="A10" s="666"/>
      <c r="B10" s="23"/>
      <c r="C10" s="23"/>
      <c r="D10" s="669"/>
      <c r="E10" s="5"/>
      <c r="F10" s="5"/>
      <c r="G10" s="667"/>
      <c r="H10" s="667"/>
      <c r="I10" s="667"/>
      <c r="J10" s="668"/>
      <c r="K10" s="7"/>
      <c r="L10" s="664"/>
      <c r="M10" s="664"/>
    </row>
    <row r="11" spans="1:13" ht="18.75">
      <c r="A11" s="666"/>
      <c r="B11" s="5"/>
      <c r="C11" s="5"/>
      <c r="D11" s="6"/>
      <c r="E11" s="5"/>
      <c r="F11" s="670" t="s">
        <v>43</v>
      </c>
      <c r="G11" s="667"/>
      <c r="H11" s="667"/>
      <c r="I11" s="667"/>
      <c r="J11" s="668"/>
      <c r="K11" s="7"/>
      <c r="L11" s="664"/>
      <c r="M11" s="664"/>
    </row>
    <row r="12" spans="1:13" ht="29.25" customHeight="1">
      <c r="A12" s="671"/>
      <c r="B12" s="672"/>
      <c r="C12" s="672"/>
      <c r="D12" s="673"/>
      <c r="E12" s="674" t="s">
        <v>378</v>
      </c>
      <c r="F12" s="675"/>
      <c r="G12" s="667"/>
      <c r="H12" s="667"/>
      <c r="I12" s="667"/>
      <c r="J12" s="668"/>
      <c r="K12" s="7"/>
      <c r="L12" s="664"/>
      <c r="M12" s="664"/>
    </row>
    <row r="13" spans="1:14" s="686" customFormat="1" ht="41.25" customHeight="1">
      <c r="A13" s="676" t="s">
        <v>379</v>
      </c>
      <c r="B13" s="677" t="s">
        <v>380</v>
      </c>
      <c r="C13" s="678" t="s">
        <v>381</v>
      </c>
      <c r="D13" s="678" t="s">
        <v>382</v>
      </c>
      <c r="E13" s="679" t="s">
        <v>383</v>
      </c>
      <c r="F13" s="632" t="s">
        <v>384</v>
      </c>
      <c r="G13" s="680"/>
      <c r="H13" s="681"/>
      <c r="I13" s="682"/>
      <c r="J13" s="683"/>
      <c r="K13" s="7"/>
      <c r="L13" s="684"/>
      <c r="M13" s="684"/>
      <c r="N13" s="685"/>
    </row>
    <row r="14" spans="1:14" s="686" customFormat="1" ht="27.75" customHeight="1">
      <c r="A14" s="687" t="s">
        <v>385</v>
      </c>
      <c r="B14" s="688"/>
      <c r="C14" s="689"/>
      <c r="D14" s="689"/>
      <c r="E14" s="690">
        <f>E17+E23+E26+E29+E32+E35+E38+E44+E53+E56+E59+E62</f>
        <v>445698.45999999996</v>
      </c>
      <c r="F14" s="690">
        <f>F17+F20+F23+F26+F29+F32+F35+F38+F41+F44+F47+F50+F53+F56+F59+F62</f>
        <v>3441595.92</v>
      </c>
      <c r="G14" s="680"/>
      <c r="H14" s="681">
        <f>E14+F14</f>
        <v>3887294.38</v>
      </c>
      <c r="I14" s="681"/>
      <c r="J14" s="691"/>
      <c r="K14" s="7"/>
      <c r="L14" s="684"/>
      <c r="M14" s="684"/>
      <c r="N14" s="685"/>
    </row>
    <row r="15" spans="1:13" s="65" customFormat="1" ht="39" customHeight="1">
      <c r="A15" s="692">
        <v>1</v>
      </c>
      <c r="B15" s="693" t="s">
        <v>386</v>
      </c>
      <c r="C15" s="694" t="s">
        <v>387</v>
      </c>
      <c r="D15" s="695"/>
      <c r="E15" s="696"/>
      <c r="F15" s="697"/>
      <c r="G15" s="698"/>
      <c r="H15" s="681"/>
      <c r="I15" s="699"/>
      <c r="J15" s="691"/>
      <c r="K15" s="700"/>
      <c r="L15" s="701"/>
      <c r="M15" s="701"/>
    </row>
    <row r="16" spans="1:13" s="65" customFormat="1" ht="54.75" customHeight="1">
      <c r="A16" s="702"/>
      <c r="B16" s="703" t="s">
        <v>388</v>
      </c>
      <c r="C16" s="704"/>
      <c r="D16" s="705"/>
      <c r="E16" s="706"/>
      <c r="F16" s="707"/>
      <c r="G16" s="698"/>
      <c r="H16" s="681"/>
      <c r="I16" s="699"/>
      <c r="J16" s="691"/>
      <c r="K16" s="700"/>
      <c r="L16" s="701"/>
      <c r="M16" s="701"/>
    </row>
    <row r="17" spans="1:13" s="65" customFormat="1" ht="50.25" customHeight="1">
      <c r="A17" s="708"/>
      <c r="B17" s="703" t="s">
        <v>389</v>
      </c>
      <c r="C17" s="709"/>
      <c r="D17" s="710" t="s">
        <v>390</v>
      </c>
      <c r="E17" s="778">
        <f>39150.99+2631</f>
        <v>41781.99</v>
      </c>
      <c r="F17" s="779">
        <f>221855.51+14909</f>
        <v>236764.51</v>
      </c>
      <c r="G17" s="698"/>
      <c r="H17" s="681">
        <f>2631+14909</f>
        <v>17540</v>
      </c>
      <c r="I17" s="681"/>
      <c r="J17" s="691"/>
      <c r="K17" s="700"/>
      <c r="L17" s="701"/>
      <c r="M17" s="701"/>
    </row>
    <row r="18" spans="1:13" s="65" customFormat="1" ht="50.25" customHeight="1">
      <c r="A18" s="713">
        <v>2</v>
      </c>
      <c r="B18" s="693" t="s">
        <v>386</v>
      </c>
      <c r="C18" s="714" t="s">
        <v>391</v>
      </c>
      <c r="D18" s="715"/>
      <c r="E18" s="697"/>
      <c r="F18" s="697"/>
      <c r="G18" s="698"/>
      <c r="H18" s="681"/>
      <c r="I18" s="699"/>
      <c r="J18" s="691"/>
      <c r="K18" s="700"/>
      <c r="L18" s="701"/>
      <c r="M18" s="701"/>
    </row>
    <row r="19" spans="1:13" s="65" customFormat="1" ht="42.75" customHeight="1">
      <c r="A19" s="702"/>
      <c r="B19" s="716" t="s">
        <v>392</v>
      </c>
      <c r="C19" s="717"/>
      <c r="D19" s="718"/>
      <c r="E19" s="707"/>
      <c r="F19" s="707"/>
      <c r="G19" s="698"/>
      <c r="H19" s="681"/>
      <c r="I19" s="699"/>
      <c r="J19" s="691"/>
      <c r="K19" s="700"/>
      <c r="L19" s="701"/>
      <c r="M19" s="701"/>
    </row>
    <row r="20" spans="1:13" s="65" customFormat="1" ht="57" customHeight="1">
      <c r="A20" s="708"/>
      <c r="B20" s="716" t="s">
        <v>393</v>
      </c>
      <c r="C20" s="719"/>
      <c r="D20" s="710" t="s">
        <v>394</v>
      </c>
      <c r="E20" s="712" t="s">
        <v>395</v>
      </c>
      <c r="F20" s="712">
        <v>9180</v>
      </c>
      <c r="G20" s="698"/>
      <c r="H20" s="681"/>
      <c r="I20" s="699"/>
      <c r="J20" s="691"/>
      <c r="K20" s="700"/>
      <c r="L20" s="701"/>
      <c r="M20" s="701"/>
    </row>
    <row r="21" spans="1:13" s="65" customFormat="1" ht="44.25" customHeight="1">
      <c r="A21" s="713">
        <v>3</v>
      </c>
      <c r="B21" s="693" t="s">
        <v>386</v>
      </c>
      <c r="C21" s="714" t="s">
        <v>396</v>
      </c>
      <c r="D21" s="715"/>
      <c r="E21" s="697"/>
      <c r="F21" s="697"/>
      <c r="G21" s="698"/>
      <c r="H21" s="681"/>
      <c r="I21" s="699"/>
      <c r="J21" s="691"/>
      <c r="K21" s="700"/>
      <c r="L21" s="701"/>
      <c r="M21" s="701"/>
    </row>
    <row r="22" spans="1:13" s="65" customFormat="1" ht="35.25" customHeight="1">
      <c r="A22" s="702"/>
      <c r="B22" s="716" t="s">
        <v>397</v>
      </c>
      <c r="C22" s="717"/>
      <c r="D22" s="718"/>
      <c r="E22" s="707"/>
      <c r="F22" s="707"/>
      <c r="G22" s="698"/>
      <c r="H22" s="681"/>
      <c r="I22" s="699"/>
      <c r="J22" s="691"/>
      <c r="K22" s="700"/>
      <c r="L22" s="701"/>
      <c r="M22" s="701"/>
    </row>
    <row r="23" spans="1:13" s="65" customFormat="1" ht="48" customHeight="1">
      <c r="A23" s="708"/>
      <c r="B23" s="716" t="s">
        <v>398</v>
      </c>
      <c r="C23" s="719"/>
      <c r="D23" s="705" t="s">
        <v>394</v>
      </c>
      <c r="E23" s="720">
        <v>100</v>
      </c>
      <c r="F23" s="707">
        <f>11200+1636.6</f>
        <v>12836.6</v>
      </c>
      <c r="G23" s="698"/>
      <c r="H23" s="681"/>
      <c r="I23" s="699"/>
      <c r="J23" s="691"/>
      <c r="K23" s="700"/>
      <c r="L23" s="701"/>
      <c r="M23" s="701"/>
    </row>
    <row r="24" spans="1:13" s="65" customFormat="1" ht="45" customHeight="1">
      <c r="A24" s="692">
        <v>4</v>
      </c>
      <c r="B24" s="693" t="s">
        <v>386</v>
      </c>
      <c r="C24" s="694" t="s">
        <v>387</v>
      </c>
      <c r="D24" s="721"/>
      <c r="E24" s="697"/>
      <c r="F24" s="697"/>
      <c r="G24" s="698"/>
      <c r="H24" s="681"/>
      <c r="I24" s="699"/>
      <c r="J24" s="691"/>
      <c r="K24" s="700"/>
      <c r="L24" s="701"/>
      <c r="M24" s="701"/>
    </row>
    <row r="25" spans="1:13" s="65" customFormat="1" ht="51" customHeight="1">
      <c r="A25" s="702"/>
      <c r="B25" s="316" t="s">
        <v>399</v>
      </c>
      <c r="C25" s="704"/>
      <c r="D25" s="722"/>
      <c r="E25" s="707"/>
      <c r="F25" s="707"/>
      <c r="G25" s="698"/>
      <c r="H25" s="681"/>
      <c r="I25" s="699"/>
      <c r="J25" s="691"/>
      <c r="K25" s="700"/>
      <c r="L25" s="701"/>
      <c r="M25" s="701"/>
    </row>
    <row r="26" spans="1:13" s="65" customFormat="1" ht="42" customHeight="1">
      <c r="A26" s="702"/>
      <c r="B26" s="316" t="s">
        <v>400</v>
      </c>
      <c r="C26" s="709"/>
      <c r="D26" s="723" t="s">
        <v>394</v>
      </c>
      <c r="E26" s="712">
        <f>33849.9+12291.56</f>
        <v>46141.46</v>
      </c>
      <c r="F26" s="712">
        <f>191816.1+69652.08</f>
        <v>261468.18</v>
      </c>
      <c r="G26" s="698"/>
      <c r="H26" s="681"/>
      <c r="I26" s="699"/>
      <c r="J26" s="691"/>
      <c r="K26" s="700"/>
      <c r="L26" s="701"/>
      <c r="M26" s="701"/>
    </row>
    <row r="27" spans="1:13" s="65" customFormat="1" ht="41.25" customHeight="1">
      <c r="A27" s="692">
        <v>5</v>
      </c>
      <c r="B27" s="693" t="s">
        <v>386</v>
      </c>
      <c r="C27" s="694" t="s">
        <v>387</v>
      </c>
      <c r="D27" s="721"/>
      <c r="E27" s="697"/>
      <c r="F27" s="697"/>
      <c r="G27" s="698"/>
      <c r="H27" s="681"/>
      <c r="I27" s="699"/>
      <c r="J27" s="691"/>
      <c r="K27" s="700"/>
      <c r="L27" s="701"/>
      <c r="M27" s="701"/>
    </row>
    <row r="28" spans="1:13" s="65" customFormat="1" ht="74.25" customHeight="1">
      <c r="A28" s="702"/>
      <c r="B28" s="316" t="s">
        <v>401</v>
      </c>
      <c r="C28" s="704"/>
      <c r="D28" s="722"/>
      <c r="E28" s="707"/>
      <c r="F28" s="707"/>
      <c r="G28" s="698"/>
      <c r="H28" s="681"/>
      <c r="I28" s="699"/>
      <c r="J28" s="691"/>
      <c r="K28" s="700"/>
      <c r="L28" s="701"/>
      <c r="M28" s="701"/>
    </row>
    <row r="29" spans="1:13" s="65" customFormat="1" ht="42" customHeight="1">
      <c r="A29" s="702"/>
      <c r="B29" s="316" t="s">
        <v>402</v>
      </c>
      <c r="C29" s="709"/>
      <c r="D29" s="723" t="s">
        <v>394</v>
      </c>
      <c r="E29" s="712">
        <f>26352.02-105+7828.32</f>
        <v>34075.34</v>
      </c>
      <c r="F29" s="712">
        <f>149328.08-595+44360.45</f>
        <v>193093.52999999997</v>
      </c>
      <c r="G29" s="698"/>
      <c r="H29" s="681"/>
      <c r="I29" s="699"/>
      <c r="J29" s="691"/>
      <c r="K29" s="700"/>
      <c r="L29" s="701"/>
      <c r="M29" s="701"/>
    </row>
    <row r="30" spans="1:13" s="65" customFormat="1" ht="39" customHeight="1">
      <c r="A30" s="692">
        <v>6</v>
      </c>
      <c r="B30" s="693" t="s">
        <v>386</v>
      </c>
      <c r="C30" s="724" t="s">
        <v>387</v>
      </c>
      <c r="D30" s="722"/>
      <c r="E30" s="707"/>
      <c r="F30" s="707"/>
      <c r="G30" s="698"/>
      <c r="H30" s="681"/>
      <c r="I30" s="699"/>
      <c r="J30" s="691"/>
      <c r="K30" s="700"/>
      <c r="L30" s="701"/>
      <c r="M30" s="701"/>
    </row>
    <row r="31" spans="1:13" s="65" customFormat="1" ht="42" customHeight="1">
      <c r="A31" s="702"/>
      <c r="B31" s="703" t="s">
        <v>403</v>
      </c>
      <c r="C31" s="725"/>
      <c r="D31" s="722"/>
      <c r="E31" s="707"/>
      <c r="F31" s="707"/>
      <c r="G31" s="698"/>
      <c r="H31" s="681"/>
      <c r="I31" s="699"/>
      <c r="J31" s="691"/>
      <c r="K31" s="700"/>
      <c r="L31" s="701"/>
      <c r="M31" s="701"/>
    </row>
    <row r="32" spans="1:13" s="65" customFormat="1" ht="39" customHeight="1">
      <c r="A32" s="702"/>
      <c r="B32" s="726" t="s">
        <v>404</v>
      </c>
      <c r="C32" s="725"/>
      <c r="D32" s="723" t="s">
        <v>405</v>
      </c>
      <c r="E32" s="707">
        <f>65500.65+2325</f>
        <v>67825.65</v>
      </c>
      <c r="F32" s="707">
        <f>371170.35+13175</f>
        <v>384345.35</v>
      </c>
      <c r="G32" s="698"/>
      <c r="H32" s="681">
        <f>E32+F32</f>
        <v>452171</v>
      </c>
      <c r="I32" s="699"/>
      <c r="J32" s="691"/>
      <c r="K32" s="700"/>
      <c r="L32" s="701"/>
      <c r="M32" s="701"/>
    </row>
    <row r="33" spans="1:13" s="65" customFormat="1" ht="42" customHeight="1">
      <c r="A33" s="692">
        <v>7</v>
      </c>
      <c r="B33" s="693" t="s">
        <v>386</v>
      </c>
      <c r="C33" s="727" t="s">
        <v>387</v>
      </c>
      <c r="D33" s="695"/>
      <c r="E33" s="697"/>
      <c r="F33" s="728"/>
      <c r="G33" s="698"/>
      <c r="H33" s="681">
        <v>450707.6</v>
      </c>
      <c r="I33" s="699"/>
      <c r="J33" s="691"/>
      <c r="K33" s="700"/>
      <c r="L33" s="701"/>
      <c r="M33" s="701"/>
    </row>
    <row r="34" spans="1:13" s="65" customFormat="1" ht="42" customHeight="1">
      <c r="A34" s="702"/>
      <c r="B34" s="703" t="s">
        <v>406</v>
      </c>
      <c r="C34" s="704"/>
      <c r="D34" s="705"/>
      <c r="E34" s="707"/>
      <c r="F34" s="729"/>
      <c r="G34" s="698"/>
      <c r="H34" s="681">
        <f>H32-H33</f>
        <v>1463.4000000000233</v>
      </c>
      <c r="I34" s="699"/>
      <c r="J34" s="691"/>
      <c r="K34" s="700"/>
      <c r="L34" s="701"/>
      <c r="M34" s="701"/>
    </row>
    <row r="35" spans="1:13" s="65" customFormat="1" ht="42" customHeight="1">
      <c r="A35" s="708"/>
      <c r="B35" s="703" t="s">
        <v>407</v>
      </c>
      <c r="C35" s="709"/>
      <c r="D35" s="723" t="s">
        <v>394</v>
      </c>
      <c r="E35" s="712">
        <f>89821.42+17767.11</f>
        <v>107588.53</v>
      </c>
      <c r="F35" s="730">
        <f>508988.03+116185.96</f>
        <v>625173.99</v>
      </c>
      <c r="G35" s="698"/>
      <c r="H35" s="681"/>
      <c r="I35" s="699"/>
      <c r="J35" s="691"/>
      <c r="K35" s="700"/>
      <c r="L35" s="701"/>
      <c r="M35" s="701"/>
    </row>
    <row r="36" spans="1:13" s="65" customFormat="1" ht="42.75" customHeight="1">
      <c r="A36" s="713">
        <v>8</v>
      </c>
      <c r="B36" s="693" t="s">
        <v>386</v>
      </c>
      <c r="C36" s="731" t="s">
        <v>408</v>
      </c>
      <c r="D36" s="722"/>
      <c r="E36" s="707"/>
      <c r="F36" s="707"/>
      <c r="G36" s="698"/>
      <c r="H36" s="681"/>
      <c r="I36" s="699"/>
      <c r="J36" s="691"/>
      <c r="K36" s="700"/>
      <c r="L36" s="701"/>
      <c r="M36" s="701"/>
    </row>
    <row r="37" spans="1:13" s="65" customFormat="1" ht="35.25" customHeight="1">
      <c r="A37" s="702"/>
      <c r="B37" s="732" t="s">
        <v>409</v>
      </c>
      <c r="C37" s="717"/>
      <c r="D37" s="733"/>
      <c r="E37" s="707"/>
      <c r="F37" s="707"/>
      <c r="G37" s="698"/>
      <c r="H37" s="681"/>
      <c r="I37" s="699"/>
      <c r="J37" s="691"/>
      <c r="K37" s="700"/>
      <c r="L37" s="701"/>
      <c r="M37" s="701"/>
    </row>
    <row r="38" spans="1:13" s="65" customFormat="1" ht="86.25" customHeight="1">
      <c r="A38" s="708"/>
      <c r="B38" s="734" t="s">
        <v>410</v>
      </c>
      <c r="C38" s="719"/>
      <c r="D38" s="735" t="s">
        <v>394</v>
      </c>
      <c r="E38" s="712">
        <v>495.24</v>
      </c>
      <c r="F38" s="712">
        <v>158591.88</v>
      </c>
      <c r="G38" s="698"/>
      <c r="H38" s="681"/>
      <c r="I38" s="699"/>
      <c r="J38" s="691"/>
      <c r="K38" s="700"/>
      <c r="L38" s="701"/>
      <c r="M38" s="701"/>
    </row>
    <row r="39" spans="1:13" s="65" customFormat="1" ht="54" customHeight="1">
      <c r="A39" s="692">
        <v>9</v>
      </c>
      <c r="B39" s="736" t="s">
        <v>411</v>
      </c>
      <c r="C39" s="714" t="s">
        <v>396</v>
      </c>
      <c r="D39" s="721"/>
      <c r="E39" s="697"/>
      <c r="F39" s="697"/>
      <c r="G39" s="698"/>
      <c r="H39" s="681"/>
      <c r="I39" s="699"/>
      <c r="J39" s="691"/>
      <c r="K39" s="700"/>
      <c r="L39" s="701"/>
      <c r="M39" s="701"/>
    </row>
    <row r="40" spans="1:13" s="65" customFormat="1" ht="52.5" customHeight="1">
      <c r="A40" s="702"/>
      <c r="B40" s="732" t="s">
        <v>412</v>
      </c>
      <c r="C40" s="717"/>
      <c r="D40" s="733"/>
      <c r="E40" s="707"/>
      <c r="F40" s="707"/>
      <c r="G40" s="698"/>
      <c r="H40" s="681"/>
      <c r="I40" s="699"/>
      <c r="J40" s="691"/>
      <c r="K40" s="700"/>
      <c r="L40" s="701"/>
      <c r="M40" s="701"/>
    </row>
    <row r="41" spans="1:13" s="65" customFormat="1" ht="58.5" customHeight="1">
      <c r="A41" s="708"/>
      <c r="B41" s="734" t="s">
        <v>413</v>
      </c>
      <c r="C41" s="719"/>
      <c r="D41" s="735" t="s">
        <v>394</v>
      </c>
      <c r="E41" s="712"/>
      <c r="F41" s="712">
        <v>6768</v>
      </c>
      <c r="G41" s="698"/>
      <c r="H41" s="681"/>
      <c r="I41" s="737"/>
      <c r="J41" s="691"/>
      <c r="K41" s="700"/>
      <c r="L41" s="701"/>
      <c r="M41" s="701"/>
    </row>
    <row r="42" spans="1:13" s="65" customFormat="1" ht="39" customHeight="1">
      <c r="A42" s="713">
        <v>10</v>
      </c>
      <c r="B42" s="693" t="s">
        <v>386</v>
      </c>
      <c r="C42" s="714" t="s">
        <v>396</v>
      </c>
      <c r="D42" s="715"/>
      <c r="E42" s="697"/>
      <c r="F42" s="697"/>
      <c r="G42" s="698"/>
      <c r="H42" s="681"/>
      <c r="I42" s="737"/>
      <c r="J42" s="691"/>
      <c r="K42" s="700"/>
      <c r="L42" s="701"/>
      <c r="M42" s="701"/>
    </row>
    <row r="43" spans="1:13" s="65" customFormat="1" ht="75" customHeight="1">
      <c r="A43" s="702"/>
      <c r="B43" s="716" t="s">
        <v>414</v>
      </c>
      <c r="C43" s="717"/>
      <c r="D43" s="718"/>
      <c r="E43" s="707"/>
      <c r="F43" s="707"/>
      <c r="G43" s="698"/>
      <c r="H43" s="681"/>
      <c r="I43" s="737"/>
      <c r="J43" s="691"/>
      <c r="K43" s="700"/>
      <c r="L43" s="701"/>
      <c r="M43" s="701"/>
    </row>
    <row r="44" spans="1:13" s="65" customFormat="1" ht="42" customHeight="1">
      <c r="A44" s="708"/>
      <c r="B44" s="716" t="s">
        <v>415</v>
      </c>
      <c r="C44" s="719"/>
      <c r="D44" s="710" t="s">
        <v>394</v>
      </c>
      <c r="E44" s="712">
        <v>22000</v>
      </c>
      <c r="F44" s="712">
        <v>54580</v>
      </c>
      <c r="G44" s="698"/>
      <c r="H44" s="681"/>
      <c r="I44" s="737"/>
      <c r="J44" s="691"/>
      <c r="K44" s="700"/>
      <c r="L44" s="701"/>
      <c r="M44" s="701"/>
    </row>
    <row r="45" spans="1:13" s="65" customFormat="1" ht="56.25" customHeight="1">
      <c r="A45" s="692">
        <v>11</v>
      </c>
      <c r="B45" s="693" t="s">
        <v>386</v>
      </c>
      <c r="C45" s="738" t="s">
        <v>416</v>
      </c>
      <c r="D45" s="695"/>
      <c r="E45" s="697"/>
      <c r="F45" s="697"/>
      <c r="G45" s="698"/>
      <c r="H45" s="681"/>
      <c r="I45" s="737"/>
      <c r="J45" s="691"/>
      <c r="K45" s="700"/>
      <c r="L45" s="701"/>
      <c r="M45" s="701"/>
    </row>
    <row r="46" spans="1:13" s="65" customFormat="1" ht="60.75" customHeight="1">
      <c r="A46" s="702"/>
      <c r="B46" s="716" t="s">
        <v>417</v>
      </c>
      <c r="C46" s="704"/>
      <c r="D46" s="705"/>
      <c r="E46" s="707"/>
      <c r="F46" s="707"/>
      <c r="G46" s="698"/>
      <c r="H46" s="681"/>
      <c r="I46" s="737"/>
      <c r="J46" s="691"/>
      <c r="K46" s="700"/>
      <c r="L46" s="701"/>
      <c r="M46" s="701"/>
    </row>
    <row r="47" spans="1:13" s="65" customFormat="1" ht="38.25" customHeight="1">
      <c r="A47" s="708"/>
      <c r="B47" s="716" t="s">
        <v>418</v>
      </c>
      <c r="C47" s="709"/>
      <c r="D47" s="705" t="s">
        <v>419</v>
      </c>
      <c r="E47" s="707" t="s">
        <v>395</v>
      </c>
      <c r="F47" s="707">
        <v>422070</v>
      </c>
      <c r="G47" s="698"/>
      <c r="H47" s="681"/>
      <c r="I47" s="737"/>
      <c r="J47" s="691"/>
      <c r="K47" s="700"/>
      <c r="L47" s="701"/>
      <c r="M47" s="701"/>
    </row>
    <row r="48" spans="1:13" s="65" customFormat="1" ht="38.25" customHeight="1">
      <c r="A48" s="692">
        <v>12</v>
      </c>
      <c r="B48" s="693" t="s">
        <v>386</v>
      </c>
      <c r="C48" s="738" t="s">
        <v>420</v>
      </c>
      <c r="D48" s="695"/>
      <c r="E48" s="696"/>
      <c r="F48" s="697"/>
      <c r="G48" s="698"/>
      <c r="H48" s="681"/>
      <c r="I48" s="737"/>
      <c r="J48" s="691"/>
      <c r="K48" s="700"/>
      <c r="L48" s="701"/>
      <c r="M48" s="701"/>
    </row>
    <row r="49" spans="1:13" s="65" customFormat="1" ht="91.5" customHeight="1">
      <c r="A49" s="702"/>
      <c r="B49" s="716" t="s">
        <v>421</v>
      </c>
      <c r="C49" s="704"/>
      <c r="D49" s="705"/>
      <c r="E49" s="706"/>
      <c r="F49" s="707"/>
      <c r="G49" s="698"/>
      <c r="H49" s="681"/>
      <c r="I49" s="737"/>
      <c r="J49" s="691"/>
      <c r="K49" s="700"/>
      <c r="L49" s="701"/>
      <c r="M49" s="701"/>
    </row>
    <row r="50" spans="1:13" s="65" customFormat="1" ht="42.75" customHeight="1">
      <c r="A50" s="708"/>
      <c r="B50" s="716" t="s">
        <v>422</v>
      </c>
      <c r="C50" s="709"/>
      <c r="D50" s="710" t="s">
        <v>423</v>
      </c>
      <c r="E50" s="712" t="s">
        <v>395</v>
      </c>
      <c r="F50" s="739">
        <v>192024</v>
      </c>
      <c r="G50" s="698"/>
      <c r="H50" s="681"/>
      <c r="I50" s="737"/>
      <c r="J50" s="691"/>
      <c r="K50" s="700"/>
      <c r="L50" s="701"/>
      <c r="M50" s="701"/>
    </row>
    <row r="51" spans="1:13" s="65" customFormat="1" ht="56.25" customHeight="1">
      <c r="A51" s="692">
        <v>13</v>
      </c>
      <c r="B51" s="740" t="s">
        <v>386</v>
      </c>
      <c r="C51" s="714" t="s">
        <v>396</v>
      </c>
      <c r="D51" s="695"/>
      <c r="E51" s="696"/>
      <c r="F51" s="697"/>
      <c r="G51" s="698"/>
      <c r="H51" s="681"/>
      <c r="I51" s="699"/>
      <c r="J51" s="691"/>
      <c r="K51" s="700"/>
      <c r="L51" s="701"/>
      <c r="M51" s="701"/>
    </row>
    <row r="52" spans="1:13" s="65" customFormat="1" ht="112.5" customHeight="1">
      <c r="A52" s="702"/>
      <c r="B52" s="716" t="s">
        <v>424</v>
      </c>
      <c r="C52" s="704"/>
      <c r="D52" s="705"/>
      <c r="E52" s="706"/>
      <c r="F52" s="707"/>
      <c r="G52" s="698"/>
      <c r="H52" s="681"/>
      <c r="I52" s="699"/>
      <c r="J52" s="691"/>
      <c r="K52" s="700"/>
      <c r="L52" s="701"/>
      <c r="M52" s="701"/>
    </row>
    <row r="53" spans="1:13" s="65" customFormat="1" ht="30" customHeight="1">
      <c r="A53" s="702"/>
      <c r="B53" s="741" t="s">
        <v>425</v>
      </c>
      <c r="C53" s="725"/>
      <c r="D53" s="705">
        <v>2014</v>
      </c>
      <c r="E53" s="706"/>
      <c r="F53" s="707">
        <v>67969.54</v>
      </c>
      <c r="G53" s="698"/>
      <c r="H53" s="681"/>
      <c r="I53" s="699"/>
      <c r="J53" s="691"/>
      <c r="K53" s="700"/>
      <c r="L53" s="701"/>
      <c r="M53" s="701"/>
    </row>
    <row r="54" spans="1:13" s="65" customFormat="1" ht="55.5" customHeight="1">
      <c r="A54" s="692">
        <v>14</v>
      </c>
      <c r="B54" s="742" t="s">
        <v>411</v>
      </c>
      <c r="C54" s="724" t="s">
        <v>426</v>
      </c>
      <c r="D54" s="695"/>
      <c r="E54" s="697"/>
      <c r="F54" s="697"/>
      <c r="G54" s="698"/>
      <c r="H54" s="681"/>
      <c r="I54" s="699"/>
      <c r="J54" s="691"/>
      <c r="K54" s="700"/>
      <c r="L54" s="701"/>
      <c r="M54" s="701"/>
    </row>
    <row r="55" spans="1:13" s="65" customFormat="1" ht="39.75" customHeight="1">
      <c r="A55" s="702"/>
      <c r="B55" s="716" t="s">
        <v>427</v>
      </c>
      <c r="C55" s="725"/>
      <c r="D55" s="705"/>
      <c r="E55" s="707"/>
      <c r="F55" s="707"/>
      <c r="G55" s="698"/>
      <c r="H55" s="681"/>
      <c r="I55" s="699"/>
      <c r="J55" s="691"/>
      <c r="K55" s="700"/>
      <c r="L55" s="701"/>
      <c r="M55" s="701"/>
    </row>
    <row r="56" spans="1:13" s="65" customFormat="1" ht="45.75" customHeight="1">
      <c r="A56" s="708"/>
      <c r="B56" s="716" t="s">
        <v>428</v>
      </c>
      <c r="C56" s="709"/>
      <c r="D56" s="705" t="s">
        <v>423</v>
      </c>
      <c r="E56" s="707"/>
      <c r="F56" s="707">
        <v>42742.4</v>
      </c>
      <c r="G56" s="698"/>
      <c r="H56" s="681"/>
      <c r="I56" s="699"/>
      <c r="J56" s="691"/>
      <c r="K56" s="700"/>
      <c r="L56" s="701"/>
      <c r="M56" s="701"/>
    </row>
    <row r="57" spans="1:13" s="65" customFormat="1" ht="42" customHeight="1">
      <c r="A57" s="692">
        <v>15</v>
      </c>
      <c r="B57" s="693" t="s">
        <v>386</v>
      </c>
      <c r="C57" s="743" t="s">
        <v>387</v>
      </c>
      <c r="D57" s="695"/>
      <c r="E57" s="696"/>
      <c r="F57" s="697"/>
      <c r="G57" s="698"/>
      <c r="H57" s="681"/>
      <c r="I57" s="699"/>
      <c r="J57" s="691"/>
      <c r="K57" s="700"/>
      <c r="L57" s="701"/>
      <c r="M57" s="701"/>
    </row>
    <row r="58" spans="1:13" s="65" customFormat="1" ht="54.75" customHeight="1">
      <c r="A58" s="702"/>
      <c r="B58" s="703" t="s">
        <v>429</v>
      </c>
      <c r="C58" s="704"/>
      <c r="D58" s="705"/>
      <c r="E58" s="706"/>
      <c r="F58" s="707"/>
      <c r="G58" s="698"/>
      <c r="H58" s="681"/>
      <c r="I58" s="699"/>
      <c r="J58" s="691"/>
      <c r="K58" s="700"/>
      <c r="L58" s="701"/>
      <c r="M58" s="701"/>
    </row>
    <row r="59" spans="1:13" s="65" customFormat="1" ht="45.75" customHeight="1">
      <c r="A59" s="708"/>
      <c r="B59" s="703" t="s">
        <v>430</v>
      </c>
      <c r="C59" s="709"/>
      <c r="D59" s="710" t="s">
        <v>431</v>
      </c>
      <c r="E59" s="711">
        <v>125690.25</v>
      </c>
      <c r="F59" s="712">
        <v>712244.78</v>
      </c>
      <c r="G59" s="698"/>
      <c r="H59" s="681"/>
      <c r="I59" s="699"/>
      <c r="J59" s="691"/>
      <c r="K59" s="700"/>
      <c r="L59" s="701"/>
      <c r="M59" s="701"/>
    </row>
    <row r="60" spans="1:13" s="65" customFormat="1" ht="45.75" customHeight="1">
      <c r="A60" s="692">
        <v>16</v>
      </c>
      <c r="B60" s="693" t="s">
        <v>386</v>
      </c>
      <c r="C60" s="714" t="s">
        <v>396</v>
      </c>
      <c r="D60" s="721"/>
      <c r="E60" s="697"/>
      <c r="F60" s="697"/>
      <c r="G60" s="698"/>
      <c r="H60" s="681"/>
      <c r="I60" s="699"/>
      <c r="J60" s="691"/>
      <c r="K60" s="700"/>
      <c r="L60" s="701"/>
      <c r="M60" s="701"/>
    </row>
    <row r="61" spans="1:13" s="65" customFormat="1" ht="98.25" customHeight="1">
      <c r="A61" s="702"/>
      <c r="B61" s="703" t="s">
        <v>432</v>
      </c>
      <c r="C61" s="717"/>
      <c r="D61" s="733"/>
      <c r="E61" s="707"/>
      <c r="F61" s="707"/>
      <c r="G61" s="698"/>
      <c r="H61" s="681"/>
      <c r="I61" s="699"/>
      <c r="J61" s="691"/>
      <c r="K61" s="700"/>
      <c r="L61" s="701"/>
      <c r="M61" s="701"/>
    </row>
    <row r="62" spans="1:13" s="65" customFormat="1" ht="45.75" customHeight="1">
      <c r="A62" s="708"/>
      <c r="B62" s="703" t="s">
        <v>433</v>
      </c>
      <c r="C62" s="719"/>
      <c r="D62" s="744">
        <v>2014</v>
      </c>
      <c r="E62" s="712"/>
      <c r="F62" s="712">
        <v>61743.16</v>
      </c>
      <c r="G62" s="698"/>
      <c r="H62" s="681"/>
      <c r="I62" s="699"/>
      <c r="J62" s="691"/>
      <c r="K62" s="700"/>
      <c r="L62" s="701"/>
      <c r="M62" s="701"/>
    </row>
    <row r="63" spans="1:11" ht="36.75" customHeight="1">
      <c r="A63" s="745" t="s">
        <v>434</v>
      </c>
      <c r="B63" s="746"/>
      <c r="C63" s="747"/>
      <c r="D63" s="748"/>
      <c r="E63" s="749">
        <f>E66+E69+E72+E75</f>
        <v>16200</v>
      </c>
      <c r="F63" s="749">
        <f>F66+F69+F72+F75</f>
        <v>456286.08999999997</v>
      </c>
      <c r="H63" s="681"/>
      <c r="I63" s="750"/>
      <c r="J63" s="312"/>
      <c r="K63" s="751"/>
    </row>
    <row r="64" spans="1:9" ht="45" customHeight="1">
      <c r="A64" s="713">
        <v>1</v>
      </c>
      <c r="B64" s="742" t="s">
        <v>411</v>
      </c>
      <c r="C64" s="752" t="s">
        <v>435</v>
      </c>
      <c r="D64" s="721"/>
      <c r="E64" s="753"/>
      <c r="F64" s="754"/>
      <c r="H64" s="681"/>
      <c r="I64" s="699"/>
    </row>
    <row r="65" spans="1:9" ht="45.75" customHeight="1">
      <c r="A65" s="702"/>
      <c r="B65" s="716" t="s">
        <v>436</v>
      </c>
      <c r="C65" s="717"/>
      <c r="D65" s="722"/>
      <c r="E65" s="755"/>
      <c r="F65" s="756"/>
      <c r="H65" s="681"/>
      <c r="I65" s="699"/>
    </row>
    <row r="66" spans="1:10" ht="41.25" customHeight="1">
      <c r="A66" s="708"/>
      <c r="B66" s="716" t="s">
        <v>437</v>
      </c>
      <c r="C66" s="719"/>
      <c r="D66" s="723" t="s">
        <v>438</v>
      </c>
      <c r="E66" s="757"/>
      <c r="F66" s="758">
        <f>16777.6+5554.49</f>
        <v>22332.089999999997</v>
      </c>
      <c r="H66" s="681"/>
      <c r="I66" s="699"/>
      <c r="J66" s="318"/>
    </row>
    <row r="67" spans="1:8" ht="42" customHeight="1">
      <c r="A67" s="713">
        <v>2</v>
      </c>
      <c r="B67" s="693" t="s">
        <v>439</v>
      </c>
      <c r="C67" s="759" t="s">
        <v>440</v>
      </c>
      <c r="D67" s="760"/>
      <c r="E67" s="761"/>
      <c r="F67" s="762"/>
      <c r="H67" s="681"/>
    </row>
    <row r="68" spans="1:9" ht="36.75" customHeight="1">
      <c r="A68" s="702"/>
      <c r="B68" s="763" t="s">
        <v>441</v>
      </c>
      <c r="C68" s="319"/>
      <c r="D68" s="764"/>
      <c r="E68" s="765"/>
      <c r="F68" s="766"/>
      <c r="H68" s="681"/>
      <c r="I68" s="767"/>
    </row>
    <row r="69" spans="1:9" ht="36" customHeight="1">
      <c r="A69" s="708"/>
      <c r="B69" s="768" t="s">
        <v>442</v>
      </c>
      <c r="C69" s="769"/>
      <c r="D69" s="723" t="s">
        <v>438</v>
      </c>
      <c r="E69" s="320">
        <v>1200</v>
      </c>
      <c r="F69" s="320">
        <v>165580</v>
      </c>
      <c r="H69" s="681"/>
      <c r="I69" s="767"/>
    </row>
    <row r="70" spans="1:10" ht="44.25" customHeight="1">
      <c r="A70" s="713">
        <v>3</v>
      </c>
      <c r="B70" s="693" t="s">
        <v>443</v>
      </c>
      <c r="C70" s="724" t="s">
        <v>387</v>
      </c>
      <c r="D70" s="760"/>
      <c r="E70" s="761"/>
      <c r="F70" s="762"/>
      <c r="H70" s="681"/>
      <c r="I70" s="767"/>
      <c r="J70" s="318"/>
    </row>
    <row r="71" spans="1:8" ht="60.75" customHeight="1">
      <c r="A71" s="702"/>
      <c r="B71" s="763" t="s">
        <v>444</v>
      </c>
      <c r="C71" s="319"/>
      <c r="D71" s="764"/>
      <c r="E71" s="765"/>
      <c r="F71" s="766"/>
      <c r="H71" s="681"/>
    </row>
    <row r="72" spans="1:8" ht="51.75" customHeight="1">
      <c r="A72" s="708"/>
      <c r="B72" s="763" t="s">
        <v>445</v>
      </c>
      <c r="C72" s="769"/>
      <c r="D72" s="723" t="s">
        <v>438</v>
      </c>
      <c r="E72" s="320">
        <v>15000</v>
      </c>
      <c r="F72" s="320"/>
      <c r="H72" s="681"/>
    </row>
    <row r="73" spans="1:8" ht="40.5" customHeight="1">
      <c r="A73" s="713">
        <v>4</v>
      </c>
      <c r="B73" s="770" t="s">
        <v>446</v>
      </c>
      <c r="C73" s="771" t="s">
        <v>447</v>
      </c>
      <c r="D73" s="760" t="s">
        <v>448</v>
      </c>
      <c r="E73" s="761"/>
      <c r="F73" s="762"/>
      <c r="H73" s="681"/>
    </row>
    <row r="74" spans="1:11" ht="34.5" customHeight="1">
      <c r="A74" s="702"/>
      <c r="B74" s="768" t="s">
        <v>449</v>
      </c>
      <c r="C74" s="319"/>
      <c r="D74" s="764"/>
      <c r="E74" s="765"/>
      <c r="F74" s="766"/>
      <c r="H74" s="681"/>
      <c r="K74" s="772"/>
    </row>
    <row r="75" spans="1:8" ht="35.25" customHeight="1">
      <c r="A75" s="708"/>
      <c r="B75" s="768" t="s">
        <v>450</v>
      </c>
      <c r="C75" s="769"/>
      <c r="D75" s="773"/>
      <c r="E75" s="320"/>
      <c r="F75" s="320">
        <v>268374</v>
      </c>
      <c r="H75" s="681"/>
    </row>
    <row r="76" spans="4:8" ht="18.75">
      <c r="D76" s="774"/>
      <c r="E76" s="28"/>
      <c r="F76" s="1"/>
      <c r="H76" s="681"/>
    </row>
    <row r="77" spans="4:6" ht="18.75">
      <c r="D77" s="774"/>
      <c r="E77" s="1"/>
      <c r="F77" s="1"/>
    </row>
    <row r="78" spans="4:6" ht="18.75">
      <c r="D78" s="774"/>
      <c r="E78" s="1"/>
      <c r="F78" s="1"/>
    </row>
    <row r="79" spans="4:6" ht="18.75">
      <c r="D79" s="774"/>
      <c r="E79" s="1"/>
      <c r="F79" s="1"/>
    </row>
    <row r="80" spans="4:6" ht="18.75">
      <c r="D80" s="774"/>
      <c r="E80" s="1"/>
      <c r="F80" s="1"/>
    </row>
    <row r="81" spans="4:6" ht="18.75">
      <c r="D81" s="774"/>
      <c r="E81" s="1"/>
      <c r="F81" s="1"/>
    </row>
    <row r="82" spans="4:11" ht="18.75">
      <c r="D82" s="774"/>
      <c r="E82" s="28"/>
      <c r="F82" s="1"/>
      <c r="K82" s="772"/>
    </row>
    <row r="83" spans="4:6" ht="18.75">
      <c r="D83" s="774"/>
      <c r="E83" s="28"/>
      <c r="F83" s="1"/>
    </row>
    <row r="84" spans="4:6" ht="18.75">
      <c r="D84" s="774"/>
      <c r="E84" s="28"/>
      <c r="F84" s="1"/>
    </row>
    <row r="85" spans="4:6" ht="18.75">
      <c r="D85" s="774"/>
      <c r="E85" s="28"/>
      <c r="F85" s="1"/>
    </row>
    <row r="86" spans="5:6" ht="18.75">
      <c r="E86" s="775"/>
      <c r="F86" s="1"/>
    </row>
    <row r="87" spans="4:6" ht="18.75">
      <c r="D87" s="776"/>
      <c r="E87" s="1"/>
      <c r="F87" s="28"/>
    </row>
    <row r="88" spans="5:6" ht="18.75">
      <c r="E88" s="1"/>
      <c r="F88" s="28"/>
    </row>
    <row r="89" spans="3:6" ht="18.75">
      <c r="C89" s="4"/>
      <c r="D89" s="4"/>
      <c r="E89" s="775"/>
      <c r="F89" s="28"/>
    </row>
    <row r="90" spans="3:6" ht="18.75">
      <c r="C90" s="4"/>
      <c r="D90" s="4"/>
      <c r="E90" s="775"/>
      <c r="F90" s="28"/>
    </row>
    <row r="91" spans="3:11" ht="18.75">
      <c r="C91" s="4"/>
      <c r="D91" s="4"/>
      <c r="E91" s="775"/>
      <c r="F91" s="28"/>
      <c r="K91" s="772"/>
    </row>
    <row r="92" spans="3:6" ht="18.75">
      <c r="C92" s="4"/>
      <c r="D92" s="4"/>
      <c r="E92" s="157"/>
      <c r="F92" s="777"/>
    </row>
    <row r="93" spans="3:6" ht="18.75">
      <c r="C93" s="4"/>
      <c r="D93" s="4"/>
      <c r="E93" s="157"/>
      <c r="F93" s="777"/>
    </row>
    <row r="94" spans="3:6" ht="18.75">
      <c r="C94" s="4"/>
      <c r="D94" s="4"/>
      <c r="E94" s="28"/>
      <c r="F94" s="28"/>
    </row>
    <row r="95" spans="3:6" ht="18.75">
      <c r="C95" s="4"/>
      <c r="D95" s="4"/>
      <c r="E95" s="157"/>
      <c r="F95" s="777"/>
    </row>
    <row r="96" spans="3:6" ht="18.75">
      <c r="C96" s="4"/>
      <c r="D96" s="4"/>
      <c r="E96" s="28"/>
      <c r="F96" s="28"/>
    </row>
    <row r="97" spans="3:6" ht="18.75">
      <c r="C97" s="4"/>
      <c r="D97" s="4"/>
      <c r="E97" s="28"/>
      <c r="F97" s="28"/>
    </row>
    <row r="98" spans="3:6" ht="18.75">
      <c r="C98" s="4"/>
      <c r="D98" s="4"/>
      <c r="E98" s="28"/>
      <c r="F98" s="28"/>
    </row>
    <row r="99" spans="3:6" ht="18.75">
      <c r="C99" s="4"/>
      <c r="D99" s="4"/>
      <c r="E99" s="28"/>
      <c r="F99" s="28"/>
    </row>
    <row r="100" spans="3:6" ht="18.75">
      <c r="C100" s="4"/>
      <c r="D100" s="4"/>
      <c r="E100" s="28"/>
      <c r="F100" s="28"/>
    </row>
    <row r="101" spans="3:6" ht="18.75">
      <c r="C101" s="4"/>
      <c r="D101" s="4"/>
      <c r="E101" s="28"/>
      <c r="F101" s="28"/>
    </row>
    <row r="102" spans="3:6" ht="18.75">
      <c r="C102" s="4"/>
      <c r="D102" s="4"/>
      <c r="E102" s="28"/>
      <c r="F102" s="28"/>
    </row>
    <row r="103" spans="3:6" ht="18.75">
      <c r="C103" s="4"/>
      <c r="D103" s="4"/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61">
      <selection activeCell="G46" sqref="G46"/>
    </sheetView>
  </sheetViews>
  <sheetFormatPr defaultColWidth="9.140625" defaultRowHeight="12.75"/>
  <cols>
    <col min="1" max="1" width="4.57421875" style="417" customWidth="1"/>
    <col min="2" max="2" width="23.8515625" style="417" customWidth="1"/>
    <col min="3" max="3" width="47.28125" style="546" customWidth="1"/>
    <col min="4" max="4" width="18.57421875" style="417" customWidth="1"/>
    <col min="5" max="5" width="12.7109375" style="538" customWidth="1"/>
    <col min="6" max="6" width="19.00390625" style="417" customWidth="1"/>
    <col min="7" max="7" width="15.8515625" style="417" customWidth="1"/>
    <col min="8" max="16384" width="9.140625" style="417" customWidth="1"/>
  </cols>
  <sheetData>
    <row r="1" ht="19.5" customHeight="1">
      <c r="C1" s="537" t="s">
        <v>308</v>
      </c>
    </row>
    <row r="2" ht="19.5" customHeight="1">
      <c r="C2" s="539" t="s">
        <v>306</v>
      </c>
    </row>
    <row r="3" ht="15" customHeight="1">
      <c r="C3" s="539" t="s">
        <v>116</v>
      </c>
    </row>
    <row r="4" ht="17.25" customHeight="1">
      <c r="C4" s="178" t="s">
        <v>307</v>
      </c>
    </row>
    <row r="5" ht="14.25" customHeight="1">
      <c r="C5" s="539"/>
    </row>
    <row r="6" ht="14.25" customHeight="1">
      <c r="C6" s="539"/>
    </row>
    <row r="7" spans="1:5" s="543" customFormat="1" ht="19.5" customHeight="1">
      <c r="A7" s="540" t="s">
        <v>212</v>
      </c>
      <c r="B7" s="541"/>
      <c r="C7" s="542"/>
      <c r="D7" s="417"/>
      <c r="E7" s="538"/>
    </row>
    <row r="8" spans="1:5" s="543" customFormat="1" ht="19.5" customHeight="1">
      <c r="A8" s="540" t="s">
        <v>213</v>
      </c>
      <c r="B8" s="541"/>
      <c r="C8" s="542"/>
      <c r="D8" s="417"/>
      <c r="E8" s="538"/>
    </row>
    <row r="9" spans="1:3" ht="18.75" customHeight="1">
      <c r="A9" s="540" t="s">
        <v>214</v>
      </c>
      <c r="B9" s="481"/>
      <c r="C9" s="542"/>
    </row>
    <row r="10" spans="1:2" ht="13.5">
      <c r="A10" s="544" t="s">
        <v>33</v>
      </c>
      <c r="B10" s="545"/>
    </row>
    <row r="11" spans="3:4" ht="11.25" customHeight="1">
      <c r="C11" s="547"/>
      <c r="D11" s="476" t="s">
        <v>43</v>
      </c>
    </row>
    <row r="12" spans="1:4" ht="33" customHeight="1">
      <c r="A12" s="548" t="s">
        <v>44</v>
      </c>
      <c r="B12" s="548" t="s">
        <v>215</v>
      </c>
      <c r="C12" s="373" t="s">
        <v>216</v>
      </c>
      <c r="D12" s="418" t="s">
        <v>217</v>
      </c>
    </row>
    <row r="13" spans="1:5" s="481" customFormat="1" ht="22.5" customHeight="1">
      <c r="A13" s="549" t="s">
        <v>218</v>
      </c>
      <c r="B13" s="550"/>
      <c r="C13" s="551"/>
      <c r="D13" s="422">
        <f>D14+D18</f>
        <v>8745919.379999999</v>
      </c>
      <c r="E13" s="552"/>
    </row>
    <row r="14" spans="1:5" s="481" customFormat="1" ht="24.75" customHeight="1">
      <c r="A14" s="553" t="s">
        <v>219</v>
      </c>
      <c r="B14" s="554"/>
      <c r="C14" s="555"/>
      <c r="D14" s="422">
        <f>D15</f>
        <v>2536226</v>
      </c>
      <c r="E14" s="556"/>
    </row>
    <row r="15" spans="1:5" s="481" customFormat="1" ht="30" customHeight="1">
      <c r="A15" s="557">
        <v>801</v>
      </c>
      <c r="B15" s="558" t="s">
        <v>63</v>
      </c>
      <c r="C15" s="559"/>
      <c r="D15" s="459">
        <f>SUM(D16:D17)</f>
        <v>2536226</v>
      </c>
      <c r="E15" s="560"/>
    </row>
    <row r="16" spans="1:5" s="481" customFormat="1" ht="29.25" customHeight="1">
      <c r="A16" s="561"/>
      <c r="B16" s="562"/>
      <c r="C16" s="371" t="s">
        <v>220</v>
      </c>
      <c r="D16" s="419">
        <f>1982426-264000</f>
        <v>1718426</v>
      </c>
      <c r="E16" s="552"/>
    </row>
    <row r="17" spans="1:5" s="481" customFormat="1" ht="33" customHeight="1">
      <c r="A17" s="561"/>
      <c r="B17" s="562"/>
      <c r="C17" s="371" t="s">
        <v>221</v>
      </c>
      <c r="D17" s="419">
        <v>817800</v>
      </c>
      <c r="E17" s="552"/>
    </row>
    <row r="18" spans="1:5" s="481" customFormat="1" ht="24.75" customHeight="1">
      <c r="A18" s="553" t="s">
        <v>222</v>
      </c>
      <c r="B18" s="554"/>
      <c r="C18" s="555"/>
      <c r="D18" s="460">
        <f>D19+D31+D36+D44+D48+D54</f>
        <v>6209693.38</v>
      </c>
      <c r="E18" s="552"/>
    </row>
    <row r="19" spans="1:5" s="481" customFormat="1" ht="21.75" customHeight="1">
      <c r="A19" s="563">
        <v>851</v>
      </c>
      <c r="B19" s="564" t="s">
        <v>66</v>
      </c>
      <c r="C19" s="565"/>
      <c r="D19" s="477">
        <f>SUM(D20:D30)</f>
        <v>996500</v>
      </c>
      <c r="E19" s="560"/>
    </row>
    <row r="20" spans="1:5" s="481" customFormat="1" ht="38.25" customHeight="1">
      <c r="A20" s="566"/>
      <c r="B20" s="567"/>
      <c r="C20" s="371" t="s">
        <v>223</v>
      </c>
      <c r="D20" s="419">
        <v>95000</v>
      </c>
      <c r="E20" s="552"/>
    </row>
    <row r="21" spans="1:5" s="481" customFormat="1" ht="27.75" customHeight="1">
      <c r="A21" s="568"/>
      <c r="B21" s="569"/>
      <c r="C21" s="371" t="s">
        <v>224</v>
      </c>
      <c r="D21" s="419">
        <v>440000</v>
      </c>
      <c r="E21" s="552"/>
    </row>
    <row r="22" spans="1:5" s="481" customFormat="1" ht="47.25" customHeight="1">
      <c r="A22" s="568"/>
      <c r="B22" s="570"/>
      <c r="C22" s="371" t="s">
        <v>225</v>
      </c>
      <c r="D22" s="419">
        <v>50000</v>
      </c>
      <c r="E22" s="552"/>
    </row>
    <row r="23" spans="1:5" s="481" customFormat="1" ht="27" customHeight="1">
      <c r="A23" s="568"/>
      <c r="B23" s="570"/>
      <c r="C23" s="371" t="s">
        <v>226</v>
      </c>
      <c r="D23" s="419">
        <v>10000</v>
      </c>
      <c r="E23" s="552"/>
    </row>
    <row r="24" spans="1:5" s="481" customFormat="1" ht="42" customHeight="1">
      <c r="A24" s="568"/>
      <c r="B24" s="570"/>
      <c r="C24" s="371" t="s">
        <v>227</v>
      </c>
      <c r="D24" s="419">
        <f>49500+70000</f>
        <v>119500</v>
      </c>
      <c r="E24" s="552"/>
    </row>
    <row r="25" spans="1:5" s="481" customFormat="1" ht="36" customHeight="1">
      <c r="A25" s="568"/>
      <c r="B25" s="570"/>
      <c r="C25" s="371" t="s">
        <v>228</v>
      </c>
      <c r="D25" s="419">
        <v>60000</v>
      </c>
      <c r="E25" s="552"/>
    </row>
    <row r="26" spans="1:5" s="481" customFormat="1" ht="27.75" customHeight="1">
      <c r="A26" s="568"/>
      <c r="B26" s="570"/>
      <c r="C26" s="371" t="s">
        <v>229</v>
      </c>
      <c r="D26" s="419">
        <v>101000</v>
      </c>
      <c r="E26" s="552"/>
    </row>
    <row r="27" spans="1:5" s="481" customFormat="1" ht="31.5" customHeight="1">
      <c r="A27" s="568"/>
      <c r="B27" s="570"/>
      <c r="C27" s="371" t="s">
        <v>230</v>
      </c>
      <c r="D27" s="419">
        <v>90000</v>
      </c>
      <c r="E27" s="552"/>
    </row>
    <row r="28" spans="1:5" s="481" customFormat="1" ht="33.75" customHeight="1">
      <c r="A28" s="568"/>
      <c r="B28" s="570"/>
      <c r="C28" s="371" t="s">
        <v>231</v>
      </c>
      <c r="D28" s="419">
        <v>25000</v>
      </c>
      <c r="E28" s="552"/>
    </row>
    <row r="29" spans="1:5" s="481" customFormat="1" ht="45.75" customHeight="1">
      <c r="A29" s="568"/>
      <c r="B29" s="570"/>
      <c r="C29" s="571" t="s">
        <v>232</v>
      </c>
      <c r="D29" s="629">
        <f>50000-50000</f>
        <v>0</v>
      </c>
      <c r="E29" s="552"/>
    </row>
    <row r="30" spans="1:5" s="481" customFormat="1" ht="23.25" customHeight="1">
      <c r="A30" s="568"/>
      <c r="B30" s="570"/>
      <c r="C30" s="571" t="s">
        <v>233</v>
      </c>
      <c r="D30" s="320">
        <v>6000</v>
      </c>
      <c r="E30" s="552"/>
    </row>
    <row r="31" spans="1:5" s="481" customFormat="1" ht="21" customHeight="1">
      <c r="A31" s="566">
        <v>852</v>
      </c>
      <c r="B31" s="572" t="s">
        <v>118</v>
      </c>
      <c r="C31" s="565"/>
      <c r="D31" s="423">
        <f>SUM(D32:D35)</f>
        <v>1265000</v>
      </c>
      <c r="E31" s="552"/>
    </row>
    <row r="32" spans="1:5" s="481" customFormat="1" ht="37.5" customHeight="1">
      <c r="A32" s="573"/>
      <c r="B32" s="574"/>
      <c r="C32" s="575" t="s">
        <v>234</v>
      </c>
      <c r="D32" s="419">
        <v>950000</v>
      </c>
      <c r="E32" s="552"/>
    </row>
    <row r="33" spans="1:5" s="481" customFormat="1" ht="27" customHeight="1">
      <c r="A33" s="576"/>
      <c r="B33" s="577"/>
      <c r="C33" s="578" t="s">
        <v>235</v>
      </c>
      <c r="D33" s="419">
        <v>200000</v>
      </c>
      <c r="E33" s="552"/>
    </row>
    <row r="34" spans="1:5" s="481" customFormat="1" ht="38.25" customHeight="1">
      <c r="A34" s="576"/>
      <c r="B34" s="577"/>
      <c r="C34" s="578" t="s">
        <v>236</v>
      </c>
      <c r="D34" s="419">
        <v>85000</v>
      </c>
      <c r="E34" s="552"/>
    </row>
    <row r="35" spans="1:5" s="481" customFormat="1" ht="38.25" customHeight="1">
      <c r="A35" s="576"/>
      <c r="B35" s="577"/>
      <c r="C35" s="578" t="s">
        <v>261</v>
      </c>
      <c r="D35" s="419">
        <v>30000</v>
      </c>
      <c r="E35" s="552"/>
    </row>
    <row r="36" spans="1:5" s="481" customFormat="1" ht="39" customHeight="1">
      <c r="A36" s="579">
        <v>853</v>
      </c>
      <c r="B36" s="580" t="s">
        <v>77</v>
      </c>
      <c r="C36" s="581"/>
      <c r="D36" s="459">
        <f>SUM(D37:D43)</f>
        <v>1065193.38</v>
      </c>
      <c r="E36" s="552"/>
    </row>
    <row r="37" spans="1:5" s="481" customFormat="1" ht="30" customHeight="1">
      <c r="A37" s="576"/>
      <c r="B37" s="577"/>
      <c r="C37" s="581" t="s">
        <v>237</v>
      </c>
      <c r="D37" s="419">
        <f>177600-129600</f>
        <v>48000</v>
      </c>
      <c r="E37" s="552"/>
    </row>
    <row r="38" spans="1:5" s="481" customFormat="1" ht="30" customHeight="1">
      <c r="A38" s="576"/>
      <c r="B38" s="577"/>
      <c r="C38" s="582" t="s">
        <v>0</v>
      </c>
      <c r="D38" s="419">
        <v>54000</v>
      </c>
      <c r="E38" s="552"/>
    </row>
    <row r="39" spans="1:5" s="481" customFormat="1" ht="30" customHeight="1">
      <c r="A39" s="576"/>
      <c r="B39" s="577"/>
      <c r="C39" s="582" t="s">
        <v>1</v>
      </c>
      <c r="D39" s="419">
        <v>19800</v>
      </c>
      <c r="E39" s="552"/>
    </row>
    <row r="40" spans="1:5" s="481" customFormat="1" ht="30.75" customHeight="1">
      <c r="A40" s="576"/>
      <c r="B40" s="577"/>
      <c r="C40" s="582" t="s">
        <v>2</v>
      </c>
      <c r="D40" s="419">
        <v>9000</v>
      </c>
      <c r="E40" s="552"/>
    </row>
    <row r="41" spans="1:5" s="481" customFormat="1" ht="46.5" customHeight="1">
      <c r="A41" s="576"/>
      <c r="B41" s="583"/>
      <c r="C41" s="578" t="s">
        <v>3</v>
      </c>
      <c r="D41" s="419">
        <f>78549.77+13861.73</f>
        <v>92411.5</v>
      </c>
      <c r="E41" s="552"/>
    </row>
    <row r="42" spans="1:5" s="481" customFormat="1" ht="37.5" customHeight="1">
      <c r="A42" s="576"/>
      <c r="B42" s="583"/>
      <c r="C42" s="316" t="s">
        <v>255</v>
      </c>
      <c r="D42" s="419">
        <f>35684.6+6297.28</f>
        <v>41981.88</v>
      </c>
      <c r="E42" s="552"/>
    </row>
    <row r="43" spans="1:5" s="481" customFormat="1" ht="39.75" customHeight="1">
      <c r="A43" s="576"/>
      <c r="B43" s="583"/>
      <c r="C43" s="578" t="s">
        <v>184</v>
      </c>
      <c r="D43" s="419">
        <f>680000+120000</f>
        <v>800000</v>
      </c>
      <c r="E43" s="552"/>
    </row>
    <row r="44" spans="1:5" s="481" customFormat="1" ht="38.25" customHeight="1">
      <c r="A44" s="566">
        <v>900</v>
      </c>
      <c r="B44" s="584" t="s">
        <v>4</v>
      </c>
      <c r="C44" s="585"/>
      <c r="D44" s="422">
        <f>SUM(D45:D47)</f>
        <v>708000</v>
      </c>
      <c r="E44" s="552"/>
    </row>
    <row r="45" spans="1:5" s="481" customFormat="1" ht="53.25" customHeight="1">
      <c r="A45" s="586"/>
      <c r="B45" s="587"/>
      <c r="C45" s="588" t="s">
        <v>5</v>
      </c>
      <c r="D45" s="419">
        <f>271000+7000</f>
        <v>278000</v>
      </c>
      <c r="E45" s="552"/>
    </row>
    <row r="46" spans="1:5" s="592" customFormat="1" ht="34.5" customHeight="1">
      <c r="A46" s="589"/>
      <c r="B46" s="590"/>
      <c r="C46" s="591" t="s">
        <v>6</v>
      </c>
      <c r="D46" s="478">
        <v>30000</v>
      </c>
      <c r="E46" s="560"/>
    </row>
    <row r="47" spans="1:5" s="481" customFormat="1" ht="32.25" customHeight="1">
      <c r="A47" s="593"/>
      <c r="B47" s="594"/>
      <c r="C47" s="591" t="s">
        <v>7</v>
      </c>
      <c r="D47" s="832">
        <f>600000-200000</f>
        <v>400000</v>
      </c>
      <c r="E47" s="552"/>
    </row>
    <row r="48" spans="1:5" s="481" customFormat="1" ht="39" customHeight="1">
      <c r="A48" s="566">
        <v>921</v>
      </c>
      <c r="B48" s="595" t="s">
        <v>190</v>
      </c>
      <c r="C48" s="580"/>
      <c r="D48" s="422">
        <f>SUM(D49:D53)</f>
        <v>153000</v>
      </c>
      <c r="E48" s="552"/>
    </row>
    <row r="49" spans="1:5" s="481" customFormat="1" ht="35.25" customHeight="1">
      <c r="A49" s="586"/>
      <c r="B49" s="587"/>
      <c r="C49" s="596" t="s">
        <v>8</v>
      </c>
      <c r="D49" s="419">
        <v>25000</v>
      </c>
      <c r="E49" s="552"/>
    </row>
    <row r="50" spans="1:5" s="481" customFormat="1" ht="35.25" customHeight="1">
      <c r="A50" s="589"/>
      <c r="B50" s="590"/>
      <c r="C50" s="371" t="s">
        <v>9</v>
      </c>
      <c r="D50" s="419">
        <v>25000</v>
      </c>
      <c r="E50" s="552"/>
    </row>
    <row r="51" spans="1:5" s="481" customFormat="1" ht="35.25" customHeight="1">
      <c r="A51" s="589"/>
      <c r="B51" s="590"/>
      <c r="C51" s="575" t="s">
        <v>260</v>
      </c>
      <c r="D51" s="419">
        <v>30000</v>
      </c>
      <c r="E51" s="552"/>
    </row>
    <row r="52" spans="1:5" s="481" customFormat="1" ht="27" customHeight="1">
      <c r="A52" s="589"/>
      <c r="B52" s="590"/>
      <c r="C52" s="597" t="s">
        <v>10</v>
      </c>
      <c r="D52" s="419">
        <v>28000</v>
      </c>
      <c r="E52" s="552"/>
    </row>
    <row r="53" spans="1:5" s="481" customFormat="1" ht="32.25" customHeight="1">
      <c r="A53" s="593"/>
      <c r="B53" s="594"/>
      <c r="C53" s="597" t="s">
        <v>11</v>
      </c>
      <c r="D53" s="419">
        <v>45000</v>
      </c>
      <c r="E53" s="552"/>
    </row>
    <row r="54" spans="1:5" s="481" customFormat="1" ht="34.5" customHeight="1">
      <c r="A54" s="563">
        <v>926</v>
      </c>
      <c r="B54" s="598" t="s">
        <v>12</v>
      </c>
      <c r="C54" s="585"/>
      <c r="D54" s="422">
        <f>SUM(D55:D57)</f>
        <v>2022000</v>
      </c>
      <c r="E54" s="552"/>
    </row>
    <row r="55" spans="1:5" s="601" customFormat="1" ht="61.5" customHeight="1">
      <c r="A55" s="586"/>
      <c r="B55" s="599"/>
      <c r="C55" s="600" t="s">
        <v>13</v>
      </c>
      <c r="D55" s="421">
        <f>150000+1732000</f>
        <v>1882000</v>
      </c>
      <c r="E55" s="552"/>
    </row>
    <row r="56" spans="1:5" s="601" customFormat="1" ht="33" customHeight="1">
      <c r="A56" s="602"/>
      <c r="B56" s="319"/>
      <c r="C56" s="603" t="s">
        <v>14</v>
      </c>
      <c r="D56" s="421">
        <v>115000</v>
      </c>
      <c r="E56" s="552"/>
    </row>
    <row r="57" spans="1:5" s="481" customFormat="1" ht="30" customHeight="1">
      <c r="A57" s="602"/>
      <c r="B57" s="319"/>
      <c r="C57" s="604" t="s">
        <v>15</v>
      </c>
      <c r="D57" s="419">
        <v>25000</v>
      </c>
      <c r="E57" s="552"/>
    </row>
    <row r="58" spans="1:5" s="481" customFormat="1" ht="30" customHeight="1">
      <c r="A58" s="605" t="s">
        <v>16</v>
      </c>
      <c r="B58" s="606"/>
      <c r="C58" s="607"/>
      <c r="D58" s="423">
        <f>D59+D69</f>
        <v>7925020</v>
      </c>
      <c r="E58" s="552"/>
    </row>
    <row r="59" spans="1:5" s="481" customFormat="1" ht="27" customHeight="1">
      <c r="A59" s="608" t="s">
        <v>219</v>
      </c>
      <c r="B59" s="609"/>
      <c r="C59" s="610"/>
      <c r="D59" s="479">
        <f>D60+D65+D67</f>
        <v>7105105</v>
      </c>
      <c r="E59" s="552"/>
    </row>
    <row r="60" spans="1:5" s="481" customFormat="1" ht="19.5" customHeight="1">
      <c r="A60" s="557">
        <v>801</v>
      </c>
      <c r="B60" s="558" t="s">
        <v>63</v>
      </c>
      <c r="C60" s="371"/>
      <c r="D60" s="459">
        <f>SUM(D61:D64)</f>
        <v>5347000</v>
      </c>
      <c r="E60" s="552"/>
    </row>
    <row r="61" spans="1:5" s="481" customFormat="1" ht="30" customHeight="1">
      <c r="A61" s="611"/>
      <c r="B61" s="612"/>
      <c r="C61" s="371" t="s">
        <v>17</v>
      </c>
      <c r="D61" s="419">
        <f>2000000-86000</f>
        <v>1914000</v>
      </c>
      <c r="E61" s="552"/>
    </row>
    <row r="62" spans="1:5" s="481" customFormat="1" ht="30" customHeight="1">
      <c r="A62" s="611"/>
      <c r="B62" s="612"/>
      <c r="C62" s="371" t="s">
        <v>18</v>
      </c>
      <c r="D62" s="419">
        <v>350000</v>
      </c>
      <c r="E62" s="552"/>
    </row>
    <row r="63" spans="1:5" s="481" customFormat="1" ht="30" customHeight="1">
      <c r="A63" s="611"/>
      <c r="B63" s="612"/>
      <c r="C63" s="371" t="s">
        <v>19</v>
      </c>
      <c r="D63" s="419">
        <v>48000</v>
      </c>
      <c r="E63" s="552"/>
    </row>
    <row r="64" spans="1:5" s="481" customFormat="1" ht="31.5" customHeight="1">
      <c r="A64" s="611"/>
      <c r="B64" s="612"/>
      <c r="C64" s="371" t="s">
        <v>20</v>
      </c>
      <c r="D64" s="419">
        <f>3185000-150000</f>
        <v>3035000</v>
      </c>
      <c r="E64" s="552"/>
    </row>
    <row r="65" spans="1:5" s="481" customFormat="1" ht="39" customHeight="1">
      <c r="A65" s="566">
        <v>853</v>
      </c>
      <c r="B65" s="613" t="s">
        <v>77</v>
      </c>
      <c r="C65" s="370"/>
      <c r="D65" s="422">
        <f>SUM(D66:D66)</f>
        <v>308105</v>
      </c>
      <c r="E65" s="552"/>
    </row>
    <row r="66" spans="1:5" s="615" customFormat="1" ht="37.5" customHeight="1">
      <c r="A66" s="573"/>
      <c r="B66" s="614"/>
      <c r="C66" s="597" t="s">
        <v>21</v>
      </c>
      <c r="D66" s="478">
        <v>308105</v>
      </c>
      <c r="E66" s="552"/>
    </row>
    <row r="67" spans="1:5" s="481" customFormat="1" ht="31.5" customHeight="1">
      <c r="A67" s="579">
        <v>854</v>
      </c>
      <c r="B67" s="558" t="s">
        <v>207</v>
      </c>
      <c r="C67" s="371"/>
      <c r="D67" s="480">
        <f>D68</f>
        <v>1450000</v>
      </c>
      <c r="E67" s="560"/>
    </row>
    <row r="68" spans="1:5" s="481" customFormat="1" ht="43.5" customHeight="1">
      <c r="A68" s="616"/>
      <c r="B68" s="617"/>
      <c r="C68" s="371" t="s">
        <v>22</v>
      </c>
      <c r="D68" s="419">
        <v>1450000</v>
      </c>
      <c r="E68" s="552"/>
    </row>
    <row r="69" spans="1:5" s="481" customFormat="1" ht="29.25" customHeight="1">
      <c r="A69" s="553" t="s">
        <v>222</v>
      </c>
      <c r="B69" s="618"/>
      <c r="C69" s="619"/>
      <c r="D69" s="424">
        <f>D70+D74+D76</f>
        <v>819915</v>
      </c>
      <c r="E69" s="552"/>
    </row>
    <row r="70" spans="1:5" s="481" customFormat="1" ht="34.5" customHeight="1">
      <c r="A70" s="568">
        <v>630</v>
      </c>
      <c r="B70" s="620" t="s">
        <v>196</v>
      </c>
      <c r="C70" s="621" t="s">
        <v>33</v>
      </c>
      <c r="D70" s="422">
        <f>SUM(D71:D73)</f>
        <v>95000</v>
      </c>
      <c r="E70" s="552"/>
    </row>
    <row r="71" spans="1:5" s="481" customFormat="1" ht="36.75" customHeight="1">
      <c r="A71" s="573"/>
      <c r="B71" s="622"/>
      <c r="C71" s="623" t="s">
        <v>23</v>
      </c>
      <c r="D71" s="478">
        <v>60000</v>
      </c>
      <c r="E71" s="552"/>
    </row>
    <row r="72" spans="1:5" s="481" customFormat="1" ht="30" customHeight="1">
      <c r="A72" s="589"/>
      <c r="B72" s="624"/>
      <c r="C72" s="588" t="s">
        <v>24</v>
      </c>
      <c r="D72" s="419">
        <v>30000</v>
      </c>
      <c r="E72" s="552"/>
    </row>
    <row r="73" spans="1:5" s="481" customFormat="1" ht="30" customHeight="1">
      <c r="A73" s="589"/>
      <c r="B73" s="624"/>
      <c r="C73" s="588" t="s">
        <v>25</v>
      </c>
      <c r="D73" s="419">
        <v>5000</v>
      </c>
      <c r="E73" s="552"/>
    </row>
    <row r="74" spans="1:5" s="481" customFormat="1" ht="26.25" customHeight="1">
      <c r="A74" s="579">
        <v>852</v>
      </c>
      <c r="B74" s="625" t="s">
        <v>118</v>
      </c>
      <c r="C74" s="370"/>
      <c r="D74" s="422">
        <f>SUM(D75:D75)</f>
        <v>200000</v>
      </c>
      <c r="E74" s="552"/>
    </row>
    <row r="75" spans="1:5" s="481" customFormat="1" ht="40.5" customHeight="1">
      <c r="A75" s="319"/>
      <c r="B75" s="319"/>
      <c r="C75" s="370" t="s">
        <v>26</v>
      </c>
      <c r="D75" s="419">
        <v>200000</v>
      </c>
      <c r="E75" s="552"/>
    </row>
    <row r="76" spans="1:5" s="481" customFormat="1" ht="38.25" customHeight="1">
      <c r="A76" s="566">
        <v>853</v>
      </c>
      <c r="B76" s="613" t="s">
        <v>77</v>
      </c>
      <c r="C76" s="370"/>
      <c r="D76" s="420">
        <f>SUM(D77)</f>
        <v>524915</v>
      </c>
      <c r="E76" s="556"/>
    </row>
    <row r="77" spans="1:5" s="481" customFormat="1" ht="37.5" customHeight="1">
      <c r="A77" s="626"/>
      <c r="B77" s="626"/>
      <c r="C77" s="370" t="s">
        <v>27</v>
      </c>
      <c r="D77" s="419">
        <v>524915</v>
      </c>
      <c r="E77" s="552"/>
    </row>
    <row r="78" spans="1:6" s="481" customFormat="1" ht="24.75" customHeight="1">
      <c r="A78" s="845" t="s">
        <v>28</v>
      </c>
      <c r="B78" s="846"/>
      <c r="C78" s="847"/>
      <c r="D78" s="425">
        <f>D13+D58</f>
        <v>16670939.379999999</v>
      </c>
      <c r="E78" s="556"/>
      <c r="F78" s="481">
        <v>16983539.38</v>
      </c>
    </row>
    <row r="79" spans="3:7" s="481" customFormat="1" ht="12.75">
      <c r="C79" s="542"/>
      <c r="E79" s="556"/>
      <c r="F79" s="552">
        <f>D78-F78</f>
        <v>-312600</v>
      </c>
      <c r="G79" s="552"/>
    </row>
    <row r="81" ht="12.75">
      <c r="F81" s="417">
        <v>30000</v>
      </c>
    </row>
    <row r="82" ht="12.75">
      <c r="F82" s="417">
        <v>30000</v>
      </c>
    </row>
    <row r="83" ht="12.75">
      <c r="F83" s="417">
        <v>7000</v>
      </c>
    </row>
    <row r="84" ht="12.75">
      <c r="F84" s="417">
        <v>-129600</v>
      </c>
    </row>
    <row r="85" ht="12.75">
      <c r="F85" s="417">
        <f>SUM(F81:F84)</f>
        <v>-62600</v>
      </c>
    </row>
    <row r="86" ht="12.75">
      <c r="G86" s="538"/>
    </row>
    <row r="87" ht="12.75">
      <c r="G87" s="538"/>
    </row>
  </sheetData>
  <mergeCells count="1">
    <mergeCell ref="A78:C78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D16" sqref="D16"/>
    </sheetView>
  </sheetViews>
  <sheetFormatPr defaultColWidth="9.140625" defaultRowHeight="12.75"/>
  <cols>
    <col min="1" max="1" width="5.421875" style="417" customWidth="1"/>
    <col min="2" max="2" width="23.8515625" style="417" customWidth="1"/>
    <col min="3" max="3" width="41.57421875" style="417" customWidth="1"/>
    <col min="4" max="4" width="18.00390625" style="417" customWidth="1"/>
    <col min="5" max="5" width="24.7109375" style="417" customWidth="1"/>
    <col min="6" max="6" width="23.00390625" style="417" customWidth="1"/>
    <col min="7" max="7" width="8.8515625" style="417" customWidth="1"/>
    <col min="8" max="16384" width="9.140625" style="417" customWidth="1"/>
  </cols>
  <sheetData>
    <row r="1" ht="19.5" customHeight="1">
      <c r="C1" s="780" t="s">
        <v>470</v>
      </c>
    </row>
    <row r="2" ht="19.5" customHeight="1">
      <c r="C2" s="539" t="s">
        <v>471</v>
      </c>
    </row>
    <row r="3" ht="17.25" customHeight="1">
      <c r="C3" s="539" t="s">
        <v>116</v>
      </c>
    </row>
    <row r="4" ht="18" customHeight="1">
      <c r="C4" s="178" t="s">
        <v>307</v>
      </c>
    </row>
    <row r="5" ht="16.5" customHeight="1">
      <c r="C5" s="781"/>
    </row>
    <row r="6" ht="18" customHeight="1">
      <c r="C6" s="781"/>
    </row>
    <row r="7" spans="1:4" s="543" customFormat="1" ht="17.25" customHeight="1">
      <c r="A7" s="540" t="s">
        <v>452</v>
      </c>
      <c r="B7" s="540"/>
      <c r="C7" s="782"/>
      <c r="D7" s="417"/>
    </row>
    <row r="8" spans="1:4" s="543" customFormat="1" ht="17.25" customHeight="1">
      <c r="A8" s="540" t="s">
        <v>453</v>
      </c>
      <c r="B8" s="540"/>
      <c r="C8" s="782"/>
      <c r="D8" s="417"/>
    </row>
    <row r="9" spans="1:2" ht="15.75">
      <c r="A9" s="783" t="s">
        <v>454</v>
      </c>
      <c r="B9" s="545"/>
    </row>
    <row r="10" spans="3:4" ht="11.25" customHeight="1">
      <c r="C10" s="784"/>
      <c r="D10" s="785" t="s">
        <v>43</v>
      </c>
    </row>
    <row r="11" spans="1:4" ht="29.25" customHeight="1">
      <c r="A11" s="548" t="s">
        <v>44</v>
      </c>
      <c r="B11" s="548" t="s">
        <v>215</v>
      </c>
      <c r="C11" s="548" t="s">
        <v>216</v>
      </c>
      <c r="D11" s="418" t="s">
        <v>455</v>
      </c>
    </row>
    <row r="12" spans="1:4" ht="24" customHeight="1">
      <c r="A12" s="605" t="s">
        <v>218</v>
      </c>
      <c r="B12" s="786"/>
      <c r="C12" s="787"/>
      <c r="D12" s="788">
        <f>D13+D17+D20</f>
        <v>16548480.35</v>
      </c>
    </row>
    <row r="13" spans="1:4" s="792" customFormat="1" ht="24" customHeight="1">
      <c r="A13" s="608" t="s">
        <v>456</v>
      </c>
      <c r="B13" s="789"/>
      <c r="C13" s="790"/>
      <c r="D13" s="791">
        <f>D14</f>
        <v>4812000</v>
      </c>
    </row>
    <row r="14" spans="1:5" ht="31.5" customHeight="1">
      <c r="A14" s="793">
        <v>921</v>
      </c>
      <c r="B14" s="584" t="s">
        <v>190</v>
      </c>
      <c r="C14" s="794"/>
      <c r="D14" s="788">
        <f>D15+D16</f>
        <v>4812000</v>
      </c>
      <c r="E14" s="795"/>
    </row>
    <row r="15" spans="1:5" ht="27.75" customHeight="1">
      <c r="A15" s="796"/>
      <c r="B15" s="797"/>
      <c r="C15" s="798" t="s">
        <v>457</v>
      </c>
      <c r="D15" s="419">
        <v>3472000</v>
      </c>
      <c r="E15" s="795"/>
    </row>
    <row r="16" spans="1:5" ht="27.75" customHeight="1">
      <c r="A16" s="799"/>
      <c r="B16" s="800"/>
      <c r="C16" s="798" t="s">
        <v>458</v>
      </c>
      <c r="D16" s="629">
        <f>1240000+100000</f>
        <v>1340000</v>
      </c>
      <c r="E16" s="795"/>
    </row>
    <row r="17" spans="1:5" ht="26.25" customHeight="1">
      <c r="A17" s="608" t="s">
        <v>459</v>
      </c>
      <c r="B17" s="801"/>
      <c r="C17" s="798"/>
      <c r="D17" s="791">
        <f>D18</f>
        <v>11000184.75</v>
      </c>
      <c r="E17" s="795"/>
    </row>
    <row r="18" spans="1:5" ht="26.25" customHeight="1">
      <c r="A18" s="403">
        <v>600</v>
      </c>
      <c r="B18" s="625" t="s">
        <v>49</v>
      </c>
      <c r="C18" s="798"/>
      <c r="D18" s="788">
        <f>D19</f>
        <v>11000184.75</v>
      </c>
      <c r="E18" s="795"/>
    </row>
    <row r="19" spans="1:5" ht="29.25" customHeight="1">
      <c r="A19" s="802"/>
      <c r="B19" s="803"/>
      <c r="C19" s="588" t="s">
        <v>460</v>
      </c>
      <c r="D19" s="419">
        <v>11000184.75</v>
      </c>
      <c r="E19" s="795"/>
    </row>
    <row r="20" spans="1:5" ht="28.5" customHeight="1">
      <c r="A20" s="553" t="s">
        <v>222</v>
      </c>
      <c r="B20" s="804"/>
      <c r="C20" s="794"/>
      <c r="D20" s="791">
        <f>D21+D23+D25+D27+D29+D31</f>
        <v>736295.6</v>
      </c>
      <c r="E20" s="795"/>
    </row>
    <row r="21" spans="1:5" ht="28.5" customHeight="1">
      <c r="A21" s="805">
        <v>750</v>
      </c>
      <c r="B21" s="806" t="s">
        <v>56</v>
      </c>
      <c r="C21" s="370"/>
      <c r="D21" s="788">
        <f>SUM(D22)</f>
        <v>21887.5</v>
      </c>
      <c r="E21" s="795"/>
    </row>
    <row r="22" spans="1:5" ht="42.75" customHeight="1">
      <c r="A22" s="807"/>
      <c r="B22" s="585"/>
      <c r="C22" s="370" t="s">
        <v>461</v>
      </c>
      <c r="D22" s="808">
        <f>32287.5-10400</f>
        <v>21887.5</v>
      </c>
      <c r="E22" s="795"/>
    </row>
    <row r="23" spans="1:5" ht="31.5" customHeight="1">
      <c r="A23" s="809">
        <v>801</v>
      </c>
      <c r="B23" s="810" t="s">
        <v>462</v>
      </c>
      <c r="C23" s="811"/>
      <c r="D23" s="812">
        <f>D24</f>
        <v>30000</v>
      </c>
      <c r="E23" s="795"/>
    </row>
    <row r="24" spans="1:5" ht="33" customHeight="1">
      <c r="A24" s="809"/>
      <c r="B24" s="810"/>
      <c r="C24" s="811" t="s">
        <v>463</v>
      </c>
      <c r="D24" s="813">
        <v>30000</v>
      </c>
      <c r="E24" s="795"/>
    </row>
    <row r="25" spans="1:5" ht="28.5" customHeight="1">
      <c r="A25" s="566">
        <v>851</v>
      </c>
      <c r="B25" s="572" t="s">
        <v>66</v>
      </c>
      <c r="C25" s="794"/>
      <c r="D25" s="814">
        <f>SUM(D26:D26)</f>
        <v>7500</v>
      </c>
      <c r="E25" s="795"/>
    </row>
    <row r="26" spans="1:5" ht="57" customHeight="1">
      <c r="A26" s="815"/>
      <c r="B26" s="816"/>
      <c r="C26" s="588" t="s">
        <v>464</v>
      </c>
      <c r="D26" s="808">
        <v>7500</v>
      </c>
      <c r="E26" s="795"/>
    </row>
    <row r="27" spans="1:5" ht="34.5" customHeight="1">
      <c r="A27" s="403">
        <v>853</v>
      </c>
      <c r="B27" s="806" t="s">
        <v>77</v>
      </c>
      <c r="C27" s="588"/>
      <c r="D27" s="814">
        <f>D28</f>
        <v>90522</v>
      </c>
      <c r="E27" s="795"/>
    </row>
    <row r="28" spans="1:5" ht="31.5" customHeight="1">
      <c r="A28" s="608"/>
      <c r="B28" s="577"/>
      <c r="C28" s="623" t="s">
        <v>430</v>
      </c>
      <c r="D28" s="808">
        <f>76943.7+13578.3</f>
        <v>90522</v>
      </c>
      <c r="E28" s="795"/>
    </row>
    <row r="29" spans="1:5" ht="30" customHeight="1">
      <c r="A29" s="579">
        <v>900</v>
      </c>
      <c r="B29" s="580" t="s">
        <v>465</v>
      </c>
      <c r="C29" s="817"/>
      <c r="D29" s="420">
        <f>D30</f>
        <v>12000</v>
      </c>
      <c r="E29" s="795"/>
    </row>
    <row r="30" spans="1:9" ht="30" customHeight="1">
      <c r="A30" s="796"/>
      <c r="B30" s="818"/>
      <c r="C30" s="819" t="s">
        <v>6</v>
      </c>
      <c r="D30" s="421">
        <v>12000</v>
      </c>
      <c r="E30" s="820"/>
      <c r="F30" s="820"/>
      <c r="G30" s="820"/>
      <c r="H30" s="820"/>
      <c r="I30" s="820"/>
    </row>
    <row r="31" spans="1:9" ht="30.75" customHeight="1">
      <c r="A31" s="403">
        <v>921</v>
      </c>
      <c r="B31" s="580" t="s">
        <v>190</v>
      </c>
      <c r="C31" s="591"/>
      <c r="D31" s="422">
        <f>SUM(D32)</f>
        <v>574386.1</v>
      </c>
      <c r="E31" s="820"/>
      <c r="F31" s="820"/>
      <c r="G31" s="820"/>
      <c r="H31" s="820"/>
      <c r="I31" s="820"/>
    </row>
    <row r="32" spans="1:9" ht="64.5" customHeight="1">
      <c r="A32" s="796"/>
      <c r="B32" s="585"/>
      <c r="C32" s="591" t="s">
        <v>466</v>
      </c>
      <c r="D32" s="421">
        <v>574386.1</v>
      </c>
      <c r="E32" s="820"/>
      <c r="F32" s="820"/>
      <c r="G32" s="820"/>
      <c r="H32" s="820"/>
      <c r="I32" s="820"/>
    </row>
    <row r="33" spans="1:9" ht="30.75" customHeight="1">
      <c r="A33" s="605" t="s">
        <v>16</v>
      </c>
      <c r="B33" s="821"/>
      <c r="C33" s="822"/>
      <c r="D33" s="423">
        <f>D34+D37</f>
        <v>3706445</v>
      </c>
      <c r="E33" s="820"/>
      <c r="F33" s="820"/>
      <c r="G33" s="820"/>
      <c r="H33" s="820"/>
      <c r="I33" s="820"/>
    </row>
    <row r="34" spans="1:9" ht="33" customHeight="1">
      <c r="A34" s="815" t="s">
        <v>456</v>
      </c>
      <c r="B34" s="823"/>
      <c r="C34" s="824"/>
      <c r="D34" s="825">
        <f>D35</f>
        <v>2574000</v>
      </c>
      <c r="E34" s="820"/>
      <c r="F34" s="820"/>
      <c r="G34" s="820"/>
      <c r="H34" s="820"/>
      <c r="I34" s="820"/>
    </row>
    <row r="35" spans="1:4" ht="33" customHeight="1">
      <c r="A35" s="403">
        <v>921</v>
      </c>
      <c r="B35" s="584" t="s">
        <v>190</v>
      </c>
      <c r="C35" s="607"/>
      <c r="D35" s="826">
        <f>D36</f>
        <v>2574000</v>
      </c>
    </row>
    <row r="36" spans="1:4" ht="24.75" customHeight="1">
      <c r="A36" s="827"/>
      <c r="B36" s="585"/>
      <c r="C36" s="588" t="s">
        <v>467</v>
      </c>
      <c r="D36" s="419">
        <v>2574000</v>
      </c>
    </row>
    <row r="37" spans="1:4" ht="27.75" customHeight="1">
      <c r="A37" s="553" t="s">
        <v>222</v>
      </c>
      <c r="B37" s="828"/>
      <c r="C37" s="588"/>
      <c r="D37" s="424">
        <f>D38+D40</f>
        <v>1132445</v>
      </c>
    </row>
    <row r="38" spans="1:4" ht="27" customHeight="1">
      <c r="A38" s="818">
        <v>852</v>
      </c>
      <c r="B38" s="829" t="s">
        <v>118</v>
      </c>
      <c r="C38" s="370"/>
      <c r="D38" s="422">
        <f>D39</f>
        <v>52445</v>
      </c>
    </row>
    <row r="39" spans="1:4" ht="42.75" customHeight="1">
      <c r="A39" s="797"/>
      <c r="B39" s="830"/>
      <c r="C39" s="597" t="s">
        <v>468</v>
      </c>
      <c r="D39" s="419">
        <f>608600-556155</f>
        <v>52445</v>
      </c>
    </row>
    <row r="40" spans="1:4" ht="36" customHeight="1">
      <c r="A40" s="403">
        <v>853</v>
      </c>
      <c r="B40" s="806" t="s">
        <v>77</v>
      </c>
      <c r="C40" s="597"/>
      <c r="D40" s="422">
        <f>D41</f>
        <v>1080000</v>
      </c>
    </row>
    <row r="41" spans="1:4" ht="30.75" customHeight="1">
      <c r="A41" s="805"/>
      <c r="B41" s="806"/>
      <c r="C41" s="597" t="s">
        <v>469</v>
      </c>
      <c r="D41" s="419">
        <v>1080000</v>
      </c>
    </row>
    <row r="42" spans="1:4" ht="25.5" customHeight="1">
      <c r="A42" s="848" t="s">
        <v>28</v>
      </c>
      <c r="B42" s="849"/>
      <c r="C42" s="847"/>
      <c r="D42" s="425">
        <f>D12+D33</f>
        <v>20254925.35</v>
      </c>
    </row>
    <row r="43" spans="4:6" ht="15.75">
      <c r="D43" s="831"/>
      <c r="F43" s="538"/>
    </row>
    <row r="44" ht="15.75">
      <c r="D44" s="831"/>
    </row>
    <row r="45" ht="12.75">
      <c r="D45" s="538"/>
    </row>
    <row r="46" ht="12.75">
      <c r="D46" s="538"/>
    </row>
    <row r="47" ht="12.75">
      <c r="D47" s="538"/>
    </row>
    <row r="48" ht="12.75">
      <c r="D48" s="538"/>
    </row>
    <row r="49" ht="12.75">
      <c r="D49" s="538"/>
    </row>
    <row r="50" ht="12.75">
      <c r="D50" s="538"/>
    </row>
    <row r="51" ht="12.75">
      <c r="D51" s="538"/>
    </row>
    <row r="52" ht="12.75">
      <c r="D52" s="538"/>
    </row>
  </sheetData>
  <mergeCells count="1"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J10"/>
  <sheetViews>
    <sheetView workbookViewId="0" topLeftCell="A1">
      <selection activeCell="D14" sqref="D14"/>
    </sheetView>
  </sheetViews>
  <sheetFormatPr defaultColWidth="9.140625" defaultRowHeight="12.75"/>
  <cols>
    <col min="1" max="1" width="9.140625" style="504" customWidth="1"/>
    <col min="2" max="2" width="38.00390625" style="507" customWidth="1"/>
    <col min="3" max="3" width="19.7109375" style="503" customWidth="1"/>
    <col min="4" max="4" width="20.140625" style="503" customWidth="1"/>
    <col min="5" max="5" width="22.421875" style="503" customWidth="1"/>
    <col min="6" max="10" width="9.140625" style="503" customWidth="1"/>
    <col min="11" max="16384" width="9.140625" style="504" customWidth="1"/>
  </cols>
  <sheetData>
    <row r="6" ht="27" customHeight="1"/>
    <row r="8" ht="58.5" customHeight="1"/>
    <row r="10" spans="1:10" s="506" customFormat="1" ht="25.5" customHeight="1">
      <c r="A10" s="504"/>
      <c r="B10" s="507"/>
      <c r="C10" s="503"/>
      <c r="D10" s="503"/>
      <c r="E10" s="503"/>
      <c r="F10" s="503"/>
      <c r="G10" s="503"/>
      <c r="H10" s="505"/>
      <c r="I10" s="505"/>
      <c r="J10" s="505"/>
    </row>
    <row r="17" ht="37.5" customHeight="1"/>
    <row r="18" ht="45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H38"/>
  <sheetViews>
    <sheetView workbookViewId="0" topLeftCell="A1">
      <selection activeCell="F21" sqref="F21"/>
    </sheetView>
  </sheetViews>
  <sheetFormatPr defaultColWidth="9.140625" defaultRowHeight="12.75"/>
  <cols>
    <col min="4" max="4" width="22.140625" style="416" customWidth="1"/>
    <col min="5" max="5" width="18.8515625" style="416" customWidth="1"/>
    <col min="6" max="6" width="28.140625" style="416" customWidth="1"/>
  </cols>
  <sheetData>
    <row r="3" spans="3:8" ht="15">
      <c r="C3" s="136"/>
      <c r="D3" s="457"/>
      <c r="E3" s="457"/>
      <c r="F3" s="457"/>
      <c r="G3" s="136"/>
      <c r="H3" s="136"/>
    </row>
    <row r="4" spans="3:8" ht="15">
      <c r="C4" s="136"/>
      <c r="D4" s="457"/>
      <c r="E4" s="457"/>
      <c r="F4" s="457"/>
      <c r="G4" s="136"/>
      <c r="H4" s="136"/>
    </row>
    <row r="5" spans="3:8" ht="15">
      <c r="C5" s="136"/>
      <c r="D5" s="457"/>
      <c r="E5" s="457"/>
      <c r="F5" s="457"/>
      <c r="G5" s="136"/>
      <c r="H5" s="136"/>
    </row>
    <row r="6" spans="3:8" ht="15">
      <c r="C6" s="136"/>
      <c r="D6" s="457"/>
      <c r="E6" s="457"/>
      <c r="F6" s="457"/>
      <c r="G6" s="136"/>
      <c r="H6" s="136"/>
    </row>
    <row r="7" spans="3:8" ht="15">
      <c r="C7" s="136"/>
      <c r="D7" s="457"/>
      <c r="E7" s="457"/>
      <c r="F7" s="457"/>
      <c r="G7" s="136"/>
      <c r="H7" s="136"/>
    </row>
    <row r="8" spans="3:8" ht="15.75">
      <c r="C8" s="136"/>
      <c r="D8" s="458"/>
      <c r="E8" s="458"/>
      <c r="F8" s="457"/>
      <c r="G8" s="136"/>
      <c r="H8" s="136"/>
    </row>
    <row r="9" spans="3:8" ht="15.75">
      <c r="C9" s="136"/>
      <c r="D9" s="458"/>
      <c r="E9" s="458"/>
      <c r="F9" s="457"/>
      <c r="G9" s="136"/>
      <c r="H9" s="136"/>
    </row>
    <row r="10" spans="3:8" ht="15.75">
      <c r="C10" s="136"/>
      <c r="D10" s="458"/>
      <c r="E10" s="458"/>
      <c r="F10" s="457"/>
      <c r="G10" s="136"/>
      <c r="H10" s="136"/>
    </row>
    <row r="11" spans="3:8" ht="15.75">
      <c r="C11" s="136"/>
      <c r="D11" s="458"/>
      <c r="E11" s="458"/>
      <c r="F11" s="457"/>
      <c r="G11" s="297"/>
      <c r="H11" s="297"/>
    </row>
    <row r="12" spans="3:8" ht="15.75">
      <c r="C12" s="136"/>
      <c r="D12" s="458"/>
      <c r="E12" s="457"/>
      <c r="F12" s="458"/>
      <c r="G12" s="297"/>
      <c r="H12" s="297"/>
    </row>
    <row r="13" spans="3:8" ht="15">
      <c r="C13" s="136"/>
      <c r="D13" s="457"/>
      <c r="E13" s="457"/>
      <c r="F13" s="457"/>
      <c r="G13" s="297"/>
      <c r="H13" s="297"/>
    </row>
    <row r="14" spans="3:8" ht="15">
      <c r="C14" s="136"/>
      <c r="D14" s="457"/>
      <c r="E14" s="457"/>
      <c r="F14" s="457"/>
      <c r="G14" s="297"/>
      <c r="H14" s="297"/>
    </row>
    <row r="15" spans="3:8" ht="15">
      <c r="C15" s="136"/>
      <c r="D15" s="457"/>
      <c r="E15" s="457"/>
      <c r="F15" s="457"/>
      <c r="G15" s="297"/>
      <c r="H15" s="297"/>
    </row>
    <row r="16" spans="3:8" ht="15">
      <c r="C16" s="136"/>
      <c r="D16" s="457"/>
      <c r="E16" s="457"/>
      <c r="F16" s="457"/>
      <c r="G16" s="297"/>
      <c r="H16" s="297"/>
    </row>
    <row r="17" spans="3:8" ht="15">
      <c r="C17" s="136"/>
      <c r="D17" s="457"/>
      <c r="E17" s="457"/>
      <c r="F17" s="457"/>
      <c r="G17" s="297"/>
      <c r="H17" s="297"/>
    </row>
    <row r="18" spans="3:8" ht="15">
      <c r="C18" s="136"/>
      <c r="D18" s="457"/>
      <c r="E18" s="457"/>
      <c r="F18" s="457"/>
      <c r="G18" s="297"/>
      <c r="H18" s="297"/>
    </row>
    <row r="19" spans="3:8" ht="15">
      <c r="C19" s="136"/>
      <c r="D19" s="457"/>
      <c r="E19" s="457"/>
      <c r="F19" s="457"/>
      <c r="G19" s="297"/>
      <c r="H19" s="297"/>
    </row>
    <row r="20" spans="3:8" ht="15">
      <c r="C20" s="136"/>
      <c r="D20" s="457"/>
      <c r="E20" s="457"/>
      <c r="F20" s="457"/>
      <c r="G20" s="297"/>
      <c r="H20" s="297"/>
    </row>
    <row r="21" spans="3:8" ht="15">
      <c r="C21" s="136"/>
      <c r="D21" s="457"/>
      <c r="E21" s="457"/>
      <c r="F21" s="457"/>
      <c r="G21" s="297"/>
      <c r="H21" s="297"/>
    </row>
    <row r="22" spans="3:8" ht="15">
      <c r="C22" s="136"/>
      <c r="D22" s="457"/>
      <c r="E22" s="457"/>
      <c r="F22" s="457"/>
      <c r="G22" s="297"/>
      <c r="H22" s="297"/>
    </row>
    <row r="23" spans="3:8" ht="15">
      <c r="C23" s="136"/>
      <c r="D23" s="457"/>
      <c r="E23" s="457"/>
      <c r="F23" s="457"/>
      <c r="G23" s="297"/>
      <c r="H23" s="297"/>
    </row>
    <row r="24" spans="3:8" ht="15">
      <c r="C24" s="136"/>
      <c r="D24" s="457"/>
      <c r="E24" s="457"/>
      <c r="F24" s="457"/>
      <c r="G24" s="297"/>
      <c r="H24" s="297"/>
    </row>
    <row r="25" spans="3:8" ht="15">
      <c r="C25" s="136"/>
      <c r="D25" s="457"/>
      <c r="E25" s="457"/>
      <c r="F25" s="457"/>
      <c r="G25" s="297"/>
      <c r="H25" s="297"/>
    </row>
    <row r="26" spans="3:8" ht="15">
      <c r="C26" s="136"/>
      <c r="D26" s="457"/>
      <c r="E26" s="457"/>
      <c r="F26" s="457"/>
      <c r="G26" s="297"/>
      <c r="H26" s="297"/>
    </row>
    <row r="27" spans="3:8" ht="15">
      <c r="C27" s="136"/>
      <c r="D27" s="457"/>
      <c r="E27" s="457"/>
      <c r="F27" s="457"/>
      <c r="G27" s="297"/>
      <c r="H27" s="297"/>
    </row>
    <row r="28" spans="3:8" ht="15">
      <c r="C28" s="136"/>
      <c r="D28" s="457"/>
      <c r="E28" s="457"/>
      <c r="F28" s="457"/>
      <c r="G28" s="297"/>
      <c r="H28" s="297"/>
    </row>
    <row r="29" spans="3:8" ht="15">
      <c r="C29" s="136"/>
      <c r="D29" s="457"/>
      <c r="E29" s="457"/>
      <c r="F29" s="457"/>
      <c r="G29" s="297"/>
      <c r="H29" s="297"/>
    </row>
    <row r="30" spans="3:8" ht="15.75">
      <c r="C30" s="136"/>
      <c r="D30" s="458"/>
      <c r="E30" s="457"/>
      <c r="F30" s="457"/>
      <c r="G30" s="297"/>
      <c r="H30" s="297"/>
    </row>
    <row r="31" spans="3:8" ht="15">
      <c r="C31" s="136"/>
      <c r="D31" s="457"/>
      <c r="E31" s="457"/>
      <c r="F31" s="457"/>
      <c r="G31" s="297"/>
      <c r="H31" s="297"/>
    </row>
    <row r="32" spans="3:8" ht="15.75">
      <c r="C32" s="136"/>
      <c r="D32" s="457"/>
      <c r="E32" s="457"/>
      <c r="F32" s="500"/>
      <c r="G32" s="297"/>
      <c r="H32" s="297"/>
    </row>
    <row r="33" spans="3:8" ht="15">
      <c r="C33" s="136"/>
      <c r="D33" s="457"/>
      <c r="E33" s="457"/>
      <c r="F33" s="457"/>
      <c r="G33" s="297"/>
      <c r="H33" s="297"/>
    </row>
    <row r="34" spans="3:8" ht="15">
      <c r="C34" s="136"/>
      <c r="D34" s="457"/>
      <c r="E34" s="457"/>
      <c r="F34" s="457"/>
      <c r="G34" s="297"/>
      <c r="H34" s="297"/>
    </row>
    <row r="35" spans="3:8" ht="15">
      <c r="C35" s="136"/>
      <c r="D35" s="457"/>
      <c r="E35" s="457"/>
      <c r="F35" s="457"/>
      <c r="G35" s="297"/>
      <c r="H35" s="297"/>
    </row>
    <row r="36" spans="7:8" ht="15">
      <c r="G36" s="321"/>
      <c r="H36" s="321"/>
    </row>
    <row r="37" spans="7:8" ht="15">
      <c r="G37" s="321"/>
      <c r="H37" s="321"/>
    </row>
    <row r="38" spans="7:8" ht="15">
      <c r="G38" s="321"/>
      <c r="H38" s="3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2014-03-17T12:40:41Z</cp:lastPrinted>
  <dcterms:created xsi:type="dcterms:W3CDTF">2009-03-04T08:33:11Z</dcterms:created>
  <dcterms:modified xsi:type="dcterms:W3CDTF">2014-03-17T12:40:53Z</dcterms:modified>
  <cp:category/>
  <cp:version/>
  <cp:contentType/>
  <cp:contentStatus/>
</cp:coreProperties>
</file>