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Uch. RM nr    28.05.. 2014." sheetId="1" r:id="rId1"/>
    <sheet name="zał. nr 1" sheetId="2" r:id="rId2"/>
    <sheet name="Zał. nr 2" sheetId="3" r:id="rId3"/>
    <sheet name="Zał. nr 3" sheetId="4" r:id="rId4"/>
    <sheet name="Arkusz4" sheetId="5" r:id="rId5"/>
    <sheet name="Arkusz3" sheetId="6" r:id="rId6"/>
    <sheet name="Arkusz2" sheetId="7" r:id="rId7"/>
    <sheet name="Arkusz1" sheetId="8" r:id="rId8"/>
    <sheet name="Wolny" sheetId="9" r:id="rId9"/>
  </sheets>
  <definedNames>
    <definedName name="_xlnm.Print_Titles" localSheetId="1">'zał. nr 1'!$11:$13</definedName>
    <definedName name="_xlnm.Print_Titles" localSheetId="2">'Zał. nr 2'!$12:$13</definedName>
    <definedName name="_xlnm.Print_Titles" localSheetId="3">'Zał. nr 3'!$12:$12</definedName>
  </definedNames>
  <calcPr fullCalcOnLoad="1"/>
</workbook>
</file>

<file path=xl/sharedStrings.xml><?xml version="1.0" encoding="utf-8"?>
<sst xmlns="http://schemas.openxmlformats.org/spreadsheetml/2006/main" count="724" uniqueCount="505">
  <si>
    <t>Opracowanie dokumentacji na budowę  oświetlenia ulicy Beniowskiej i doświetlenia przejścia dla pieszych na ul. Beniowskiej w Koninie</t>
  </si>
  <si>
    <t>6800</t>
  </si>
  <si>
    <t>dz. 758 rozdz.75818  § 6800   zmniejsza się o kwotę</t>
  </si>
  <si>
    <t>80130</t>
  </si>
  <si>
    <t>2700</t>
  </si>
  <si>
    <t xml:space="preserve">do Uchwały nr    </t>
  </si>
  <si>
    <t xml:space="preserve">do Uchwały nr     </t>
  </si>
  <si>
    <t xml:space="preserve">z dnia 28 maja 2014 roku       </t>
  </si>
  <si>
    <t xml:space="preserve">z dnia   28 maja  2014 roku       </t>
  </si>
  <si>
    <t>" Limit wydatków bieżących na programy finansowane z udziałem środków, o których</t>
  </si>
  <si>
    <r>
      <t xml:space="preserve">mowa w art. 5 ust. 1 pkt 2 i 3 ustawy o finansach publicznych na 2014 rok" </t>
    </r>
    <r>
      <rPr>
        <sz val="13"/>
        <rFont val="Times New Roman"/>
        <family val="1"/>
      </rPr>
      <t xml:space="preserve">otrzymuje </t>
    </r>
  </si>
  <si>
    <r>
      <t xml:space="preserve">brzmienie w treści </t>
    </r>
    <r>
      <rPr>
        <b/>
        <sz val="13"/>
        <rFont val="Times New Roman"/>
        <family val="1"/>
      </rPr>
      <t xml:space="preserve">Załącznika nr  2 </t>
    </r>
    <r>
      <rPr>
        <sz val="13"/>
        <rFont val="Times New Roman"/>
        <family val="1"/>
      </rPr>
      <t>do niniejszej uchwały</t>
    </r>
  </si>
  <si>
    <t>Zakup samochodu służbowego do przewozu  osób niepełnosprawnych-MOPR KONIN</t>
  </si>
  <si>
    <t>Dostawa i montaż wyświetlaczy czasu</t>
  </si>
  <si>
    <t xml:space="preserve">miasta Konina na 2014 rok zmienionej  uchwałami i zarządzeniami w sprawie zmian w budżecie miasta Konina </t>
  </si>
  <si>
    <t>80195</t>
  </si>
  <si>
    <t>4220</t>
  </si>
  <si>
    <t>900</t>
  </si>
  <si>
    <t>90095</t>
  </si>
  <si>
    <t>853</t>
  </si>
  <si>
    <t>85395</t>
  </si>
  <si>
    <t>4307</t>
  </si>
  <si>
    <t>4309</t>
  </si>
  <si>
    <t>2009</t>
  </si>
  <si>
    <t>0970</t>
  </si>
  <si>
    <t>80104</t>
  </si>
  <si>
    <t xml:space="preserve">Projekt pt. "Aktywni po pięćdziesiątce - czas na zmiany!" </t>
  </si>
  <si>
    <t>4010</t>
  </si>
  <si>
    <t>4110</t>
  </si>
  <si>
    <t>600</t>
  </si>
  <si>
    <t>80148</t>
  </si>
  <si>
    <t>750</t>
  </si>
  <si>
    <t>75023</t>
  </si>
  <si>
    <t>4120</t>
  </si>
  <si>
    <t>4260</t>
  </si>
  <si>
    <t>6050</t>
  </si>
  <si>
    <t>6060</t>
  </si>
  <si>
    <t>0830</t>
  </si>
  <si>
    <t>75814</t>
  </si>
  <si>
    <t>60016</t>
  </si>
  <si>
    <t>Przebudowa ul. Jana Matejki w Koninie</t>
  </si>
  <si>
    <t>Dokumentacja projektowo-kosztorysowa na wykonanie doświetlonego przejścia dla pieszych na skrzyżowaniu ulic: Europejska - Wierzbowa w Koninie</t>
  </si>
  <si>
    <t>754</t>
  </si>
  <si>
    <t>75495</t>
  </si>
  <si>
    <t>Rozbudowa sieci i centrali telefonicznej Urzędu Miejskiego</t>
  </si>
  <si>
    <t>75075</t>
  </si>
  <si>
    <t>700</t>
  </si>
  <si>
    <r>
      <t>Rady Miasta Konina z dnia 26 marca 2014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37/2014 Prezydenta Miasta Konina z dnia 27 marca 2014 r.;</t>
    </r>
  </si>
  <si>
    <t>4440</t>
  </si>
  <si>
    <t>70095</t>
  </si>
  <si>
    <t>4240</t>
  </si>
  <si>
    <t>75412</t>
  </si>
  <si>
    <t>Projekt</t>
  </si>
  <si>
    <t xml:space="preserve">                                     UCHWAŁA  NR     </t>
  </si>
  <si>
    <t xml:space="preserve">                                     z dnia  28 maja  2014 roku</t>
  </si>
  <si>
    <t>4410</t>
  </si>
  <si>
    <t>4700</t>
  </si>
  <si>
    <t>2910</t>
  </si>
  <si>
    <t>80101</t>
  </si>
  <si>
    <t>4170</t>
  </si>
  <si>
    <t>Przebudowa ul. Południowej w Koninie</t>
  </si>
  <si>
    <t>Opracowanie dokumantacji projwktowo-kosztorysowej na przebudowe ulic : Beznazwy i Wilczej w Koninie</t>
  </si>
  <si>
    <t>Opracowanie dokumentacji projektowo-kosztorysowej na budowę miejsc postojowych na ul. K. Szymanowskiego 5a w Koninie</t>
  </si>
  <si>
    <t xml:space="preserve">Opracowanie dokumentacji projektowo-kosztorysowej na budowę parkingu przy ul.  Wyzwolenia 23 w Koninie </t>
  </si>
  <si>
    <t>Zakup  wyposażenia na plac zabaw dla Przedszkola nr 13</t>
  </si>
  <si>
    <t>Zakup  wyposażenia na plac zabaw dla Przedszkola nr 14</t>
  </si>
  <si>
    <t>Modernizacja kuchni w  Szkole Podstawowej nr 6 w Koninie</t>
  </si>
  <si>
    <r>
      <t>Nr 40/2014 Prezydenta Miasta Konina z dnia 11 kwietnia 2014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 42 /2014 Prezydenta Miasta Konina z</t>
    </r>
  </si>
  <si>
    <t>Budowa oświetlenia na parkingu przy ul. F. Chopina 18 i 17 c,d,e,f,g,h,i,j w Koninie</t>
  </si>
  <si>
    <t>Budowa ulic: Dobrowolskiego, Kuratowskiego, Mazurkiewicza i Trzebiatowskiego w Koninie</t>
  </si>
  <si>
    <t xml:space="preserve">Budowa budynku usług publicznych przy ul. Z. Urbanowskiej w Koninie </t>
  </si>
  <si>
    <t>Dotacja celowa na zakup  i montaż instalacji satelitarnej do odbioru i emisji wydarzeń kulturalnych</t>
  </si>
  <si>
    <t>Kultura fizyczna</t>
  </si>
  <si>
    <t>Instytucje kultury fizycznej</t>
  </si>
  <si>
    <t>Zakup infrastruktury oświetleniowej na osiedlu Niesłusz w Koninie</t>
  </si>
  <si>
    <t>Dokumentacje przyszłościowe</t>
  </si>
  <si>
    <t>Skate Park dla rowerzystów z monitoringiem i oświetleniem</t>
  </si>
  <si>
    <t>Zadaszenie trybun na stadionie przy ul. Podwale</t>
  </si>
  <si>
    <t>Zakupy inwestycyjne dla obiektów MOSiR w Koninie</t>
  </si>
  <si>
    <t>Zakup karuzeli dla dzieci na plac zabaw do Przedszkola nr 5</t>
  </si>
  <si>
    <t>Budowa zespołu boisk przy Gimnazjum nr 7 w Koninie</t>
  </si>
  <si>
    <t>Żłobki</t>
  </si>
  <si>
    <t xml:space="preserve">Dostosowanie klatki schodowej do obowiązujących przepisów ppoż w budynku Żłobka Miejskiego  przy ul. Staszica 17 w Koninie
</t>
  </si>
  <si>
    <t xml:space="preserve">Adaptacja pomieszczeń pralni na oddział dziecięcy w Żłobku Miejskim przy ul. Staszica 17 w Koninie
</t>
  </si>
  <si>
    <t xml:space="preserve"> z dnia 7 lutego 2014 r.; Nr 728 Rady Miasta Konina z dnia 26 lutego 2014 r.;  Nr 19/2014 Prezydenta Miasta</t>
  </si>
  <si>
    <t xml:space="preserve">Konina z dnia 27 lutego 2014 r.; Nr 29/2014 Prezydenta Miasta Konina z dnia 14 marca 2014 r.; Nr  753  </t>
  </si>
  <si>
    <t>Docieplenie budynku na stadionie przy ul. Łężyńskiej wraz z monitoringiem</t>
  </si>
  <si>
    <t>. "Jesteś przedsiębiorczy! Zacznij działać już dziś w Koninie"w ramach programu POKL (dotacja celowa)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</si>
  <si>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</si>
  <si>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</si>
  <si>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</si>
  <si>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</si>
  <si>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</si>
  <si>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</si>
  <si>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</si>
  <si>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</si>
  <si>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</si>
  <si>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</si>
  <si>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</si>
  <si>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</si>
  <si>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</si>
  <si>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w złotych</t>
  </si>
  <si>
    <t>Dział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</si>
  <si>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</si>
  <si>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</si>
  <si>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</si>
  <si>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</si>
  <si>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</si>
  <si>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</si>
  <si>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>Gospodarka mieszkaniowa</t>
  </si>
  <si>
    <t>Gospodarka gruntami i nieruchomościami</t>
  </si>
  <si>
    <t>Nabycie nieruchomości gruntowych</t>
  </si>
  <si>
    <t>Pozostała działalność</t>
  </si>
  <si>
    <t>Działalność usługowa</t>
  </si>
  <si>
    <t>Administracja publiczna</t>
  </si>
  <si>
    <t>Urzędy gmin (miast i miast na prawach powiatu)</t>
  </si>
  <si>
    <t>Bezpieczeństwo publiczne i ochrona przeciwpożarowa</t>
  </si>
  <si>
    <t>Obrona cywilna</t>
  </si>
  <si>
    <t>Różne rozliczenia</t>
  </si>
  <si>
    <t>Rezerwy ogólne i celowe</t>
  </si>
  <si>
    <t>Rezerwa celowa na inwestycje i zakupy inwestycyjne</t>
  </si>
  <si>
    <t>Oświata i wychowanie</t>
  </si>
  <si>
    <t>Szkoły podstawowe</t>
  </si>
  <si>
    <t>Przedszkola</t>
  </si>
  <si>
    <t>Ochrona zdrowia</t>
  </si>
  <si>
    <t>Gospodarka komunalna i ochrona środowiska</t>
  </si>
  <si>
    <t>Oświetlenie ulic, placów i dróg</t>
  </si>
  <si>
    <t>Obiekty sportowe</t>
  </si>
  <si>
    <t>RAZEM POWIAT</t>
  </si>
  <si>
    <t>Drogi publiczne w miastach na prawach powiatu</t>
  </si>
  <si>
    <t>Komendy powiatowe Państwowej Straży Pożarnej</t>
  </si>
  <si>
    <t>Zwiększa się plan wydatków o kwotę</t>
  </si>
  <si>
    <t>Lp</t>
  </si>
  <si>
    <t xml:space="preserve">Kultura fizyczna </t>
  </si>
  <si>
    <t>Ośrodki dokumentacji geodezyjnej i kartograficznej</t>
  </si>
  <si>
    <t>Pozostałe zadania w zakresie polityki społecznej</t>
  </si>
  <si>
    <t xml:space="preserve">Pozostała działalność </t>
  </si>
  <si>
    <t>Gospodarka odpadami</t>
  </si>
  <si>
    <t xml:space="preserve">Usuwanie wyrobów zawierających azbest z nieruchomości położonych na terenie miasta Konina 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</si>
  <si>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</si>
  <si>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</si>
  <si>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</si>
  <si>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</si>
  <si>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</si>
  <si>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</si>
  <si>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</si>
  <si>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</si>
  <si>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</si>
  <si>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</si>
  <si>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2) dochody powiatu ogółem                                                                                  </t>
  </si>
  <si>
    <t xml:space="preserve">             Zmniejsza się</t>
  </si>
  <si>
    <t xml:space="preserve">          Zwiększa się</t>
  </si>
  <si>
    <t>W części dotyczącej dochodów  powiatu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</si>
  <si>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</si>
  <si>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</si>
  <si>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</si>
  <si>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</si>
  <si>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</si>
  <si>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</si>
  <si>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</si>
  <si>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t>W części dotyczącej zadań  gminy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</si>
  <si>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</si>
  <si>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</si>
  <si>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</si>
  <si>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</si>
  <si>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</si>
  <si>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</si>
  <si>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>pkt 2)  kwotę rezerwy celowej oświatowej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</si>
  <si>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</si>
  <si>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</si>
  <si>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</si>
  <si>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</si>
  <si>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</si>
  <si>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</si>
  <si>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</si>
  <si>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>Pomoc społeczna</t>
  </si>
  <si>
    <t>2. W Załączniku Nr 1 do uchwały budżetowej dokonuje się następujących zmian:</t>
  </si>
  <si>
    <t>W części dotyczącej dochodów  gminy</t>
  </si>
  <si>
    <t>3. W Załączniku Nr 1 do uchwały budżetowej dokonuje się następujących zmian:</t>
  </si>
  <si>
    <t>Przebudowa ulicy Stodolnianej w Koninie</t>
  </si>
  <si>
    <t>Rozbudowa skrzyżowania ulic Stanisława Staszica, Romana Dmowskiego i Tadeusza Kościuszki na skrzyżowanie typu "rondo" w Koninie</t>
  </si>
  <si>
    <t>Adaptacja budynku przy ul. Benesza 1 w Koninie  na cele administracyjne</t>
  </si>
  <si>
    <t>Ochotnicze Straże Pożarne</t>
  </si>
  <si>
    <t xml:space="preserve">Zakupy inwestycyjne </t>
  </si>
  <si>
    <t>Gimnazja</t>
  </si>
  <si>
    <t xml:space="preserve">Budowa sygnalizacji świetlnej na skrzyżowaniu ul. Przemysłowej i ul. Gosławickiej  wraz z doświetleniem przejść dla pieszych
</t>
  </si>
  <si>
    <t>Doświetlenie przejść dla pieszych w Koninie</t>
  </si>
  <si>
    <t>Budowa kanalizacji deszczowej na terenie osiedla Pątnów  w Koninie</t>
  </si>
  <si>
    <t>Budowa przyłączy kanalizacyjnych i przyłączenie nieruchomości do miejskiej sieci kanalizacyjnej</t>
  </si>
  <si>
    <t>Przebudowa ul. Żwirki i Wigury wraz z kanalizacją deszczową</t>
  </si>
  <si>
    <t>Przebudowa pomieszczeń garażowych budynku strażnicy wraz z modernizacją kanalizacji deszczowej oraz wymianą nawierzchni placu manewrowego JRG Nr 1 i Komendy Miejskiej Państwowej Straży Pożarnej w Koninie</t>
  </si>
  <si>
    <t>801</t>
  </si>
  <si>
    <t>4210</t>
  </si>
  <si>
    <t xml:space="preserve">         1) dochody gminy ogółem                                                                                  </t>
  </si>
  <si>
    <t>758</t>
  </si>
  <si>
    <t>75818</t>
  </si>
  <si>
    <t>4810</t>
  </si>
  <si>
    <t>4300</t>
  </si>
  <si>
    <t>6. W Załączniku Nr 2 do uchwały budżetowej dokonuje się następujących zmian:</t>
  </si>
  <si>
    <t>Stołówki szkolne i przedszkolne</t>
  </si>
  <si>
    <t xml:space="preserve">         W uchwale Nr 700 Rady Miasta Konina z dnia 18 grudnia 2013 r. w sprawie uchwalenia budżetu</t>
  </si>
  <si>
    <t xml:space="preserve">Plan wydatków majątkowych realizowanych ze środków </t>
  </si>
  <si>
    <t>budżetowych miasta Konina na 2014 rok</t>
  </si>
  <si>
    <t xml:space="preserve">           Plan na 2014 rok</t>
  </si>
  <si>
    <t>Budowa ulic: Jesionowej, Modrzewiowej, Lipowej, Klonowej i Cisowej  w Koninie</t>
  </si>
  <si>
    <t>Budowa - przedłużenie ulicy Solnej - odcinek od ul. Kaliskiej do ul. Świętojańskiej</t>
  </si>
  <si>
    <t>Budowa ulicy Leopolda Staffa w Koninie</t>
  </si>
  <si>
    <t>Budowa ul. Paprotkowej, Azaliowej i Kameliowej w Koninie</t>
  </si>
  <si>
    <t>Wykonanie dokumentacji projektowej  budowy ulic: Storczykowa, Bluszczowa, Gerberowa, Begoniowa, Kaktusowa, Nasturcjowa, Daliowa, Piwoniowa, Zawilcowa  w Koninie</t>
  </si>
  <si>
    <t>Opracowanie  dokumentacji projektowej ul. Laskówiecka w Koninie</t>
  </si>
  <si>
    <t>Opracowanie  dokumentacji projektowo-kosztorysowej na budowę ul. Wierzbowej (od ul. Europejskiej w kierunku wschodnim)</t>
  </si>
  <si>
    <t>Budowa chodnika na ul. Działkowej w Koninie</t>
  </si>
  <si>
    <t>Opracowanie  dokumentacji projektowo-kosztorysowej kładki nad Kanałem Ulgi</t>
  </si>
  <si>
    <t>Opracowanie  dokumentacji projektowo-kosztorysowej na budowę ul. Grójeckiej w Koninie</t>
  </si>
  <si>
    <t>Budowa czterech domków mieszkalnych oraz rozbudowa budynku gospodarczego w Koninie przy ul. M. Dąbrowskiej</t>
  </si>
  <si>
    <t>Rewitalizacja Starówki - budowa budynków mieszkalnych wielorodzinnych pomiędzy ulicą Wodną i Grunwaldzką w Koninie</t>
  </si>
  <si>
    <t>Doposażenie techniczne urzędu</t>
  </si>
  <si>
    <t>Opracowanie dokumentacji projektowo-kosztorysowej na budowę sali gimnastycznej Szkoły Podstawowej   Nr 1 w Koninie</t>
  </si>
  <si>
    <t>Zagospodarowanie terenów pogórniczych os. Zatorze w zakresie budowy ścieżki spacerowej - Etap V</t>
  </si>
  <si>
    <t>Zakup samochodu do przewozu osób niepełnosprawnych - SOSW w Koninie</t>
  </si>
  <si>
    <t>Budowa kompleksu boisk przy Szkole Podstawowej Nr 4 w Koninie</t>
  </si>
  <si>
    <t xml:space="preserve">Wykonanie piłkochwytu na boisku Szkoły Podstawowej Nr 1 </t>
  </si>
  <si>
    <t>Adaptacja płyty asfaltowej na placu szkolnym na kort tenisowy przy Szkole Podstawowej Nr 3</t>
  </si>
  <si>
    <t>Zakup piłkochwytów w Szkole Podstawowej Nr 9</t>
  </si>
  <si>
    <t>Zakup serwera do pracowni komputerowej w Szkole Podstawowej Nr 10</t>
  </si>
  <si>
    <t>Budowa parkingu przy Przedszkolu Nr 7 w Koninie</t>
  </si>
  <si>
    <t>Zakup okapu gastronomicznego do kuchni w Przedszkolu Nr 4 w Koninie</t>
  </si>
  <si>
    <t>Zakup patelni elektrycznej do kuchni w Przedszkolu Nr 6 w Koninie</t>
  </si>
  <si>
    <t>Zakup kuchni gazowo-elektrycznej do kuchni w Przedszkolu Nr 31 w Koninie</t>
  </si>
  <si>
    <t>Opracowanie dokumentacji projektowo-kosztorysowej na budowę boisk przy  Gimnazjum Nr 1 w Koninie</t>
  </si>
  <si>
    <t>Zakup obieraczki do ziemniaków do kuchni w Szkole Podstawowej Nr 1</t>
  </si>
  <si>
    <t>Zakup kotła warzelnego do kuchni w Szkole Podstawowej Nr 3</t>
  </si>
  <si>
    <t>Zakup patelni elektrycznej do kuchni Szkoły Podstawowej Nr 4</t>
  </si>
  <si>
    <t>Zakup patelni elektrycznej do kuchni Szkoły Podstawowej Nr 6</t>
  </si>
  <si>
    <t>Zakup kuchni elektrycznej do kuchni w Szkole Podstawowej Nr 8</t>
  </si>
  <si>
    <t>Przeciwdziałanie alkoholizmowi</t>
  </si>
  <si>
    <t xml:space="preserve">Dotacja celowa na zakupy inwestycyjne dla Oddziału Uzależnień WSzZ w Koninie </t>
  </si>
  <si>
    <t>Ośrodki pomocy społecznej</t>
  </si>
  <si>
    <t>Modernizacja sieci komputerowej i  sieci energetycznej do zasilania sprzętu komputerowego - MOPR</t>
  </si>
  <si>
    <t>"Twoja firma - wspomagamy przedsiębiorczych w Koninie" - w ramach programu POKL (dotacja celowa)</t>
  </si>
  <si>
    <t>Modernizacja oświetlenia ulicznego miasta  Konina na energooszczędne</t>
  </si>
  <si>
    <t>Wniesienie wkładu pieniężnego na budowę sieci kanalizacji sanitarnej i wodociągu w ulicy Rudzickiej</t>
  </si>
  <si>
    <t>Wniesienie wkładu pieniężnego do spółki Geotermia Konin Spółka z o.o. w Koninie</t>
  </si>
  <si>
    <t>Budowa placów zabaw na os. Laskówiec i Grójec w Koninie</t>
  </si>
  <si>
    <t xml:space="preserve">Uzbrojenie terenów inwestycyjnych w obrębie Konin - Międzylesie 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</si>
  <si>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</si>
  <si>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</si>
  <si>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</si>
  <si>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 xml:space="preserve">Termomodernizacja budynków Konińskiego Domu Kultury, Młodzieżowego Domu Kultury oraz Miejskiej Biblioteki Publicznej w Koninie </t>
  </si>
  <si>
    <t>Przebudowa mostu im. Józefa Piłsudskiego w Koninie</t>
  </si>
  <si>
    <t>Turystyka</t>
  </si>
  <si>
    <t>Opracowanie dokumentacji projektowej na budowę toalet przy Bulwarze Nadwarciańskim w Koninie</t>
  </si>
  <si>
    <t xml:space="preserve">Zakup sprzętu komputerowego </t>
  </si>
  <si>
    <t>Licea ogólnokształcące</t>
  </si>
  <si>
    <t>Budowa przewodowej sieci komputerowej w I LO w Koninie</t>
  </si>
  <si>
    <t>Rozbudowa Izby Pamięci w II LO     w Koninie</t>
  </si>
  <si>
    <t>Zakup urządzenia wielofunkcyjnego do utrzymania lodowiska i boisk Orlik</t>
  </si>
  <si>
    <t>Zakup projektora dla I LO w Koninie</t>
  </si>
  <si>
    <t>Szkoły zawodowe</t>
  </si>
  <si>
    <t>Zakup kserokopiarki dla Zespołu Szkół Technicznych i Hutniczych w Koninie</t>
  </si>
  <si>
    <t xml:space="preserve">Zakup kserokopiarki dla Zespołu Szkół Budowlanych w Koninie </t>
  </si>
  <si>
    <t>Edukacyjna opieka wychowawcza</t>
  </si>
  <si>
    <t>Specjalne ośrodki szkolno-wychowawcze</t>
  </si>
  <si>
    <t>Zakup kserokopiarki w SOS-W w Koninie</t>
  </si>
  <si>
    <t>Rozbudowa boisk przy ZSGE ul. Kard. Wyszyńskiego 3  w Koninie</t>
  </si>
  <si>
    <t xml:space="preserve">ZAŁĄCZNIK nr  1 </t>
  </si>
  <si>
    <t>Nadbudowa wielorodzinnych budynków mieszkalnych w Koninie - koncepcja</t>
  </si>
  <si>
    <t>(Dz. U. z 2013 r. poz. 594), art. 211 ustawy z dnia 27 sierpnia 2009 r. o finansach  publicznych</t>
  </si>
  <si>
    <t xml:space="preserve"> (Dz. U. z 2013  poz. 885 ze zm.)   R a d a    M i a s t a   K o n i n a   u c h w a l a,  co następuje "</t>
  </si>
  <si>
    <t>W części dotyczącej zadań  powiatowej</t>
  </si>
  <si>
    <t>b) kwotę części powiatowej</t>
  </si>
  <si>
    <t>Modernizacja węzła sanitarnego przy sali gimnastycznej wraz z korytarzem w Szkole Podstawowej nr 12 w Koninie</t>
  </si>
  <si>
    <t>Zakup zmywarki do kuchni w Szkole Podstawowej Nr 1</t>
  </si>
  <si>
    <t>Budowa ulicy Brunatnej w Koninie - etap I</t>
  </si>
  <si>
    <t>Budowa drogi - łącznik od ul. Przemysłowej do ul. Kleczewskiej w Koninie</t>
  </si>
  <si>
    <r>
      <t xml:space="preserve">ze środków budżetowych miasta Konina na 2014 rok " </t>
    </r>
    <r>
      <rPr>
        <sz val="12"/>
        <rFont val="Times New Roman"/>
        <family val="1"/>
      </rPr>
      <t xml:space="preserve"> dokonuje się następujących zmian"</t>
    </r>
  </si>
  <si>
    <r>
      <t xml:space="preserve">w sprawie </t>
    </r>
    <r>
      <rPr>
        <b/>
        <i/>
        <sz val="14"/>
        <rFont val="Times New Roman"/>
        <family val="1"/>
      </rPr>
      <t>zmian w budżecie miasta Konina na 2014 rok</t>
    </r>
  </si>
  <si>
    <t>Zakup i montaż wiat  przystankowych</t>
  </si>
  <si>
    <t>Lokalny transport zbiorowy</t>
  </si>
  <si>
    <t>Przebudowa i rozbudowa budynków komunalnych przy ul. Wiosny Ludów 11 i 13 w Koninie</t>
  </si>
  <si>
    <t>Zakup i montaż urządzeń na plac zabaw dla Przedszkola nr 17 w Koninie</t>
  </si>
  <si>
    <t xml:space="preserve">Wykonanie, dostawa i montaż regałów  przesuwanych do  pomieszczenia Archiwum w budynku przy ul. Andrzeja Benesza 
 w Koninie
</t>
  </si>
  <si>
    <t>na 2014 rok:  Nr 721 Rady Miasta Konina z dnia 29 stycznia 2014 r.; Nr  11/2014 Prezydenta Miasta Konina</t>
  </si>
  <si>
    <t xml:space="preserve">Opracowanie dokumentacji projektowej na nowy przebieg cieku wodnego zlokalizowanego na terenie Międzylesia m. Konina </t>
  </si>
  <si>
    <t>Wniesienie wkładu pieniężnego na budowę wodociągu w ulicy Piaskowej, Borowej i Świerkowej</t>
  </si>
  <si>
    <t>Wykonanie instalacji ewakuacyjnej w Przedszkolu nr 7 w Koninie</t>
  </si>
  <si>
    <t>Zakup kuchni gazowej dla Przedszkola nr 7 w Koninie</t>
  </si>
  <si>
    <t>Zmniejsza się plan wydatków o kwotę</t>
  </si>
  <si>
    <t>Zakup obieraczki do ziemniaków dla przedszkola nr 17 w Koninie</t>
  </si>
  <si>
    <t>Przebudowa chodnika przy ul. Przemysłowej w Koninie</t>
  </si>
  <si>
    <t>Przebudowa chodnika przy ul. Zofii Nałkowskiej w Koninie</t>
  </si>
  <si>
    <t>Zakup kotła warzelnego do kuchni dla Przedszkola nr 16 w Koninie</t>
  </si>
  <si>
    <t>Opracowanie dokumentacji projektowo-kosztorysowej na przebudowę ul. Jana Pawła II w Koninie</t>
  </si>
  <si>
    <t xml:space="preserve">Wniesienie wkładu pieniężnego na budowę kanalizacji sanitarnej oraz  wodociągu  w ulicach Matejki i Wyspiańskiego </t>
  </si>
  <si>
    <t>Wniesienie wkładu pieniężnego na budowę sieci wodociągowej w ulicach Staromorzysławskiej, Działkowej i Granicznej</t>
  </si>
  <si>
    <t>Opracowanie dokumentacji projektowo-  kosztorysowej na budowę oświetlenia ulic Konwaliowej i Malwowej w Koninie</t>
  </si>
  <si>
    <t>ZAŁĄCZNIK nr 2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</si>
  <si>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</si>
  <si>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</si>
  <si>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2014 rok</t>
  </si>
  <si>
    <t xml:space="preserve">                  2014 rok</t>
  </si>
  <si>
    <t>Lp.</t>
  </si>
  <si>
    <t>Nazwa programu, cel i zadanie</t>
  </si>
  <si>
    <t>Jednostka organizacyjna</t>
  </si>
  <si>
    <t>Okres realizacji</t>
  </si>
  <si>
    <t>Środki budżetu państwa; środki własne gminy</t>
  </si>
  <si>
    <t>Środki z EFS ; WRPO, inne</t>
  </si>
  <si>
    <t>Zadania gminy</t>
  </si>
  <si>
    <t>Europejski Fundusz Społeczny - Program  Operacyjny Kapitał Ludzki</t>
  </si>
  <si>
    <t>Urząd Miejski w Koninie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</si>
  <si>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</si>
  <si>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</si>
  <si>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2012-2015</t>
  </si>
  <si>
    <t>Przedszkole nr 2 w Koninie "Kraina Wesołej Zabawy"</t>
  </si>
  <si>
    <t>cel: Rozwój wykształcenia i kompetencji w regionach</t>
  </si>
  <si>
    <t>Podniesienie i uzupełnienie kwalifikacji kadry pedagogicznej i administracyjnej poprzez realizacje projektu Pt. "Dokształcanie to Twoja szansa"</t>
  </si>
  <si>
    <t>2012-2014</t>
  </si>
  <si>
    <t>wkład własny niepieniężny</t>
  </si>
  <si>
    <t xml:space="preserve">Przedszkole nr 32 w Koninie </t>
  </si>
  <si>
    <t>cel: Podniesienie jakości  edukacji</t>
  </si>
  <si>
    <t>Doskonalenie i dokształcanie kadry pedagogicznej i administracyjnej poprzez realizację projektu Pt. "W drodze do wiedzy"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</si>
  <si>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</si>
  <si>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</si>
  <si>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</si>
  <si>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Projekt pt. "Jesteś przedsiębiorczy! Zacznij działać już dziś w Koninie"</t>
  </si>
  <si>
    <t>cel: Poprawa sutuacji niepełnosprawnych osób bezrobotnych na rynku pracy oraz rozwój przedsiębiorczości w Koninie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</si>
  <si>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</si>
  <si>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</si>
  <si>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</si>
  <si>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>pkt 3) kwotę rezerwy celowej na inwestycje i zakupy inwestycyjne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</si>
  <si>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</si>
  <si>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</si>
  <si>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</si>
  <si>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</si>
  <si>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</si>
  <si>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</si>
  <si>
    <t>Wymiana doświadczenia i uczenie się od siebie nawzajem w dziedzinie ekologii  poprzez realizację  Projektu pt. "The Earth  cannot be recycled! Eco kids - Eco parents" (Eko dzieci  - eko rodzice)</t>
  </si>
  <si>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</si>
  <si>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</si>
  <si>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>Opracowanie dokumentacji projektowo-kosztorysowej na budowę dróg w rejonie bloków przy ulicy Gosławickiej w Koninie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</si>
  <si>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</si>
  <si>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</si>
  <si>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</t>
  </si>
  <si>
    <t>2013-2015</t>
  </si>
  <si>
    <t>Przedszkole nr 14</t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</si>
  <si>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</si>
  <si>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 xml:space="preserve"> projekt pt. "Wszystko zaczyna się od przedszkola"</t>
  </si>
  <si>
    <t>2013/2015</t>
  </si>
  <si>
    <t>cel: podniesienie jakości edukacji w przedszkolu poprzez stworzenie warunków do zdobywania kompetencji zawodowych i językowych  związanych ze specyfikacją placowki dla 10 osób kadry edukacyjnej, przyczyniając się do osiągnięcia jak najlepszych efektów pracy z dzieckiem w tym niepełnosprawnym i jego rodziną</t>
  </si>
  <si>
    <t>projekt pt. "Nowa edukacja - nowe wyzwania"</t>
  </si>
  <si>
    <t>Gimnazjum nr 1 w Koninie</t>
  </si>
  <si>
    <t>cel: Wymiana doświadczeń i uczenie się od siebie nawzajem w dziedzinie języków obcych</t>
  </si>
  <si>
    <t>Projekt pt. "Objazd Europy z Jules Varnes i naszymi przyjaciółmi partnerami"</t>
  </si>
  <si>
    <t>cel: podniesienie poziomu aktywności zawodowej 45 osób bezrobotnych w wieku 50 -64 lata w tym 10 bezrobotnych długotrwale z miasta Konina</t>
  </si>
  <si>
    <t>2014/2015</t>
  </si>
  <si>
    <t>cel: Stworzenie warunków do podniesienia i uzupełnienia kwalifikacji związanych z wdrożeniem rozwiazań ekologicznych i zdrowotnych oraz zdobycia kompetencji jezykowych  wśrod nauczycieli</t>
  </si>
  <si>
    <t xml:space="preserve">Projekt pt. "Nowe horyzonty w edukacji dziecka" </t>
  </si>
  <si>
    <t>Zadania powiatu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</si>
  <si>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</si>
  <si>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</si>
  <si>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</si>
  <si>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2012/2014</t>
  </si>
  <si>
    <t>Europejski Fundusz Społeczny - Program  Operacyjny  Kapitał Ludzki</t>
  </si>
  <si>
    <t>ZS im. Kopernika w  Koninie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</si>
  <si>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</si>
  <si>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</si>
  <si>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</si>
  <si>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</si>
  <si>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</si>
  <si>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„Uczenie się przez całe życie”  Leonardo da Vinci</t>
  </si>
  <si>
    <t>ZSB  w Koninie</t>
  </si>
  <si>
    <t>2013/2014</t>
  </si>
  <si>
    <t>cel: doskonalenie kompetencji zawodowych  oraz szkolenie językowe i kulturowe</t>
  </si>
  <si>
    <t>„Mistrz w zawodzie - praktyki zagraniczne dla uczniów”</t>
  </si>
  <si>
    <t>dz. 801 rozdz.80104 § 6050 zmniejsza się o kwotę</t>
  </si>
  <si>
    <t>dz. 600 rozdz.60016 § 6050 zmniejsza się o kwotę</t>
  </si>
  <si>
    <t>Promocja jednostek samorządu terytorialnego</t>
  </si>
  <si>
    <t>dz. 750 rozdz.75075 § 6060 zwiększa się o kwotę</t>
  </si>
  <si>
    <t>Załącznik nr 3</t>
  </si>
  <si>
    <t xml:space="preserve">PLAN  DOTACJI DLA PODMIOTÓW NIE ZALICZANYCH DO SEKTORA FINANSÓW </t>
  </si>
  <si>
    <t xml:space="preserve">       PUBLICZNYCH NA CELE PUBLICZNE ZWIĄZANE Z REALIZACJĄ </t>
  </si>
  <si>
    <t xml:space="preserve">                                 ZADAŃ MIASTA  NA 2014 ROK</t>
  </si>
  <si>
    <t>Wyszczególnienie</t>
  </si>
  <si>
    <t xml:space="preserve">Określenie zadań </t>
  </si>
  <si>
    <t>Plan  na 2014 rok</t>
  </si>
  <si>
    <t>Razem zadania gminy</t>
  </si>
  <si>
    <t xml:space="preserve">Dotacje podmiotowe </t>
  </si>
  <si>
    <t>dotacja dla niepublicznego przedszkola i punktów przedszkolnych rozdz. 80104</t>
  </si>
  <si>
    <t>dotacja dla niepublicznego gimnazjum  rozdz.80110</t>
  </si>
  <si>
    <t>Dotacje celowe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</si>
  <si>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</si>
  <si>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</si>
  <si>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</si>
  <si>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</si>
  <si>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</si>
  <si>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</si>
  <si>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</si>
  <si>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</si>
  <si>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</si>
  <si>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</si>
  <si>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</si>
  <si>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</si>
  <si>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</si>
  <si>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realizacja zadania pn. "Klub wsparcia rodziny z dzieckiem z niepełnosprawnością"</t>
  </si>
  <si>
    <t>dotacja celowa dla prywatnych żłobków</t>
  </si>
  <si>
    <t>dotacja celowa dla 2 klubów dziecięcych</t>
  </si>
  <si>
    <t>dotacja celowa dla niepublicznego klubu dziecięcego</t>
  </si>
  <si>
    <t>Wspieranie realizacji zadań organizacji pozarządowych</t>
  </si>
  <si>
    <t xml:space="preserve">„PI  Wsparcie rozwoju narzędzi związanych z kontraktowaniem usług społecznych w Koninie” w ramach programu POKL (dotacja celowa)  </t>
  </si>
  <si>
    <t>"Jesteś przedsiębiorczy! Zacznij działać już dziś w Koninie"w ramach programu POKL (dotacja celowa)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</si>
  <si>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</si>
  <si>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</si>
  <si>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</si>
  <si>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</si>
  <si>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prace konserwatorsko-restauracyjne ołtarza pw Serca Jezusa - nawa pólnocna - Parafia pw Św. Bartłomieja</t>
  </si>
  <si>
    <t>prace konserwatorsko-renowacyjne przy ambonie z kościoła Franciszkanów - Klasztor Franciszkanów (OFM)</t>
  </si>
  <si>
    <t xml:space="preserve">prace konserwatorskie obrazu Św. Rocha z wyposażenia kościoła parafii Rzymskokatolickiej p.w. św.Wojciecha w Koninie 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</si>
  <si>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</si>
  <si>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</si>
  <si>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</si>
  <si>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</si>
  <si>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szkolenie uzdolnionych sportowo w wybranych dyscyplinach sportowych</t>
  </si>
  <si>
    <t>organizacja imprez sportowo-rekreacyjnych dla mieszkańców Konina</t>
  </si>
  <si>
    <t>organizacja imprez sportowych dla osób niepełnosprawnych</t>
  </si>
  <si>
    <t xml:space="preserve">Razem zadania powiatu </t>
  </si>
  <si>
    <t>dotacja dla niepublicznego liceum ogólnokształcącego rozdz. 80120</t>
  </si>
  <si>
    <t>dotacja dla publicznego liceum ogólnokształcącego rozdz. 80120</t>
  </si>
  <si>
    <t>dotacja dla niepublicznego liceum profilowanego rozdz. 80123</t>
  </si>
  <si>
    <t>dotacja dla niepublicznej szkoły zawodowej rozdz. 80130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</si>
  <si>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</si>
  <si>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</si>
  <si>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</si>
  <si>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</si>
  <si>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zapewnienie bezpieczeństwa osobom przebywającym nad wodami</t>
  </si>
  <si>
    <t>prowadzenie placówki opiekuńczo - wychowawczej typu rodzinnego -  Rodzinny Dom Dziecka</t>
  </si>
  <si>
    <t xml:space="preserve">na realizację  programów korekcyjno-edukacyjnych dla sprawców przemocy  w rodzinie 
</t>
  </si>
  <si>
    <t>działalność na rzecz rozwoju gospodarczego wspierającego lokalny rynek pracy</t>
  </si>
  <si>
    <t>OGÓŁEM</t>
  </si>
  <si>
    <t xml:space="preserve">do Uchwały nr  </t>
  </si>
  <si>
    <t xml:space="preserve">z dnia 28 maja  2014 roku       </t>
  </si>
  <si>
    <r>
      <t xml:space="preserve"> </t>
    </r>
    <r>
      <rPr>
        <sz val="11"/>
        <rFont val="Times New Roman"/>
        <family val="1"/>
      </rPr>
      <t>dnia 22 kwietnia 2014 r.;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Nr 771 Rady Miasta Konina z dnia 30 kwietnia 2014 r.;  Nr 45/2014 Prezydenta </t>
    </r>
  </si>
  <si>
    <t xml:space="preserve">Budowa czterech domków mieszkalnych oraz rozbudowa budynku gospodarczego </t>
  </si>
  <si>
    <t xml:space="preserve"> w Koninie przy ul. M. Dąbrowskiej</t>
  </si>
  <si>
    <t xml:space="preserve">Opracowanie dokumentacji projektowo - kosztorysowej na   budowę budynku </t>
  </si>
  <si>
    <t xml:space="preserve"> gospodarczego z pomieszczeniami przynależnymi  do lokali mieszkalnych </t>
  </si>
  <si>
    <t xml:space="preserve">          rozdz.70095 § 6050   zwiększa się o kwotę</t>
  </si>
  <si>
    <r>
      <t xml:space="preserve">          </t>
    </r>
    <r>
      <rPr>
        <sz val="12"/>
        <rFont val="Times New Roman"/>
        <family val="1"/>
      </rPr>
      <t>w tym:</t>
    </r>
  </si>
  <si>
    <t xml:space="preserve">          rozdz.70005 § 6050   zwiększa się o kwotę</t>
  </si>
  <si>
    <t>Wykonanie systemu monitoringu na terenie Ośrodka "Przystań Gosławice"</t>
  </si>
  <si>
    <t>dz. 700   zwiększa się o kwotę</t>
  </si>
  <si>
    <t>70005</t>
  </si>
  <si>
    <t>710</t>
  </si>
  <si>
    <t>71004</t>
  </si>
  <si>
    <t>2990</t>
  </si>
  <si>
    <t>756</t>
  </si>
  <si>
    <t>75616</t>
  </si>
  <si>
    <t>0310</t>
  </si>
  <si>
    <t>Zakup namiotów reklamowych Miasta Konina</t>
  </si>
  <si>
    <t>dz. 900 rozdz.90004  § 6050   zwiększa się o kwotę</t>
  </si>
  <si>
    <t>851</t>
  </si>
  <si>
    <t>85154</t>
  </si>
  <si>
    <t>2310</t>
  </si>
  <si>
    <t>90004</t>
  </si>
  <si>
    <t>75022</t>
  </si>
  <si>
    <t>3030</t>
  </si>
  <si>
    <t>926</t>
  </si>
  <si>
    <t>92604</t>
  </si>
  <si>
    <t>W części dotyczącej zadań gminy</t>
  </si>
  <si>
    <t>Zwiększa się plan dotacji celowej o kwotę</t>
  </si>
  <si>
    <t>dz.851 rozdz.85154 § 2310 zwiększa się o kwotę</t>
  </si>
  <si>
    <t>dz.851 rozdz.85154 § 4300 zwiększa się o kwotę</t>
  </si>
  <si>
    <r>
      <t xml:space="preserve">4. W Załączniku nr 6 do uchwały budżetowej obejmującym </t>
    </r>
    <r>
      <rPr>
        <i/>
        <sz val="12"/>
        <rFont val="Times New Roman"/>
        <family val="1"/>
      </rPr>
      <t xml:space="preserve">"Plan dotacji i wydatków zadań </t>
    </r>
  </si>
  <si>
    <t>realizowanych na podstawie porozumień między jednostkami samorządu terytorialnego</t>
  </si>
  <si>
    <r>
      <t xml:space="preserve">na 2014 rok  - zadania własne" </t>
    </r>
    <r>
      <rPr>
        <sz val="12"/>
        <rFont val="Times New Roman"/>
        <family val="1"/>
      </rPr>
      <t>dokonuje się następujących zmian:</t>
    </r>
  </si>
  <si>
    <t>5. W § 1 ust. 3</t>
  </si>
  <si>
    <t>7. W Załączniku Nr 2 do uchwały budżetowej dokonuje się następujących zmian:</t>
  </si>
  <si>
    <r>
      <t xml:space="preserve"> 8.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</si>
  <si>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9. Załącznik nr 5 do uchwały budżetowej obejmujący:</t>
  </si>
  <si>
    <t>Utrzymanie zieleni w miastach i gminach</t>
  </si>
  <si>
    <t>4350</t>
  </si>
  <si>
    <t>4520</t>
  </si>
  <si>
    <t xml:space="preserve">pkt 1)  kwotę rezerwy ogólnej </t>
  </si>
  <si>
    <t xml:space="preserve">          w tym:</t>
  </si>
  <si>
    <t xml:space="preserve">                                                                               § 4</t>
  </si>
  <si>
    <t xml:space="preserve">a winno być </t>
  </si>
  <si>
    <t xml:space="preserve"> - kwotę środków i dotacji na realizację zadań w ramach</t>
  </si>
  <si>
    <t>programów i projektów funduszy strukturalnych</t>
  </si>
  <si>
    <t>­ kwotę wydatków na programy finansowane z udziałem środków</t>
  </si>
  <si>
    <t>o których mowa w art. 5 ust. 1 pkt 2 i 3 ufp w części związanej</t>
  </si>
  <si>
    <t>z realizacją zadań jst</t>
  </si>
  <si>
    <t xml:space="preserve">  w budynku przy ul. M. Dąbrowskiej 50 w Koninie</t>
  </si>
  <si>
    <t>Opracowanie dokumentacji projektowo - kosztorysowej na   budowę budynku gospodarczego z pomieszczeniami przynależnymi  do lokali mieszkalnych w budynku przy ul. M. Dąbrowskiej 50 w Koninie</t>
  </si>
  <si>
    <r>
      <t xml:space="preserve"> </t>
    </r>
    <r>
      <rPr>
        <sz val="11"/>
        <rFont val="Times New Roman"/>
        <family val="1"/>
      </rPr>
      <t>Miasta Konina z dnia 8 maja 2014 r.;  Nr    /2014 Prezydenta Miasta Konina z dnia  22 maja 2014 r.;</t>
    </r>
  </si>
  <si>
    <r>
      <t xml:space="preserve"> </t>
    </r>
    <r>
      <rPr>
        <b/>
        <sz val="11"/>
        <rFont val="Times New Roman"/>
        <family val="1"/>
      </rPr>
      <t>- wprowadza się następujące zmiany:</t>
    </r>
  </si>
  <si>
    <r>
      <t xml:space="preserve">10. Załącznik nr 11 do uchwały budżetowej obejmujący  </t>
    </r>
    <r>
      <rPr>
        <i/>
        <sz val="13"/>
        <rFont val="Times New Roman"/>
        <family val="1"/>
      </rPr>
      <t xml:space="preserve">"Plan dotacji dla podmiotów nie </t>
    </r>
  </si>
  <si>
    <t xml:space="preserve">zaliczanych do sektora finansów publicznych na cele publiczne związane z realizacją zadań </t>
  </si>
  <si>
    <r>
      <t xml:space="preserve">miasta na 2014 rok"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</si>
  <si>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t>10. W § 4 do uchwały budżetowej dokonuje się następujących zmian:</t>
  </si>
  <si>
    <t>jest</t>
  </si>
  <si>
    <t>Budowa boiska do koszykówki na terenie zieleni miejskiej przy ul. Janowskiej</t>
  </si>
  <si>
    <t xml:space="preserve">Prostuje się bład pisarski  w § 1 ust. 14 pkt 2 ppkt a w Uchwale Nr 771 Rady Miasta Konina </t>
  </si>
  <si>
    <t>z dnia 30 kwietnia 2014 roku w sprawie zmian w budżecie  miasta Konina na 2014 rok</t>
  </si>
  <si>
    <t>w następujący sposób:</t>
  </si>
  <si>
    <t>DRUK nr  876</t>
  </si>
  <si>
    <t>3020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</si>
</sst>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08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10"/>
      <name val="Arial"/>
      <family val="0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6"/>
      <color indexed="48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i/>
      <sz val="13"/>
      <name val="Times New Roman"/>
      <family val="1"/>
    </font>
    <font>
      <sz val="9"/>
      <name val="Arial CE"/>
      <family val="0"/>
    </font>
    <font>
      <b/>
      <sz val="10"/>
      <name val="Arial"/>
      <family val="0"/>
    </font>
    <font>
      <b/>
      <sz val="9"/>
      <name val="Arial CE"/>
      <family val="0"/>
    </font>
    <font>
      <b/>
      <i/>
      <sz val="16"/>
      <name val="Times New Roman"/>
      <family val="1"/>
    </font>
    <font>
      <sz val="9"/>
      <name val="Arial"/>
      <family val="0"/>
    </font>
    <font>
      <b/>
      <sz val="10"/>
      <color indexed="12"/>
      <name val="Times New Roman"/>
      <family val="1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2"/>
      <color indexed="17"/>
      <name val="Times New Roman"/>
      <family val="1"/>
    </font>
    <font>
      <i/>
      <sz val="16"/>
      <name val="Times New Roman"/>
      <family val="1"/>
    </font>
    <font>
      <b/>
      <sz val="10"/>
      <color indexed="57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6"/>
      <name val="Arial"/>
      <family val="0"/>
    </font>
    <font>
      <b/>
      <sz val="14"/>
      <color indexed="17"/>
      <name val="Times New Roman"/>
      <family val="1"/>
    </font>
    <font>
      <sz val="9"/>
      <color indexed="1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48"/>
      <name val="Times New Roman"/>
      <family val="1"/>
    </font>
    <font>
      <b/>
      <i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29" borderId="4" applyNumberFormat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2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3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32" borderId="0" applyNumberFormat="0" applyBorder="0" applyAlignment="0" applyProtection="0"/>
  </cellStyleXfs>
  <cellXfs count="800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6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3" xfId="52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" fontId="26" fillId="0" borderId="0" xfId="0" applyNumberFormat="1" applyFont="1" applyFill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4" fontId="28" fillId="0" borderId="0" xfId="0" applyNumberFormat="1" applyFont="1" applyFill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 wrapText="1"/>
    </xf>
    <xf numFmtId="0" fontId="32" fillId="0" borderId="13" xfId="52" applyFont="1" applyFill="1" applyBorder="1" applyAlignment="1">
      <alignment vertical="center" wrapText="1"/>
      <protection/>
    </xf>
    <xf numFmtId="0" fontId="33" fillId="0" borderId="10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" fontId="32" fillId="0" borderId="13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/>
    </xf>
    <xf numFmtId="0" fontId="32" fillId="0" borderId="10" xfId="52" applyFont="1" applyFill="1" applyBorder="1" applyAlignment="1">
      <alignment vertical="center" wrapText="1"/>
      <protection/>
    </xf>
    <xf numFmtId="0" fontId="12" fillId="0" borderId="22" xfId="0" applyFont="1" applyFill="1" applyBorder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vertical="center"/>
      <protection/>
    </xf>
    <xf numFmtId="0" fontId="34" fillId="0" borderId="17" xfId="0" applyFont="1" applyFill="1" applyBorder="1" applyAlignment="1">
      <alignment vertical="center" wrapText="1"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" fontId="34" fillId="0" borderId="10" xfId="0" applyNumberFormat="1" applyFont="1" applyFill="1" applyBorder="1" applyAlignment="1">
      <alignment vertical="center"/>
    </xf>
    <xf numFmtId="4" fontId="33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4" fontId="34" fillId="0" borderId="10" xfId="0" applyNumberFormat="1" applyFont="1" applyFill="1" applyBorder="1" applyAlignment="1">
      <alignment vertical="center" wrapText="1"/>
    </xf>
    <xf numFmtId="4" fontId="34" fillId="0" borderId="16" xfId="0" applyNumberFormat="1" applyFont="1" applyFill="1" applyBorder="1" applyAlignment="1">
      <alignment vertical="center" wrapText="1"/>
    </xf>
    <xf numFmtId="4" fontId="33" fillId="0" borderId="16" xfId="0" applyNumberFormat="1" applyFont="1" applyFill="1" applyBorder="1" applyAlignment="1">
      <alignment vertical="center" wrapText="1"/>
    </xf>
    <xf numFmtId="4" fontId="34" fillId="0" borderId="13" xfId="0" applyNumberFormat="1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4" fontId="33" fillId="0" borderId="1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32" fillId="0" borderId="13" xfId="0" applyNumberFormat="1" applyFont="1" applyFill="1" applyBorder="1" applyAlignment="1">
      <alignment vertical="center"/>
    </xf>
    <xf numFmtId="0" fontId="32" fillId="0" borderId="11" xfId="52" applyFont="1" applyFill="1" applyBorder="1" applyAlignment="1">
      <alignment vertical="center" wrapText="1"/>
      <protection/>
    </xf>
    <xf numFmtId="4" fontId="32" fillId="0" borderId="11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4" fontId="34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vertical="center"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8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" fontId="2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38" fillId="0" borderId="0" xfId="55" applyNumberFormat="1" applyFont="1" applyFill="1">
      <alignment/>
      <protection/>
    </xf>
    <xf numFmtId="49" fontId="38" fillId="0" borderId="0" xfId="55" applyNumberFormat="1" applyFont="1" applyFill="1" applyAlignment="1">
      <alignment horizontal="center"/>
      <protection/>
    </xf>
    <xf numFmtId="0" fontId="38" fillId="0" borderId="0" xfId="0" applyFont="1" applyFill="1" applyAlignment="1">
      <alignment horizontal="left"/>
    </xf>
    <xf numFmtId="0" fontId="38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8" xfId="52" applyNumberFormat="1" applyFont="1" applyFill="1" applyBorder="1">
      <alignment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9" xfId="52" applyNumberFormat="1" applyFont="1" applyFill="1" applyBorder="1">
      <alignment/>
      <protection/>
    </xf>
    <xf numFmtId="49" fontId="9" fillId="0" borderId="19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23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" fontId="5" fillId="0" borderId="20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" fillId="0" borderId="20" xfId="52" applyNumberFormat="1" applyFont="1" applyFill="1" applyBorder="1" applyAlignment="1">
      <alignment horizontal="right" vertical="top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5" fillId="0" borderId="20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164" fontId="9" fillId="0" borderId="0" xfId="52" applyNumberFormat="1" applyFont="1" applyFill="1">
      <alignment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38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8" fillId="0" borderId="0" xfId="53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9" fontId="5" fillId="0" borderId="23" xfId="52" applyNumberFormat="1" applyFont="1" applyFill="1" applyBorder="1" applyAlignment="1">
      <alignment horizontal="center" vertical="center"/>
      <protection/>
    </xf>
    <xf numFmtId="0" fontId="5" fillId="0" borderId="0" xfId="52" applyFont="1" applyFill="1">
      <alignment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23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21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top"/>
      <protection/>
    </xf>
    <xf numFmtId="0" fontId="10" fillId="0" borderId="18" xfId="52" applyFont="1" applyFill="1" applyBorder="1" applyAlignment="1">
      <alignment vertical="center" wrapText="1"/>
      <protection/>
    </xf>
    <xf numFmtId="49" fontId="3" fillId="0" borderId="0" xfId="52" applyNumberFormat="1" applyFont="1" applyFill="1" applyBorder="1" applyAlignment="1">
      <alignment horizontal="left" vertical="center"/>
      <protection/>
    </xf>
    <xf numFmtId="49" fontId="3" fillId="0" borderId="0" xfId="56" applyNumberFormat="1" applyFont="1" applyFill="1">
      <alignment/>
      <protection/>
    </xf>
    <xf numFmtId="49" fontId="31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9" fontId="36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9" fontId="15" fillId="0" borderId="0" xfId="56" applyNumberFormat="1" applyFont="1" applyFill="1">
      <alignment/>
      <protection/>
    </xf>
    <xf numFmtId="0" fontId="27" fillId="0" borderId="0" xfId="52" applyFont="1" applyFill="1">
      <alignment/>
      <protection/>
    </xf>
    <xf numFmtId="49" fontId="9" fillId="0" borderId="0" xfId="0" applyNumberFormat="1" applyFont="1" applyFill="1" applyAlignment="1">
      <alignment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49" fontId="15" fillId="0" borderId="0" xfId="55" applyNumberFormat="1" applyFont="1" applyFill="1">
      <alignment/>
      <protection/>
    </xf>
    <xf numFmtId="49" fontId="15" fillId="0" borderId="0" xfId="55" applyNumberFormat="1" applyFont="1" applyFill="1" applyAlignment="1">
      <alignment horizontal="center"/>
      <protection/>
    </xf>
    <xf numFmtId="0" fontId="15" fillId="0" borderId="0" xfId="55" applyFont="1" applyFill="1">
      <alignment/>
      <protection/>
    </xf>
    <xf numFmtId="4" fontId="15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32" fillId="0" borderId="0" xfId="0" applyFont="1" applyFill="1" applyAlignment="1">
      <alignment/>
    </xf>
    <xf numFmtId="0" fontId="32" fillId="0" borderId="1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32" fillId="0" borderId="14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33" fillId="0" borderId="13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37" fillId="0" borderId="0" xfId="0" applyFont="1" applyFill="1" applyAlignment="1">
      <alignment/>
    </xf>
    <xf numFmtId="4" fontId="32" fillId="0" borderId="0" xfId="0" applyNumberFormat="1" applyFont="1" applyFill="1" applyAlignment="1">
      <alignment vertical="center"/>
    </xf>
    <xf numFmtId="4" fontId="55" fillId="0" borderId="0" xfId="0" applyNumberFormat="1" applyFont="1" applyFill="1" applyAlignment="1">
      <alignment/>
    </xf>
    <xf numFmtId="4" fontId="56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9" fillId="0" borderId="22" xfId="0" applyFont="1" applyFill="1" applyBorder="1" applyAlignment="1">
      <alignment vertical="center" wrapText="1"/>
    </xf>
    <xf numFmtId="4" fontId="57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/>
    </xf>
    <xf numFmtId="0" fontId="9" fillId="0" borderId="19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13" fillId="0" borderId="0" xfId="53" applyFont="1" applyFill="1" applyAlignment="1">
      <alignment vertical="center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22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" fontId="59" fillId="0" borderId="0" xfId="0" applyNumberFormat="1" applyFont="1" applyFill="1" applyAlignment="1">
      <alignment/>
    </xf>
    <xf numFmtId="49" fontId="3" fillId="0" borderId="13" xfId="52" applyNumberFormat="1" applyFont="1" applyFill="1" applyBorder="1" applyAlignment="1">
      <alignment horizontal="center" vertical="center"/>
      <protection/>
    </xf>
    <xf numFmtId="4" fontId="32" fillId="0" borderId="10" xfId="52" applyNumberFormat="1" applyFont="1" applyFill="1" applyBorder="1" applyAlignment="1">
      <alignment vertical="center"/>
      <protection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wrapText="1"/>
    </xf>
    <xf numFmtId="4" fontId="32" fillId="0" borderId="0" xfId="0" applyNumberFormat="1" applyFont="1" applyFill="1" applyAlignment="1">
      <alignment wrapText="1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0" fontId="32" fillId="0" borderId="18" xfId="0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0" fontId="34" fillId="0" borderId="17" xfId="0" applyFont="1" applyFill="1" applyBorder="1" applyAlignment="1">
      <alignment horizontal="center" vertical="center"/>
    </xf>
    <xf numFmtId="4" fontId="34" fillId="0" borderId="12" xfId="0" applyNumberFormat="1" applyFont="1" applyFill="1" applyBorder="1" applyAlignment="1">
      <alignment vertical="center"/>
    </xf>
    <xf numFmtId="4" fontId="60" fillId="0" borderId="0" xfId="0" applyNumberFormat="1" applyFont="1" applyFill="1" applyAlignment="1">
      <alignment/>
    </xf>
    <xf numFmtId="0" fontId="34" fillId="0" borderId="10" xfId="0" applyFont="1" applyFill="1" applyBorder="1" applyAlignment="1">
      <alignment horizontal="center" vertical="center"/>
    </xf>
    <xf numFmtId="4" fontId="61" fillId="0" borderId="0" xfId="0" applyNumberFormat="1" applyFont="1" applyFill="1" applyAlignment="1">
      <alignment/>
    </xf>
    <xf numFmtId="0" fontId="33" fillId="0" borderId="2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" fontId="34" fillId="0" borderId="12" xfId="0" applyNumberFormat="1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/>
    </xf>
    <xf numFmtId="4" fontId="33" fillId="0" borderId="12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/>
    </xf>
    <xf numFmtId="4" fontId="32" fillId="0" borderId="13" xfId="52" applyNumberFormat="1" applyFont="1" applyFill="1" applyBorder="1" applyAlignment="1">
      <alignment vertical="center"/>
      <protection/>
    </xf>
    <xf numFmtId="0" fontId="32" fillId="0" borderId="10" xfId="52" applyFont="1" applyFill="1" applyBorder="1" applyAlignment="1">
      <alignment vertical="top" wrapText="1"/>
      <protection/>
    </xf>
    <xf numFmtId="0" fontId="12" fillId="0" borderId="13" xfId="0" applyFont="1" applyFill="1" applyBorder="1" applyAlignment="1">
      <alignment vertical="center"/>
    </xf>
    <xf numFmtId="0" fontId="34" fillId="0" borderId="10" xfId="52" applyFont="1" applyFill="1" applyBorder="1" applyAlignment="1">
      <alignment vertical="center" wrapText="1"/>
      <protection/>
    </xf>
    <xf numFmtId="4" fontId="34" fillId="0" borderId="10" xfId="52" applyNumberFormat="1" applyFont="1" applyFill="1" applyBorder="1" applyAlignment="1">
      <alignment vertical="center" wrapText="1"/>
      <protection/>
    </xf>
    <xf numFmtId="4" fontId="34" fillId="0" borderId="13" xfId="52" applyNumberFormat="1" applyFont="1" applyFill="1" applyBorder="1" applyAlignment="1">
      <alignment vertical="center" wrapText="1"/>
      <protection/>
    </xf>
    <xf numFmtId="0" fontId="27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0" xfId="52" applyFont="1" applyFill="1" applyBorder="1" applyAlignment="1">
      <alignment vertical="center" wrapText="1"/>
      <protection/>
    </xf>
    <xf numFmtId="4" fontId="33" fillId="0" borderId="10" xfId="52" applyNumberFormat="1" applyFont="1" applyFill="1" applyBorder="1" applyAlignment="1">
      <alignment vertical="center" wrapText="1"/>
      <protection/>
    </xf>
    <xf numFmtId="4" fontId="33" fillId="0" borderId="13" xfId="52" applyNumberFormat="1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32" fillId="0" borderId="13" xfId="52" applyFont="1" applyFill="1" applyBorder="1" applyAlignment="1">
      <alignment vertical="center" wrapText="1"/>
      <protection/>
    </xf>
    <xf numFmtId="0" fontId="34" fillId="0" borderId="13" xfId="52" applyFont="1" applyFill="1" applyBorder="1" applyAlignment="1">
      <alignment vertical="center" wrapText="1"/>
      <protection/>
    </xf>
    <xf numFmtId="0" fontId="54" fillId="0" borderId="0" xfId="0" applyFont="1" applyFill="1" applyAlignment="1">
      <alignment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3" xfId="52" applyFont="1" applyFill="1" applyBorder="1" applyAlignment="1">
      <alignment vertical="center" wrapText="1"/>
      <protection/>
    </xf>
    <xf numFmtId="0" fontId="37" fillId="0" borderId="0" xfId="0" applyFont="1" applyFill="1" applyAlignment="1">
      <alignment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49" fontId="5" fillId="0" borderId="16" xfId="52" applyNumberFormat="1" applyFont="1" applyFill="1" applyBorder="1" applyAlignment="1">
      <alignment horizontal="left" vertical="center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4" fontId="62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49" fontId="15" fillId="0" borderId="0" xfId="52" applyNumberFormat="1" applyFont="1" applyFill="1" applyAlignment="1">
      <alignment horizontal="left"/>
      <protection/>
    </xf>
    <xf numFmtId="0" fontId="35" fillId="0" borderId="0" xfId="53" applyFont="1" applyFill="1" applyAlignment="1">
      <alignment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4" fontId="3" fillId="0" borderId="11" xfId="52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49" fontId="15" fillId="0" borderId="0" xfId="0" applyNumberFormat="1" applyFont="1" applyFill="1" applyAlignment="1">
      <alignment/>
    </xf>
    <xf numFmtId="49" fontId="17" fillId="0" borderId="0" xfId="52" applyNumberFormat="1" applyFont="1" applyFill="1" applyBorder="1" applyAlignment="1">
      <alignment horizontal="center"/>
      <protection/>
    </xf>
    <xf numFmtId="4" fontId="17" fillId="0" borderId="0" xfId="52" applyNumberFormat="1" applyFont="1" applyFill="1" applyBorder="1" applyAlignment="1">
      <alignment horizontal="right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33" fillId="33" borderId="19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4" fontId="64" fillId="0" borderId="0" xfId="53" applyNumberFormat="1" applyFont="1" applyFill="1" applyAlignment="1">
      <alignment horizontal="right" vertical="center"/>
      <protection/>
    </xf>
    <xf numFmtId="0" fontId="9" fillId="34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/>
    </xf>
    <xf numFmtId="0" fontId="5" fillId="0" borderId="10" xfId="52" applyFont="1" applyFill="1" applyBorder="1" applyAlignment="1">
      <alignment horizontal="center" vertical="center"/>
      <protection/>
    </xf>
    <xf numFmtId="4" fontId="32" fillId="0" borderId="15" xfId="0" applyNumberFormat="1" applyFont="1" applyFill="1" applyBorder="1" applyAlignment="1">
      <alignment vertical="center"/>
    </xf>
    <xf numFmtId="0" fontId="3" fillId="0" borderId="23" xfId="52" applyFont="1" applyFill="1" applyBorder="1" applyAlignment="1">
      <alignment horizontal="center" vertical="center"/>
      <protection/>
    </xf>
    <xf numFmtId="0" fontId="32" fillId="0" borderId="10" xfId="0" applyFont="1" applyFill="1" applyBorder="1" applyAlignment="1">
      <alignment vertical="center"/>
    </xf>
    <xf numFmtId="4" fontId="59" fillId="0" borderId="0" xfId="0" applyNumberFormat="1" applyFont="1" applyFill="1" applyAlignment="1">
      <alignment/>
    </xf>
    <xf numFmtId="49" fontId="5" fillId="0" borderId="19" xfId="52" applyNumberFormat="1" applyFont="1" applyFill="1" applyBorder="1" applyAlignment="1">
      <alignment horizontal="center" vertical="center"/>
      <protection/>
    </xf>
    <xf numFmtId="0" fontId="32" fillId="0" borderId="17" xfId="0" applyFont="1" applyFill="1" applyBorder="1" applyAlignment="1">
      <alignment horizontal="center" vertical="center"/>
    </xf>
    <xf numFmtId="0" fontId="32" fillId="0" borderId="13" xfId="52" applyFont="1" applyFill="1" applyBorder="1" applyAlignment="1">
      <alignment horizontal="left" vertical="top" wrapText="1"/>
      <protection/>
    </xf>
    <xf numFmtId="4" fontId="32" fillId="0" borderId="13" xfId="52" applyNumberFormat="1" applyFont="1" applyFill="1" applyBorder="1" applyAlignment="1">
      <alignment vertical="center" wrapText="1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26" fillId="0" borderId="13" xfId="53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19" xfId="52" applyFont="1" applyFill="1" applyBorder="1" applyAlignment="1">
      <alignment horizontal="center" vertical="center"/>
      <protection/>
    </xf>
    <xf numFmtId="4" fontId="16" fillId="0" borderId="0" xfId="56" applyNumberFormat="1" applyFont="1" applyFill="1" applyAlignment="1">
      <alignment horizontal="right"/>
      <protection/>
    </xf>
    <xf numFmtId="0" fontId="56" fillId="0" borderId="0" xfId="0" applyFont="1" applyFill="1" applyAlignment="1">
      <alignment vertical="center"/>
    </xf>
    <xf numFmtId="0" fontId="9" fillId="0" borderId="0" xfId="57" applyFont="1" applyFill="1">
      <alignment/>
      <protection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0" xfId="57" applyFont="1" applyFill="1" applyBorder="1">
      <alignment/>
      <protection/>
    </xf>
    <xf numFmtId="0" fontId="32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0" fontId="28" fillId="0" borderId="0" xfId="53" applyFont="1" applyFill="1">
      <alignment/>
      <protection/>
    </xf>
    <xf numFmtId="0" fontId="9" fillId="0" borderId="0" xfId="57" applyFont="1" applyFill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32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7" fillId="0" borderId="0" xfId="53" applyFont="1" applyFill="1" applyAlignment="1">
      <alignment horizontal="center"/>
      <protection/>
    </xf>
    <xf numFmtId="0" fontId="9" fillId="0" borderId="18" xfId="57" applyFont="1" applyFill="1" applyBorder="1" applyAlignment="1">
      <alignment horizontal="center"/>
      <protection/>
    </xf>
    <xf numFmtId="0" fontId="9" fillId="0" borderId="18" xfId="53" applyFont="1" applyFill="1" applyBorder="1">
      <alignment/>
      <protection/>
    </xf>
    <xf numFmtId="0" fontId="9" fillId="0" borderId="18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26" fillId="0" borderId="12" xfId="53" applyFont="1" applyFill="1" applyBorder="1" applyAlignment="1">
      <alignment horizontal="center" vertical="top" wrapText="1"/>
      <protection/>
    </xf>
    <xf numFmtId="0" fontId="26" fillId="0" borderId="13" xfId="53" applyFont="1" applyFill="1" applyBorder="1" applyAlignment="1">
      <alignment horizontal="center" vertical="top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4" fontId="25" fillId="0" borderId="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32" fillId="0" borderId="0" xfId="53" applyFont="1" applyFill="1" applyAlignment="1">
      <alignment horizontal="center" vertical="center" wrapText="1"/>
      <protection/>
    </xf>
    <xf numFmtId="4" fontId="2" fillId="0" borderId="0" xfId="57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6" fillId="0" borderId="10" xfId="57" applyFont="1" applyFill="1" applyBorder="1" applyAlignment="1">
      <alignment horizontal="left" vertical="top"/>
      <protection/>
    </xf>
    <xf numFmtId="0" fontId="9" fillId="0" borderId="22" xfId="53" applyFont="1" applyFill="1" applyBorder="1" applyAlignment="1">
      <alignment horizontal="center" vertical="top" wrapText="1"/>
      <protection/>
    </xf>
    <xf numFmtId="0" fontId="26" fillId="0" borderId="22" xfId="53" applyFont="1" applyFill="1" applyBorder="1" applyAlignment="1">
      <alignment horizontal="center" vertical="top" wrapText="1"/>
      <protection/>
    </xf>
    <xf numFmtId="4" fontId="5" fillId="0" borderId="13" xfId="53" applyNumberFormat="1" applyFont="1" applyFill="1" applyBorder="1" applyAlignment="1">
      <alignment horizontal="right" vertical="center" wrapText="1"/>
      <protection/>
    </xf>
    <xf numFmtId="4" fontId="32" fillId="0" borderId="0" xfId="53" applyNumberFormat="1" applyFont="1" applyFill="1" applyAlignment="1">
      <alignment horizontal="center" vertical="center" wrapText="1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vertical="center" wrapText="1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0" fontId="26" fillId="0" borderId="14" xfId="0" applyFont="1" applyFill="1" applyBorder="1" applyAlignment="1">
      <alignment vertical="center"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" fontId="32" fillId="0" borderId="0" xfId="0" applyNumberFormat="1" applyFont="1" applyFill="1" applyBorder="1" applyAlignment="1">
      <alignment vertical="center"/>
    </xf>
    <xf numFmtId="4" fontId="9" fillId="0" borderId="0" xfId="53" applyNumberFormat="1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vertical="center"/>
      <protection/>
    </xf>
    <xf numFmtId="0" fontId="9" fillId="0" borderId="19" xfId="57" applyFont="1" applyFill="1" applyBorder="1" applyAlignment="1">
      <alignment horizontal="center" vertical="center"/>
      <protection/>
    </xf>
    <xf numFmtId="4" fontId="9" fillId="0" borderId="14" xfId="57" applyNumberFormat="1" applyFont="1" applyFill="1" applyBorder="1" applyAlignment="1">
      <alignment vertical="center"/>
      <protection/>
    </xf>
    <xf numFmtId="0" fontId="26" fillId="0" borderId="15" xfId="0" applyFont="1" applyFill="1" applyBorder="1" applyAlignment="1">
      <alignment vertical="center"/>
    </xf>
    <xf numFmtId="4" fontId="3" fillId="0" borderId="15" xfId="53" applyNumberFormat="1" applyFont="1" applyFill="1" applyBorder="1" applyAlignment="1">
      <alignment horizontal="center" vertical="center" wrapText="1"/>
      <protection/>
    </xf>
    <xf numFmtId="4" fontId="3" fillId="0" borderId="19" xfId="53" applyNumberFormat="1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/>
      <protection/>
    </xf>
    <xf numFmtId="4" fontId="9" fillId="0" borderId="16" xfId="57" applyNumberFormat="1" applyFont="1" applyFill="1" applyBorder="1" applyAlignment="1">
      <alignment vertical="center"/>
      <protection/>
    </xf>
    <xf numFmtId="0" fontId="26" fillId="0" borderId="16" xfId="0" applyFont="1" applyFill="1" applyBorder="1" applyAlignment="1">
      <alignment vertical="center"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vertical="center" wrapText="1"/>
      <protection/>
    </xf>
    <xf numFmtId="0" fontId="26" fillId="0" borderId="18" xfId="53" applyFont="1" applyFill="1" applyBorder="1" applyAlignment="1">
      <alignment horizontal="center" vertical="center"/>
      <protection/>
    </xf>
    <xf numFmtId="0" fontId="9" fillId="0" borderId="22" xfId="57" applyFont="1" applyFill="1" applyBorder="1" applyAlignment="1">
      <alignment vertical="center" wrapText="1"/>
      <protection/>
    </xf>
    <xf numFmtId="4" fontId="9" fillId="0" borderId="18" xfId="57" applyNumberFormat="1" applyFont="1" applyFill="1" applyBorder="1" applyAlignment="1">
      <alignment vertical="center"/>
      <protection/>
    </xf>
    <xf numFmtId="0" fontId="26" fillId="0" borderId="19" xfId="53" applyFont="1" applyFill="1" applyBorder="1" applyAlignment="1">
      <alignment horizontal="center" vertical="center"/>
      <protection/>
    </xf>
    <xf numFmtId="4" fontId="9" fillId="0" borderId="12" xfId="57" applyNumberFormat="1" applyFont="1" applyFill="1" applyBorder="1" applyAlignment="1">
      <alignment vertical="center"/>
      <protection/>
    </xf>
    <xf numFmtId="4" fontId="3" fillId="0" borderId="19" xfId="53" applyNumberFormat="1" applyFont="1" applyFill="1" applyBorder="1" applyAlignment="1">
      <alignment horizontal="right" vertical="center" wrapText="1"/>
      <protection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4" fontId="9" fillId="0" borderId="13" xfId="57" applyNumberFormat="1" applyFont="1" applyFill="1" applyBorder="1" applyAlignment="1">
      <alignment vertical="center" wrapText="1"/>
      <protection/>
    </xf>
    <xf numFmtId="4" fontId="9" fillId="0" borderId="15" xfId="57" applyNumberFormat="1" applyFont="1" applyFill="1" applyBorder="1" applyAlignment="1">
      <alignment vertical="center"/>
      <protection/>
    </xf>
    <xf numFmtId="0" fontId="9" fillId="0" borderId="24" xfId="0" applyFont="1" applyFill="1" applyBorder="1" applyAlignment="1">
      <alignment vertical="center" wrapText="1"/>
    </xf>
    <xf numFmtId="4" fontId="9" fillId="0" borderId="14" xfId="57" applyNumberFormat="1" applyFont="1" applyFill="1" applyBorder="1" applyAlignment="1">
      <alignment vertical="center" wrapText="1"/>
      <protection/>
    </xf>
    <xf numFmtId="4" fontId="3" fillId="0" borderId="23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9" fillId="0" borderId="14" xfId="53" applyFont="1" applyFill="1" applyBorder="1" applyAlignment="1">
      <alignment vertical="center" wrapText="1"/>
      <protection/>
    </xf>
    <xf numFmtId="0" fontId="12" fillId="0" borderId="13" xfId="53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4" fontId="9" fillId="0" borderId="10" xfId="57" applyNumberFormat="1" applyFont="1" applyFill="1" applyBorder="1" applyAlignment="1">
      <alignment vertical="center" wrapText="1"/>
      <protection/>
    </xf>
    <xf numFmtId="0" fontId="26" fillId="0" borderId="20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left" vertical="center"/>
      <protection/>
    </xf>
    <xf numFmtId="0" fontId="32" fillId="0" borderId="22" xfId="0" applyFont="1" applyFill="1" applyBorder="1" applyAlignment="1">
      <alignment vertical="center" wrapText="1"/>
    </xf>
    <xf numFmtId="4" fontId="9" fillId="0" borderId="22" xfId="57" applyNumberFormat="1" applyFont="1" applyFill="1" applyBorder="1" applyAlignment="1">
      <alignment vertical="center"/>
      <protection/>
    </xf>
    <xf numFmtId="0" fontId="26" fillId="0" borderId="11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9" fillId="0" borderId="18" xfId="53" applyFont="1" applyFill="1" applyBorder="1" applyAlignment="1">
      <alignment vertical="center" wrapText="1"/>
      <protection/>
    </xf>
    <xf numFmtId="4" fontId="3" fillId="0" borderId="18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19" xfId="57" applyNumberFormat="1" applyFont="1" applyFill="1" applyBorder="1" applyAlignment="1">
      <alignment vertical="center" wrapText="1"/>
      <protection/>
    </xf>
    <xf numFmtId="4" fontId="3" fillId="0" borderId="21" xfId="0" applyNumberFormat="1" applyFont="1" applyFill="1" applyBorder="1" applyAlignment="1">
      <alignment vertical="center"/>
    </xf>
    <xf numFmtId="4" fontId="3" fillId="0" borderId="12" xfId="57" applyNumberFormat="1" applyFont="1" applyFill="1" applyBorder="1" applyAlignment="1">
      <alignment vertical="center" wrapText="1"/>
      <protection/>
    </xf>
    <xf numFmtId="4" fontId="3" fillId="0" borderId="20" xfId="0" applyNumberFormat="1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/>
    </xf>
    <xf numFmtId="4" fontId="20" fillId="0" borderId="18" xfId="0" applyNumberFormat="1" applyFont="1" applyFill="1" applyBorder="1" applyAlignment="1">
      <alignment vertical="center"/>
    </xf>
    <xf numFmtId="0" fontId="9" fillId="0" borderId="11" xfId="57" applyFont="1" applyFill="1" applyBorder="1" applyAlignment="1">
      <alignment vertical="center" wrapText="1"/>
      <protection/>
    </xf>
    <xf numFmtId="0" fontId="43" fillId="0" borderId="19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9" fillId="0" borderId="13" xfId="57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" fontId="67" fillId="0" borderId="0" xfId="0" applyNumberFormat="1" applyFont="1" applyFill="1" applyAlignment="1">
      <alignment/>
    </xf>
    <xf numFmtId="0" fontId="43" fillId="0" borderId="12" xfId="0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4" fontId="44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52" fillId="0" borderId="0" xfId="56" applyNumberFormat="1" applyFont="1" applyFill="1">
      <alignment/>
      <protection/>
    </xf>
    <xf numFmtId="49" fontId="16" fillId="0" borderId="0" xfId="56" applyNumberFormat="1" applyFont="1" applyFill="1" applyAlignment="1">
      <alignment horizontal="center"/>
      <protection/>
    </xf>
    <xf numFmtId="4" fontId="31" fillId="0" borderId="0" xfId="52" applyNumberFormat="1" applyFont="1" applyFill="1" applyBorder="1" applyAlignment="1">
      <alignment vertical="center"/>
      <protection/>
    </xf>
    <xf numFmtId="0" fontId="6" fillId="0" borderId="0" xfId="58" applyFont="1" applyFill="1" applyAlignment="1">
      <alignment horizontal="left"/>
      <protection/>
    </xf>
    <xf numFmtId="0" fontId="32" fillId="0" borderId="13" xfId="0" applyFont="1" applyFill="1" applyBorder="1" applyAlignment="1">
      <alignment wrapText="1"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" fontId="68" fillId="0" borderId="0" xfId="0" applyNumberFormat="1" applyFont="1" applyAlignment="1">
      <alignment/>
    </xf>
    <xf numFmtId="0" fontId="3" fillId="0" borderId="20" xfId="52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right" vertical="center"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2" fillId="0" borderId="20" xfId="0" applyNumberFormat="1" applyFont="1" applyFill="1" applyBorder="1" applyAlignment="1">
      <alignment vertical="center" wrapText="1"/>
    </xf>
    <xf numFmtId="0" fontId="27" fillId="34" borderId="21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1" fontId="20" fillId="0" borderId="0" xfId="52" applyNumberFormat="1" applyFont="1" applyFill="1" applyBorder="1" applyAlignment="1">
      <alignment horizontal="center" vertical="center"/>
      <protection/>
    </xf>
    <xf numFmtId="4" fontId="25" fillId="0" borderId="0" xfId="52" applyNumberFormat="1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1" fontId="25" fillId="0" borderId="0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22" xfId="52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>
      <alignment/>
    </xf>
    <xf numFmtId="0" fontId="7" fillId="0" borderId="0" xfId="52" applyFont="1" applyFill="1" applyAlignment="1">
      <alignment horizontal="left"/>
      <protection/>
    </xf>
    <xf numFmtId="4" fontId="32" fillId="0" borderId="13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wrapText="1"/>
    </xf>
    <xf numFmtId="0" fontId="34" fillId="0" borderId="11" xfId="52" applyFont="1" applyFill="1" applyBorder="1" applyAlignment="1">
      <alignment vertical="center" wrapText="1"/>
      <protection/>
    </xf>
    <xf numFmtId="4" fontId="34" fillId="0" borderId="10" xfId="52" applyNumberFormat="1" applyFont="1" applyFill="1" applyBorder="1" applyAlignment="1">
      <alignment vertical="center"/>
      <protection/>
    </xf>
    <xf numFmtId="4" fontId="34" fillId="0" borderId="13" xfId="52" applyNumberFormat="1" applyFont="1" applyFill="1" applyBorder="1" applyAlignment="1">
      <alignment vertical="center"/>
      <protection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right" vertical="center" wrapText="1"/>
      <protection/>
    </xf>
    <xf numFmtId="4" fontId="32" fillId="35" borderId="10" xfId="0" applyNumberFormat="1" applyFont="1" applyFill="1" applyBorder="1" applyAlignment="1">
      <alignment vertical="center"/>
    </xf>
    <xf numFmtId="4" fontId="32" fillId="35" borderId="13" xfId="0" applyNumberFormat="1" applyFont="1" applyFill="1" applyBorder="1" applyAlignment="1">
      <alignment vertical="center"/>
    </xf>
    <xf numFmtId="4" fontId="32" fillId="35" borderId="10" xfId="0" applyNumberFormat="1" applyFont="1" applyFill="1" applyBorder="1" applyAlignment="1">
      <alignment vertical="center" wrapText="1"/>
    </xf>
    <xf numFmtId="0" fontId="32" fillId="35" borderId="13" xfId="0" applyFont="1" applyFill="1" applyBorder="1" applyAlignment="1">
      <alignment horizontal="center" vertical="center"/>
    </xf>
    <xf numFmtId="0" fontId="32" fillId="35" borderId="13" xfId="0" applyFont="1" applyFill="1" applyBorder="1" applyAlignment="1">
      <alignment vertical="center" wrapText="1"/>
    </xf>
    <xf numFmtId="4" fontId="32" fillId="35" borderId="13" xfId="0" applyNumberFormat="1" applyFont="1" applyFill="1" applyBorder="1" applyAlignment="1">
      <alignment vertical="center" wrapText="1"/>
    </xf>
    <xf numFmtId="0" fontId="32" fillId="35" borderId="22" xfId="0" applyFont="1" applyFill="1" applyBorder="1" applyAlignment="1">
      <alignment horizontal="center" vertical="center"/>
    </xf>
    <xf numFmtId="0" fontId="32" fillId="35" borderId="12" xfId="52" applyFont="1" applyFill="1" applyBorder="1" applyAlignment="1">
      <alignment vertical="center" wrapText="1"/>
      <protection/>
    </xf>
    <xf numFmtId="4" fontId="32" fillId="35" borderId="12" xfId="0" applyNumberFormat="1" applyFont="1" applyFill="1" applyBorder="1" applyAlignment="1">
      <alignment vertical="center" wrapText="1"/>
    </xf>
    <xf numFmtId="4" fontId="32" fillId="35" borderId="20" xfId="0" applyNumberFormat="1" applyFont="1" applyFill="1" applyBorder="1" applyAlignment="1">
      <alignment vertical="center" wrapText="1"/>
    </xf>
    <xf numFmtId="0" fontId="3" fillId="0" borderId="13" xfId="52" applyFont="1" applyFill="1" applyBorder="1" applyAlignment="1">
      <alignment horizontal="center" vertical="center"/>
      <protection/>
    </xf>
    <xf numFmtId="4" fontId="3" fillId="36" borderId="16" xfId="53" applyNumberFormat="1" applyFont="1" applyFill="1" applyBorder="1" applyAlignment="1">
      <alignment horizontal="center" vertical="center" wrapText="1"/>
      <protection/>
    </xf>
    <xf numFmtId="4" fontId="3" fillId="36" borderId="12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4" fontId="4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left" vertical="center"/>
    </xf>
    <xf numFmtId="0" fontId="32" fillId="0" borderId="23" xfId="54" applyFont="1" applyFill="1" applyBorder="1" applyAlignment="1">
      <alignment horizontal="left" vertical="center" wrapText="1"/>
      <protection/>
    </xf>
    <xf numFmtId="0" fontId="12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wrapText="1"/>
    </xf>
    <xf numFmtId="0" fontId="32" fillId="0" borderId="13" xfId="54" applyFont="1" applyFill="1" applyBorder="1" applyAlignment="1">
      <alignment horizontal="left" vertical="center" wrapText="1"/>
      <protection/>
    </xf>
    <xf numFmtId="0" fontId="32" fillId="0" borderId="18" xfId="54" applyFont="1" applyFill="1" applyBorder="1" applyAlignment="1">
      <alignment horizontal="left" vertical="center" wrapText="1"/>
      <protection/>
    </xf>
    <xf numFmtId="0" fontId="34" fillId="0" borderId="19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49" fontId="32" fillId="0" borderId="13" xfId="52" applyNumberFormat="1" applyFont="1" applyFill="1" applyBorder="1" applyAlignment="1">
      <alignment horizontal="left" vertical="center" wrapText="1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4" fontId="13" fillId="0" borderId="13" xfId="0" applyNumberFormat="1" applyFont="1" applyFill="1" applyBorder="1" applyAlignment="1">
      <alignment horizontal="right" vertical="center"/>
    </xf>
    <xf numFmtId="0" fontId="34" fillId="0" borderId="19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right" vertical="center"/>
    </xf>
    <xf numFmtId="4" fontId="3" fillId="36" borderId="13" xfId="0" applyNumberFormat="1" applyFont="1" applyFill="1" applyBorder="1" applyAlignment="1">
      <alignment vertical="center"/>
    </xf>
    <xf numFmtId="49" fontId="13" fillId="0" borderId="0" xfId="52" applyNumberFormat="1" applyFont="1" applyFill="1">
      <alignment/>
      <protection/>
    </xf>
    <xf numFmtId="49" fontId="31" fillId="0" borderId="0" xfId="52" applyNumberFormat="1" applyFont="1" applyFill="1" applyBorder="1" applyAlignment="1">
      <alignment horizontal="left" vertical="center"/>
      <protection/>
    </xf>
    <xf numFmtId="49" fontId="16" fillId="0" borderId="0" xfId="56" applyNumberFormat="1" applyFont="1" applyFill="1" applyBorder="1" applyAlignment="1">
      <alignment horizontal="center"/>
      <protection/>
    </xf>
    <xf numFmtId="4" fontId="13" fillId="0" borderId="0" xfId="52" applyNumberFormat="1" applyFont="1" applyFill="1" applyBorder="1" applyAlignment="1">
      <alignment vertical="center"/>
      <protection/>
    </xf>
    <xf numFmtId="4" fontId="27" fillId="0" borderId="0" xfId="0" applyNumberFormat="1" applyFont="1" applyFill="1" applyAlignment="1">
      <alignment vertical="center"/>
    </xf>
    <xf numFmtId="4" fontId="3" fillId="0" borderId="19" xfId="52" applyNumberFormat="1" applyFont="1" applyFill="1" applyBorder="1" applyAlignment="1">
      <alignment horizontal="right" vertical="top"/>
      <protection/>
    </xf>
    <xf numFmtId="4" fontId="5" fillId="0" borderId="13" xfId="52" applyNumberFormat="1" applyFont="1" applyFill="1" applyBorder="1" applyAlignment="1">
      <alignment horizontal="right" vertical="top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49" fontId="9" fillId="0" borderId="18" xfId="52" applyNumberFormat="1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49" fontId="9" fillId="0" borderId="14" xfId="52" applyNumberFormat="1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right" vertical="center" wrapText="1"/>
      <protection/>
    </xf>
    <xf numFmtId="49" fontId="12" fillId="0" borderId="13" xfId="52" applyNumberFormat="1" applyFont="1" applyFill="1" applyBorder="1" applyAlignment="1">
      <alignment horizontal="center" vertical="center"/>
      <protection/>
    </xf>
    <xf numFmtId="4" fontId="5" fillId="0" borderId="13" xfId="52" applyNumberFormat="1" applyFont="1" applyFill="1" applyBorder="1" applyAlignment="1">
      <alignment horizontal="right" vertical="center" wrapText="1"/>
      <protection/>
    </xf>
    <xf numFmtId="0" fontId="3" fillId="0" borderId="16" xfId="52" applyFont="1" applyFill="1" applyBorder="1" applyAlignment="1">
      <alignment horizontal="center" vertical="center"/>
      <protection/>
    </xf>
    <xf numFmtId="4" fontId="3" fillId="0" borderId="11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49" fontId="5" fillId="0" borderId="13" xfId="5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32" fillId="35" borderId="10" xfId="0" applyFont="1" applyFill="1" applyBorder="1" applyAlignment="1">
      <alignment vertical="center" wrapText="1"/>
    </xf>
    <xf numFmtId="4" fontId="5" fillId="0" borderId="13" xfId="52" applyNumberFormat="1" applyFont="1" applyFill="1" applyBorder="1" applyAlignment="1">
      <alignment horizontal="right" vertical="center"/>
      <protection/>
    </xf>
    <xf numFmtId="4" fontId="2" fillId="0" borderId="0" xfId="52" applyNumberFormat="1" applyFont="1" applyFill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4" fontId="3" fillId="34" borderId="0" xfId="52" applyNumberFormat="1" applyFont="1" applyFill="1" applyBorder="1" applyAlignment="1">
      <alignment vertical="center"/>
      <protection/>
    </xf>
    <xf numFmtId="0" fontId="3" fillId="34" borderId="0" xfId="52" applyFont="1" applyFill="1" applyBorder="1" applyAlignment="1">
      <alignment horizontal="center" vertical="center"/>
      <protection/>
    </xf>
    <xf numFmtId="1" fontId="20" fillId="34" borderId="0" xfId="52" applyNumberFormat="1" applyFont="1" applyFill="1" applyBorder="1" applyAlignment="1">
      <alignment horizontal="center" vertical="center"/>
      <protection/>
    </xf>
    <xf numFmtId="4" fontId="20" fillId="34" borderId="0" xfId="52" applyNumberFormat="1" applyFont="1" applyFill="1" applyBorder="1" applyAlignment="1">
      <alignment vertical="center"/>
      <protection/>
    </xf>
    <xf numFmtId="4" fontId="5" fillId="34" borderId="0" xfId="52" applyNumberFormat="1" applyFont="1" applyFill="1" applyBorder="1" applyAlignment="1">
      <alignment vertical="center"/>
      <protection/>
    </xf>
    <xf numFmtId="4" fontId="25" fillId="34" borderId="0" xfId="52" applyNumberFormat="1" applyFont="1" applyFill="1" applyBorder="1" applyAlignment="1">
      <alignment vertical="center"/>
      <protection/>
    </xf>
    <xf numFmtId="49" fontId="4" fillId="34" borderId="0" xfId="55" applyNumberFormat="1" applyFont="1" applyFill="1">
      <alignment/>
      <protection/>
    </xf>
    <xf numFmtId="49" fontId="38" fillId="34" borderId="0" xfId="55" applyNumberFormat="1" applyFont="1" applyFill="1">
      <alignment/>
      <protection/>
    </xf>
    <xf numFmtId="49" fontId="38" fillId="34" borderId="0" xfId="55" applyNumberFormat="1" applyFont="1" applyFill="1" applyAlignment="1">
      <alignment horizontal="center"/>
      <protection/>
    </xf>
    <xf numFmtId="0" fontId="38" fillId="34" borderId="0" xfId="0" applyFont="1" applyFill="1" applyAlignment="1">
      <alignment horizontal="left"/>
    </xf>
    <xf numFmtId="0" fontId="38" fillId="34" borderId="0" xfId="53" applyFont="1" applyFill="1">
      <alignment/>
      <protection/>
    </xf>
    <xf numFmtId="0" fontId="31" fillId="0" borderId="0" xfId="0" applyFont="1" applyFill="1" applyAlignment="1">
      <alignment/>
    </xf>
    <xf numFmtId="4" fontId="33" fillId="0" borderId="10" xfId="52" applyNumberFormat="1" applyFont="1" applyFill="1" applyBorder="1" applyAlignment="1">
      <alignment vertical="center"/>
      <protection/>
    </xf>
    <xf numFmtId="4" fontId="33" fillId="0" borderId="13" xfId="52" applyNumberFormat="1" applyFont="1" applyFill="1" applyBorder="1" applyAlignment="1">
      <alignment vertical="center"/>
      <protection/>
    </xf>
    <xf numFmtId="4" fontId="32" fillId="35" borderId="10" xfId="52" applyNumberFormat="1" applyFont="1" applyFill="1" applyBorder="1" applyAlignment="1">
      <alignment vertical="center"/>
      <protection/>
    </xf>
    <xf numFmtId="4" fontId="32" fillId="35" borderId="13" xfId="52" applyNumberFormat="1" applyFont="1" applyFill="1" applyBorder="1" applyAlignment="1">
      <alignment vertical="center"/>
      <protection/>
    </xf>
    <xf numFmtId="4" fontId="22" fillId="0" borderId="0" xfId="52" applyNumberFormat="1" applyFont="1" applyFill="1" applyBorder="1">
      <alignment/>
      <protection/>
    </xf>
    <xf numFmtId="4" fontId="3" fillId="0" borderId="0" xfId="52" applyNumberFormat="1" applyFont="1" applyFill="1" applyBorder="1" applyAlignment="1">
      <alignment horizontal="right" vertical="top"/>
      <protection/>
    </xf>
    <xf numFmtId="0" fontId="15" fillId="0" borderId="0" xfId="53" applyFont="1" applyFill="1">
      <alignment/>
      <protection/>
    </xf>
    <xf numFmtId="49" fontId="16" fillId="0" borderId="0" xfId="53" applyNumberFormat="1" applyFont="1" applyFill="1">
      <alignment/>
      <protection/>
    </xf>
    <xf numFmtId="49" fontId="15" fillId="0" borderId="0" xfId="0" applyNumberFormat="1" applyFont="1" applyFill="1" applyAlignment="1">
      <alignment/>
    </xf>
    <xf numFmtId="49" fontId="52" fillId="0" borderId="0" xfId="0" applyNumberFormat="1" applyFont="1" applyFill="1" applyAlignment="1">
      <alignment/>
    </xf>
    <xf numFmtId="4" fontId="21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9" fillId="0" borderId="0" xfId="53" applyNumberFormat="1" applyFont="1" applyFill="1" applyBorder="1" applyAlignment="1">
      <alignment vertical="center"/>
      <protection/>
    </xf>
    <xf numFmtId="4" fontId="3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vertical="center"/>
      <protection/>
    </xf>
    <xf numFmtId="4" fontId="9" fillId="0" borderId="0" xfId="0" applyNumberFormat="1" applyFont="1" applyFill="1" applyBorder="1" applyAlignment="1">
      <alignment vertical="center"/>
    </xf>
    <xf numFmtId="4" fontId="9" fillId="0" borderId="0" xfId="53" applyNumberFormat="1" applyFont="1" applyFill="1" applyBorder="1">
      <alignment/>
      <protection/>
    </xf>
    <xf numFmtId="4" fontId="3" fillId="0" borderId="0" xfId="53" applyNumberFormat="1" applyFont="1" applyFill="1" applyBorder="1">
      <alignment/>
      <protection/>
    </xf>
    <xf numFmtId="4" fontId="22" fillId="0" borderId="0" xfId="53" applyNumberFormat="1" applyFont="1" applyFill="1" applyBorder="1">
      <alignment/>
      <protection/>
    </xf>
    <xf numFmtId="4" fontId="20" fillId="0" borderId="0" xfId="53" applyNumberFormat="1" applyFont="1" applyFill="1" applyBorder="1">
      <alignment/>
      <protection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3" fillId="0" borderId="0" xfId="53" applyNumberFormat="1" applyFont="1" applyFill="1" applyBorder="1">
      <alignment/>
      <protection/>
    </xf>
    <xf numFmtId="4" fontId="21" fillId="0" borderId="0" xfId="53" applyNumberFormat="1" applyFont="1" applyFill="1" applyBorder="1">
      <alignment/>
      <protection/>
    </xf>
    <xf numFmtId="4" fontId="20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41" fillId="0" borderId="0" xfId="52" applyNumberFormat="1" applyFont="1" applyFill="1" applyBorder="1">
      <alignment/>
      <protection/>
    </xf>
    <xf numFmtId="4" fontId="40" fillId="0" borderId="0" xfId="52" applyNumberFormat="1" applyFont="1" applyFill="1" applyBorder="1">
      <alignment/>
      <protection/>
    </xf>
    <xf numFmtId="4" fontId="21" fillId="0" borderId="0" xfId="52" applyNumberFormat="1" applyFont="1" applyFill="1" applyBorder="1">
      <alignment/>
      <protection/>
    </xf>
    <xf numFmtId="4" fontId="9" fillId="0" borderId="0" xfId="52" applyNumberFormat="1" applyFont="1" applyFill="1" applyBorder="1">
      <alignment/>
      <protection/>
    </xf>
    <xf numFmtId="164" fontId="9" fillId="0" borderId="0" xfId="52" applyNumberFormat="1" applyFont="1" applyFill="1" applyBorder="1">
      <alignment/>
      <protection/>
    </xf>
    <xf numFmtId="4" fontId="47" fillId="0" borderId="0" xfId="52" applyNumberFormat="1" applyFont="1" applyFill="1" applyBorder="1">
      <alignment/>
      <protection/>
    </xf>
    <xf numFmtId="4" fontId="25" fillId="0" borderId="0" xfId="52" applyNumberFormat="1" applyFont="1" applyFill="1" applyBorder="1">
      <alignment/>
      <protection/>
    </xf>
    <xf numFmtId="4" fontId="39" fillId="0" borderId="0" xfId="52" applyNumberFormat="1" applyFont="1" applyFill="1" applyBorder="1">
      <alignment/>
      <protection/>
    </xf>
    <xf numFmtId="4" fontId="67" fillId="0" borderId="0" xfId="52" applyNumberFormat="1" applyFont="1" applyFill="1" applyBorder="1">
      <alignment/>
      <protection/>
    </xf>
    <xf numFmtId="4" fontId="69" fillId="0" borderId="0" xfId="52" applyNumberFormat="1" applyFont="1" applyFill="1" applyBorder="1">
      <alignment/>
      <protection/>
    </xf>
    <xf numFmtId="4" fontId="29" fillId="0" borderId="0" xfId="52" applyNumberFormat="1" applyFont="1" applyFill="1" applyBorder="1">
      <alignment/>
      <protection/>
    </xf>
    <xf numFmtId="4" fontId="48" fillId="0" borderId="0" xfId="52" applyNumberFormat="1" applyFont="1" applyFill="1" applyBorder="1">
      <alignment/>
      <protection/>
    </xf>
    <xf numFmtId="4" fontId="2" fillId="0" borderId="0" xfId="52" applyNumberFormat="1" applyFont="1" applyFill="1" applyBorder="1">
      <alignment/>
      <protection/>
    </xf>
    <xf numFmtId="4" fontId="20" fillId="0" borderId="0" xfId="52" applyNumberFormat="1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4" fontId="23" fillId="0" borderId="0" xfId="52" applyNumberFormat="1" applyFont="1" applyFill="1" applyBorder="1">
      <alignment/>
      <protection/>
    </xf>
    <xf numFmtId="4" fontId="42" fillId="0" borderId="0" xfId="52" applyNumberFormat="1" applyFont="1" applyFill="1" applyBorder="1">
      <alignment/>
      <protection/>
    </xf>
    <xf numFmtId="4" fontId="49" fillId="0" borderId="0" xfId="52" applyNumberFormat="1" applyFont="1" applyFill="1" applyBorder="1">
      <alignment/>
      <protection/>
    </xf>
    <xf numFmtId="4" fontId="50" fillId="0" borderId="0" xfId="52" applyNumberFormat="1" applyFont="1" applyFill="1" applyBorder="1">
      <alignment/>
      <protection/>
    </xf>
    <xf numFmtId="4" fontId="51" fillId="0" borderId="0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4" fontId="39" fillId="0" borderId="0" xfId="52" applyNumberFormat="1" applyFont="1" applyFill="1" applyBorder="1" applyAlignment="1">
      <alignment vertical="center"/>
      <protection/>
    </xf>
    <xf numFmtId="4" fontId="23" fillId="0" borderId="0" xfId="52" applyNumberFormat="1" applyFont="1" applyFill="1" applyBorder="1" applyAlignment="1">
      <alignment vertical="center"/>
      <protection/>
    </xf>
    <xf numFmtId="4" fontId="24" fillId="0" borderId="0" xfId="52" applyNumberFormat="1" applyFont="1" applyFill="1" applyBorder="1">
      <alignment/>
      <protection/>
    </xf>
    <xf numFmtId="4" fontId="65" fillId="0" borderId="0" xfId="52" applyNumberFormat="1" applyFont="1" applyFill="1" applyBorder="1">
      <alignment/>
      <protection/>
    </xf>
    <xf numFmtId="4" fontId="22" fillId="0" borderId="0" xfId="52" applyNumberFormat="1" applyFont="1" applyFill="1" applyBorder="1" applyAlignment="1">
      <alignment vertical="center"/>
      <protection/>
    </xf>
    <xf numFmtId="4" fontId="40" fillId="0" borderId="0" xfId="52" applyNumberFormat="1" applyFont="1" applyFill="1" applyBorder="1" applyAlignment="1">
      <alignment vertical="center"/>
      <protection/>
    </xf>
    <xf numFmtId="4" fontId="21" fillId="0" borderId="0" xfId="52" applyNumberFormat="1" applyFont="1" applyFill="1" applyBorder="1" applyAlignment="1">
      <alignment vertical="center"/>
      <protection/>
    </xf>
    <xf numFmtId="4" fontId="9" fillId="0" borderId="0" xfId="52" applyNumberFormat="1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4" fontId="46" fillId="0" borderId="0" xfId="52" applyNumberFormat="1" applyFont="1" applyFill="1" applyBorder="1" applyAlignment="1">
      <alignment vertical="center"/>
      <protection/>
    </xf>
    <xf numFmtId="4" fontId="43" fillId="0" borderId="0" xfId="52" applyNumberFormat="1" applyFont="1" applyFill="1" applyBorder="1" applyAlignment="1">
      <alignment vertical="center"/>
      <protection/>
    </xf>
    <xf numFmtId="4" fontId="2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71" fillId="0" borderId="0" xfId="52" applyNumberFormat="1" applyFont="1" applyFill="1" applyBorder="1" applyAlignment="1">
      <alignment vertical="center"/>
      <protection/>
    </xf>
    <xf numFmtId="4" fontId="72" fillId="0" borderId="0" xfId="52" applyNumberFormat="1" applyFont="1" applyFill="1" applyBorder="1" applyAlignment="1">
      <alignment vertical="center"/>
      <protection/>
    </xf>
    <xf numFmtId="4" fontId="73" fillId="0" borderId="0" xfId="52" applyNumberFormat="1" applyFont="1" applyFill="1" applyBorder="1" applyAlignment="1">
      <alignment vertical="center"/>
      <protection/>
    </xf>
    <xf numFmtId="0" fontId="40" fillId="0" borderId="0" xfId="0" applyFont="1" applyFill="1" applyBorder="1" applyAlignment="1">
      <alignment/>
    </xf>
    <xf numFmtId="0" fontId="39" fillId="0" borderId="0" xfId="52" applyFont="1" applyFill="1" applyBorder="1">
      <alignment/>
      <protection/>
    </xf>
    <xf numFmtId="0" fontId="32" fillId="0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ał. nr 3A" xfId="57"/>
    <cellStyle name="Normalny_ZPMK luty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0"/>
  <sheetViews>
    <sheetView tabSelected="1" zoomScale="120" zoomScaleNormal="120" zoomScalePageLayoutView="0" workbookViewId="0" topLeftCell="A1">
      <pane xSplit="18735" topLeftCell="A1" activePane="topLeft" state="split"/>
      <selection pane="topLeft" activeCell="O9" sqref="O9"/>
      <selection pane="topRight" activeCell="A107" sqref="A107"/>
    </sheetView>
  </sheetViews>
  <sheetFormatPr defaultColWidth="9.140625" defaultRowHeight="19.5" customHeight="1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6" width="15.57421875" style="2" customWidth="1"/>
    <col min="7" max="7" width="15.7109375" style="2" customWidth="1"/>
    <col min="8" max="8" width="19.8515625" style="24" customWidth="1"/>
    <col min="9" max="9" width="28.00390625" style="718" customWidth="1"/>
    <col min="10" max="10" width="22.28125" style="719" customWidth="1"/>
    <col min="11" max="12" width="20.8515625" style="718" customWidth="1"/>
    <col min="13" max="13" width="22.421875" style="718" customWidth="1"/>
    <col min="14" max="14" width="24.28125" style="502" customWidth="1"/>
    <col min="15" max="15" width="9.140625" style="502" customWidth="1"/>
    <col min="16" max="21" width="9.140625" style="399" customWidth="1"/>
    <col min="22" max="16384" width="9.140625" style="2" customWidth="1"/>
  </cols>
  <sheetData>
    <row r="1" ht="19.5" customHeight="1">
      <c r="G1" s="182" t="s">
        <v>503</v>
      </c>
    </row>
    <row r="2" spans="1:21" s="50" customFormat="1" ht="19.5" customHeight="1">
      <c r="A2" s="128" t="s">
        <v>53</v>
      </c>
      <c r="B2" s="129"/>
      <c r="C2" s="130"/>
      <c r="D2" s="5"/>
      <c r="E2" s="5"/>
      <c r="F2" s="5"/>
      <c r="G2" s="362"/>
      <c r="H2" s="271" t="s">
        <v>52</v>
      </c>
      <c r="I2" s="720"/>
      <c r="J2" s="721"/>
      <c r="K2" s="722"/>
      <c r="L2" s="720"/>
      <c r="M2" s="720"/>
      <c r="N2" s="720"/>
      <c r="O2" s="723"/>
      <c r="P2" s="124"/>
      <c r="Q2" s="124"/>
      <c r="R2" s="124"/>
      <c r="S2" s="124"/>
      <c r="T2" s="124"/>
      <c r="U2" s="124"/>
    </row>
    <row r="3" spans="1:21" s="50" customFormat="1" ht="19.5" customHeight="1">
      <c r="A3" s="128" t="s">
        <v>140</v>
      </c>
      <c r="B3" s="129"/>
      <c r="C3" s="130"/>
      <c r="D3" s="5"/>
      <c r="E3" s="5"/>
      <c r="F3" s="5"/>
      <c r="G3" s="93"/>
      <c r="H3" s="379"/>
      <c r="I3" s="720"/>
      <c r="J3" s="721"/>
      <c r="K3" s="722"/>
      <c r="L3" s="720"/>
      <c r="M3" s="720"/>
      <c r="N3" s="720"/>
      <c r="O3" s="723"/>
      <c r="P3" s="124"/>
      <c r="Q3" s="124"/>
      <c r="R3" s="124"/>
      <c r="S3" s="124"/>
      <c r="T3" s="124"/>
      <c r="U3" s="124"/>
    </row>
    <row r="4" spans="1:21" s="50" customFormat="1" ht="19.5" customHeight="1">
      <c r="A4" s="128" t="s">
        <v>54</v>
      </c>
      <c r="B4" s="129"/>
      <c r="C4" s="130"/>
      <c r="D4" s="5"/>
      <c r="E4" s="5"/>
      <c r="F4" s="5"/>
      <c r="G4" s="93"/>
      <c r="H4" s="95"/>
      <c r="I4" s="720"/>
      <c r="J4" s="721"/>
      <c r="K4" s="722"/>
      <c r="L4" s="720"/>
      <c r="M4" s="720"/>
      <c r="N4" s="720"/>
      <c r="O4" s="723"/>
      <c r="P4" s="124"/>
      <c r="Q4" s="124"/>
      <c r="R4" s="124"/>
      <c r="S4" s="124"/>
      <c r="T4" s="124"/>
      <c r="U4" s="124"/>
    </row>
    <row r="5" spans="1:21" s="50" customFormat="1" ht="19.5" customHeight="1">
      <c r="A5" s="92"/>
      <c r="B5" s="93"/>
      <c r="C5" s="94"/>
      <c r="D5" s="93"/>
      <c r="E5" s="93"/>
      <c r="F5" s="93"/>
      <c r="G5" s="93"/>
      <c r="H5" s="95"/>
      <c r="I5" s="720"/>
      <c r="J5" s="721"/>
      <c r="K5" s="722"/>
      <c r="L5" s="720"/>
      <c r="M5" s="720"/>
      <c r="N5" s="720"/>
      <c r="O5" s="723"/>
      <c r="P5" s="124"/>
      <c r="Q5" s="124"/>
      <c r="R5" s="124"/>
      <c r="S5" s="124"/>
      <c r="T5" s="124"/>
      <c r="U5" s="124"/>
    </row>
    <row r="6" spans="1:14" ht="19.5" customHeight="1">
      <c r="A6" s="23"/>
      <c r="B6" s="5"/>
      <c r="C6" s="6"/>
      <c r="D6" s="5"/>
      <c r="E6" s="5"/>
      <c r="F6" s="5"/>
      <c r="G6" s="5"/>
      <c r="H6" s="7"/>
      <c r="I6" s="724"/>
      <c r="J6" s="725"/>
      <c r="K6" s="406"/>
      <c r="L6" s="724"/>
      <c r="M6" s="724"/>
      <c r="N6" s="724"/>
    </row>
    <row r="7" spans="1:14" ht="19.5" customHeight="1">
      <c r="A7" s="23" t="s">
        <v>276</v>
      </c>
      <c r="B7" s="5"/>
      <c r="C7" s="6"/>
      <c r="D7" s="5"/>
      <c r="E7" s="5"/>
      <c r="F7" s="5"/>
      <c r="G7" s="5"/>
      <c r="H7" s="7"/>
      <c r="I7" s="724"/>
      <c r="J7" s="725"/>
      <c r="K7" s="406"/>
      <c r="L7" s="724"/>
      <c r="M7" s="724"/>
      <c r="N7" s="724"/>
    </row>
    <row r="8" spans="1:14" ht="19.5" customHeight="1">
      <c r="A8" s="23"/>
      <c r="B8" s="5"/>
      <c r="C8" s="6"/>
      <c r="D8" s="5"/>
      <c r="E8" s="5"/>
      <c r="F8" s="5"/>
      <c r="G8" s="5"/>
      <c r="H8" s="7"/>
      <c r="I8" s="724"/>
      <c r="J8" s="725"/>
      <c r="K8" s="406"/>
      <c r="L8" s="724"/>
      <c r="M8" s="724"/>
      <c r="N8" s="724"/>
    </row>
    <row r="9" spans="1:14" ht="19.5" customHeight="1">
      <c r="A9" s="5"/>
      <c r="B9" s="5"/>
      <c r="C9" s="6"/>
      <c r="D9" s="5"/>
      <c r="E9" s="5"/>
      <c r="F9" s="5"/>
      <c r="G9" s="5"/>
      <c r="H9" s="7"/>
      <c r="I9" s="724"/>
      <c r="J9" s="725"/>
      <c r="K9" s="406"/>
      <c r="L9" s="724"/>
      <c r="M9" s="724"/>
      <c r="N9" s="724"/>
    </row>
    <row r="10" spans="1:14" ht="19.5" customHeight="1">
      <c r="A10" s="131" t="s">
        <v>141</v>
      </c>
      <c r="B10" s="129"/>
      <c r="C10" s="130"/>
      <c r="D10" s="5"/>
      <c r="E10" s="5"/>
      <c r="F10" s="5"/>
      <c r="G10" s="5"/>
      <c r="H10" s="7"/>
      <c r="I10" s="724"/>
      <c r="J10" s="725"/>
      <c r="K10" s="406"/>
      <c r="L10" s="724"/>
      <c r="M10" s="724"/>
      <c r="N10" s="724"/>
    </row>
    <row r="11" spans="1:14" ht="19.5" customHeight="1">
      <c r="A11" s="131" t="s">
        <v>267</v>
      </c>
      <c r="B11" s="129"/>
      <c r="C11" s="130"/>
      <c r="D11" s="5"/>
      <c r="E11" s="5"/>
      <c r="F11" s="5"/>
      <c r="G11" s="5"/>
      <c r="H11" s="7"/>
      <c r="I11" s="724"/>
      <c r="J11" s="725"/>
      <c r="K11" s="406"/>
      <c r="L11" s="724"/>
      <c r="M11" s="724"/>
      <c r="N11" s="724"/>
    </row>
    <row r="12" spans="1:14" ht="19.5" customHeight="1">
      <c r="A12" s="131" t="s">
        <v>268</v>
      </c>
      <c r="B12" s="129"/>
      <c r="C12" s="130"/>
      <c r="D12" s="5"/>
      <c r="E12" s="5"/>
      <c r="F12" s="5"/>
      <c r="G12" s="5"/>
      <c r="H12" s="7"/>
      <c r="I12" s="724"/>
      <c r="J12" s="725"/>
      <c r="K12" s="406"/>
      <c r="L12" s="724"/>
      <c r="M12" s="724"/>
      <c r="N12" s="724"/>
    </row>
    <row r="13" spans="1:14" ht="19.5" customHeight="1">
      <c r="A13" s="131"/>
      <c r="B13" s="129"/>
      <c r="C13" s="130"/>
      <c r="D13" s="5"/>
      <c r="E13" s="5"/>
      <c r="F13" s="5"/>
      <c r="G13" s="5"/>
      <c r="H13" s="7"/>
      <c r="I13" s="724"/>
      <c r="J13" s="725"/>
      <c r="K13" s="406"/>
      <c r="L13" s="724"/>
      <c r="M13" s="724"/>
      <c r="N13" s="724"/>
    </row>
    <row r="14" spans="1:21" s="28" customFormat="1" ht="19.5" customHeight="1">
      <c r="A14" s="8"/>
      <c r="B14" s="8"/>
      <c r="C14" s="31"/>
      <c r="D14" s="8"/>
      <c r="E14" s="31" t="s">
        <v>92</v>
      </c>
      <c r="F14" s="8"/>
      <c r="G14" s="8"/>
      <c r="H14" s="9"/>
      <c r="I14" s="726"/>
      <c r="J14" s="726"/>
      <c r="K14" s="727"/>
      <c r="L14" s="726"/>
      <c r="M14" s="726"/>
      <c r="N14" s="725"/>
      <c r="O14" s="728"/>
      <c r="P14" s="729"/>
      <c r="Q14" s="729"/>
      <c r="R14" s="729"/>
      <c r="S14" s="729"/>
      <c r="T14" s="729"/>
      <c r="U14" s="729"/>
    </row>
    <row r="15" spans="1:21" s="28" customFormat="1" ht="19.5" customHeight="1">
      <c r="A15" s="8"/>
      <c r="B15" s="8"/>
      <c r="C15" s="31"/>
      <c r="D15" s="8"/>
      <c r="E15" s="31"/>
      <c r="F15" s="8"/>
      <c r="G15" s="8"/>
      <c r="H15" s="9"/>
      <c r="I15" s="726"/>
      <c r="J15" s="726"/>
      <c r="K15" s="727"/>
      <c r="L15" s="726"/>
      <c r="M15" s="726"/>
      <c r="N15" s="725"/>
      <c r="O15" s="728"/>
      <c r="P15" s="729"/>
      <c r="Q15" s="729"/>
      <c r="R15" s="729"/>
      <c r="S15" s="729"/>
      <c r="T15" s="729"/>
      <c r="U15" s="729"/>
    </row>
    <row r="16" spans="1:14" ht="19.5" customHeight="1">
      <c r="A16" s="537" t="s">
        <v>200</v>
      </c>
      <c r="E16" s="31"/>
      <c r="F16" s="5"/>
      <c r="G16" s="5"/>
      <c r="H16" s="7"/>
      <c r="I16" s="730"/>
      <c r="J16" s="726"/>
      <c r="K16" s="731"/>
      <c r="L16" s="731"/>
      <c r="M16" s="731"/>
      <c r="N16" s="724"/>
    </row>
    <row r="17" spans="1:14" ht="19.5" customHeight="1">
      <c r="A17" s="133" t="s">
        <v>14</v>
      </c>
      <c r="E17" s="31"/>
      <c r="F17" s="5"/>
      <c r="G17" s="5"/>
      <c r="H17" s="7"/>
      <c r="I17" s="731"/>
      <c r="J17" s="726"/>
      <c r="K17" s="731"/>
      <c r="L17" s="731"/>
      <c r="M17" s="731"/>
      <c r="N17" s="724"/>
    </row>
    <row r="18" spans="1:10" ht="19.5" customHeight="1">
      <c r="A18" s="133" t="s">
        <v>282</v>
      </c>
      <c r="B18" s="8"/>
      <c r="C18" s="134"/>
      <c r="D18" s="8"/>
      <c r="E18" s="31"/>
      <c r="F18" s="8"/>
      <c r="H18" s="1"/>
      <c r="J18" s="732"/>
    </row>
    <row r="19" spans="1:10" ht="19.5" customHeight="1">
      <c r="A19" s="88" t="s">
        <v>84</v>
      </c>
      <c r="B19" s="527"/>
      <c r="C19" s="530"/>
      <c r="D19" s="531"/>
      <c r="E19" s="531"/>
      <c r="F19" s="8"/>
      <c r="H19" s="1"/>
      <c r="J19" s="732"/>
    </row>
    <row r="20" spans="1:10" ht="19.5" customHeight="1">
      <c r="A20" s="88" t="s">
        <v>85</v>
      </c>
      <c r="B20" s="532"/>
      <c r="C20" s="533"/>
      <c r="D20" s="531"/>
      <c r="E20" s="531"/>
      <c r="F20" s="8"/>
      <c r="H20" s="1"/>
      <c r="J20" s="732"/>
    </row>
    <row r="21" spans="1:10" ht="19.5" customHeight="1">
      <c r="A21" s="88" t="s">
        <v>47</v>
      </c>
      <c r="B21" s="527"/>
      <c r="C21" s="530"/>
      <c r="D21" s="531"/>
      <c r="E21" s="531"/>
      <c r="F21" s="8"/>
      <c r="H21" s="1"/>
      <c r="J21" s="732"/>
    </row>
    <row r="22" spans="1:10" ht="19.5" customHeight="1">
      <c r="A22" s="88" t="s">
        <v>67</v>
      </c>
      <c r="B22" s="527"/>
      <c r="C22" s="530"/>
      <c r="D22" s="531"/>
      <c r="E22" s="531"/>
      <c r="F22" s="8"/>
      <c r="H22" s="1"/>
      <c r="J22" s="732"/>
    </row>
    <row r="23" spans="1:10" ht="19.5" customHeight="1">
      <c r="A23" s="516" t="s">
        <v>440</v>
      </c>
      <c r="B23" s="8"/>
      <c r="C23" s="134"/>
      <c r="D23" s="8"/>
      <c r="E23" s="31"/>
      <c r="F23" s="8"/>
      <c r="H23" s="1"/>
      <c r="J23" s="732"/>
    </row>
    <row r="24" spans="1:10" ht="19.5" customHeight="1">
      <c r="A24" s="516" t="s">
        <v>492</v>
      </c>
      <c r="B24" s="8"/>
      <c r="C24" s="134"/>
      <c r="D24" s="8"/>
      <c r="E24" s="31"/>
      <c r="F24" s="8"/>
      <c r="H24" s="1"/>
      <c r="J24" s="732"/>
    </row>
    <row r="25" spans="1:14" ht="19.5" customHeight="1">
      <c r="A25" s="516" t="s">
        <v>493</v>
      </c>
      <c r="I25" s="733"/>
      <c r="N25" s="733"/>
    </row>
    <row r="26" spans="1:14" ht="19.5" customHeight="1">
      <c r="A26" s="516"/>
      <c r="I26" s="733"/>
      <c r="N26" s="733"/>
    </row>
    <row r="27" spans="1:14" ht="19.5" customHeight="1">
      <c r="A27" s="516"/>
      <c r="I27" s="733"/>
      <c r="N27" s="733"/>
    </row>
    <row r="28" spans="1:14" ht="19.5" customHeight="1">
      <c r="A28" s="135" t="s">
        <v>142</v>
      </c>
      <c r="B28" s="132"/>
      <c r="C28" s="132"/>
      <c r="I28" s="734"/>
      <c r="J28" s="732"/>
      <c r="K28" s="733"/>
      <c r="L28" s="735"/>
      <c r="N28" s="736"/>
    </row>
    <row r="29" spans="1:11" ht="19.5" customHeight="1">
      <c r="A29" s="137"/>
      <c r="B29" s="138"/>
      <c r="C29" s="138"/>
      <c r="D29" s="26"/>
      <c r="E29" s="26"/>
      <c r="F29" s="139"/>
      <c r="H29" s="139"/>
      <c r="I29" s="737"/>
      <c r="K29" s="733"/>
    </row>
    <row r="30" spans="1:11" ht="19.5" customHeight="1">
      <c r="A30" s="137" t="s">
        <v>143</v>
      </c>
      <c r="B30" s="138"/>
      <c r="C30" s="138"/>
      <c r="D30" s="26"/>
      <c r="E30" s="26"/>
      <c r="F30" s="139"/>
      <c r="H30" s="139">
        <f>H34+H45</f>
        <v>404876334.87</v>
      </c>
      <c r="I30" s="737"/>
      <c r="K30" s="733"/>
    </row>
    <row r="31" spans="1:11" ht="19.5" customHeight="1">
      <c r="A31" s="137" t="s">
        <v>144</v>
      </c>
      <c r="B31" s="138"/>
      <c r="C31" s="138"/>
      <c r="D31" s="26"/>
      <c r="E31" s="26"/>
      <c r="F31" s="139"/>
      <c r="H31" s="139">
        <f>H35+H46</f>
        <v>404817237.01</v>
      </c>
      <c r="I31" s="738"/>
      <c r="K31" s="733"/>
    </row>
    <row r="32" spans="1:11" ht="19.5" customHeight="1">
      <c r="A32" s="140" t="s">
        <v>145</v>
      </c>
      <c r="B32" s="141"/>
      <c r="C32" s="141"/>
      <c r="D32" s="26"/>
      <c r="E32" s="26"/>
      <c r="F32" s="139"/>
      <c r="H32" s="139"/>
      <c r="I32" s="738"/>
      <c r="K32" s="733"/>
    </row>
    <row r="33" spans="1:11" ht="19.5" customHeight="1">
      <c r="A33" s="140"/>
      <c r="B33" s="141"/>
      <c r="C33" s="141"/>
      <c r="D33" s="26"/>
      <c r="E33" s="26"/>
      <c r="F33" s="139"/>
      <c r="H33" s="139"/>
      <c r="I33" s="738"/>
      <c r="K33" s="733"/>
    </row>
    <row r="34" spans="1:11" ht="19.5" customHeight="1">
      <c r="A34" s="137" t="s">
        <v>193</v>
      </c>
      <c r="B34" s="138"/>
      <c r="C34" s="138"/>
      <c r="D34" s="142"/>
      <c r="E34" s="26"/>
      <c r="F34" s="1"/>
      <c r="H34" s="139">
        <v>290964396.28</v>
      </c>
      <c r="I34" s="738"/>
      <c r="K34" s="733"/>
    </row>
    <row r="35" spans="1:11" ht="19.5" customHeight="1">
      <c r="A35" s="137" t="s">
        <v>144</v>
      </c>
      <c r="B35" s="138"/>
      <c r="C35" s="138"/>
      <c r="D35" s="142"/>
      <c r="E35" s="26"/>
      <c r="F35" s="1"/>
      <c r="H35" s="139">
        <f>H34-D71+F71</f>
        <v>290903946.41999996</v>
      </c>
      <c r="I35" s="738"/>
      <c r="J35" s="739"/>
      <c r="K35" s="733"/>
    </row>
    <row r="36" spans="1:11" ht="19.5" customHeight="1">
      <c r="A36" s="140"/>
      <c r="B36" s="132" t="s">
        <v>146</v>
      </c>
      <c r="C36" s="141"/>
      <c r="D36" s="26"/>
      <c r="E36" s="26"/>
      <c r="F36" s="1"/>
      <c r="H36" s="139"/>
      <c r="I36" s="738"/>
      <c r="J36" s="739"/>
      <c r="K36" s="733"/>
    </row>
    <row r="37" spans="1:11" ht="19.5" customHeight="1">
      <c r="A37" s="143" t="s">
        <v>147</v>
      </c>
      <c r="B37" s="138"/>
      <c r="C37" s="138"/>
      <c r="D37" s="26"/>
      <c r="E37" s="26"/>
      <c r="F37" s="1"/>
      <c r="H37" s="139">
        <v>274883782.66</v>
      </c>
      <c r="I37" s="738"/>
      <c r="K37" s="733"/>
    </row>
    <row r="38" spans="1:11" ht="19.5" customHeight="1">
      <c r="A38" s="143" t="s">
        <v>144</v>
      </c>
      <c r="B38" s="138"/>
      <c r="C38" s="138"/>
      <c r="D38" s="26"/>
      <c r="E38" s="26"/>
      <c r="F38" s="1"/>
      <c r="H38" s="139">
        <f>H37-D71+F71</f>
        <v>274823332.8</v>
      </c>
      <c r="I38" s="738"/>
      <c r="K38" s="733"/>
    </row>
    <row r="39" spans="1:11" ht="19.5" customHeight="1">
      <c r="A39" s="143"/>
      <c r="B39" s="138" t="s">
        <v>90</v>
      </c>
      <c r="C39" s="138"/>
      <c r="D39" s="26"/>
      <c r="E39" s="26"/>
      <c r="F39" s="1"/>
      <c r="H39" s="139"/>
      <c r="I39" s="738"/>
      <c r="K39" s="733"/>
    </row>
    <row r="40" spans="1:11" ht="19.5" customHeight="1">
      <c r="A40" s="143"/>
      <c r="B40" s="260" t="s">
        <v>485</v>
      </c>
      <c r="C40" s="138"/>
      <c r="D40" s="26"/>
      <c r="E40" s="26"/>
      <c r="F40" s="1"/>
      <c r="H40" s="139"/>
      <c r="I40" s="738"/>
      <c r="K40" s="733"/>
    </row>
    <row r="41" spans="1:11" ht="19.5" customHeight="1">
      <c r="A41" s="143"/>
      <c r="B41" s="260" t="s">
        <v>486</v>
      </c>
      <c r="C41" s="141"/>
      <c r="D41" s="26"/>
      <c r="E41" s="26"/>
      <c r="F41" s="1"/>
      <c r="H41" s="1">
        <v>3394012.32</v>
      </c>
      <c r="I41" s="738"/>
      <c r="K41" s="733"/>
    </row>
    <row r="42" spans="1:11" ht="19.5" customHeight="1">
      <c r="A42" s="143"/>
      <c r="B42" s="260" t="s">
        <v>148</v>
      </c>
      <c r="C42" s="144"/>
      <c r="D42" s="260"/>
      <c r="E42" s="26"/>
      <c r="F42" s="1"/>
      <c r="H42" s="1">
        <f>H41+F70</f>
        <v>3398837.11</v>
      </c>
      <c r="I42" s="738"/>
      <c r="K42" s="733"/>
    </row>
    <row r="43" spans="1:11" ht="19.5" customHeight="1">
      <c r="A43" s="143"/>
      <c r="B43" s="138"/>
      <c r="C43" s="138"/>
      <c r="D43" s="26"/>
      <c r="E43" s="26"/>
      <c r="F43" s="1"/>
      <c r="H43" s="139"/>
      <c r="I43" s="738"/>
      <c r="K43" s="733"/>
    </row>
    <row r="44" spans="1:13" ht="19.5" customHeight="1">
      <c r="A44" s="143"/>
      <c r="B44" s="260"/>
      <c r="C44" s="144"/>
      <c r="D44" s="260"/>
      <c r="E44" s="26"/>
      <c r="F44" s="1"/>
      <c r="H44" s="1"/>
      <c r="I44" s="734"/>
      <c r="J44" s="740"/>
      <c r="K44" s="733"/>
      <c r="M44" s="735"/>
    </row>
    <row r="45" spans="1:11" ht="19.5" customHeight="1">
      <c r="A45" s="137" t="s">
        <v>149</v>
      </c>
      <c r="B45" s="138"/>
      <c r="C45" s="138"/>
      <c r="D45" s="142"/>
      <c r="E45" s="150"/>
      <c r="F45" s="198"/>
      <c r="H45" s="139">
        <v>113911938.59</v>
      </c>
      <c r="I45" s="734"/>
      <c r="K45" s="733"/>
    </row>
    <row r="46" spans="1:11" ht="19.5" customHeight="1">
      <c r="A46" s="137" t="s">
        <v>144</v>
      </c>
      <c r="B46" s="138"/>
      <c r="C46" s="138"/>
      <c r="D46" s="142"/>
      <c r="E46" s="150"/>
      <c r="F46" s="198"/>
      <c r="H46" s="139">
        <f>H45-D82+F82</f>
        <v>113913290.59</v>
      </c>
      <c r="I46" s="734"/>
      <c r="K46" s="733"/>
    </row>
    <row r="47" spans="1:11" ht="19.5" customHeight="1">
      <c r="A47" s="140"/>
      <c r="B47" s="132" t="s">
        <v>146</v>
      </c>
      <c r="C47" s="141"/>
      <c r="D47" s="26"/>
      <c r="E47" s="150"/>
      <c r="F47" s="198"/>
      <c r="H47" s="139"/>
      <c r="I47" s="734"/>
      <c r="K47" s="733"/>
    </row>
    <row r="48" spans="1:11" ht="19.5" customHeight="1">
      <c r="A48" s="143" t="s">
        <v>147</v>
      </c>
      <c r="B48" s="138"/>
      <c r="C48" s="138"/>
      <c r="D48" s="26"/>
      <c r="E48" s="150"/>
      <c r="F48" s="198"/>
      <c r="H48" s="139">
        <v>113496938.59</v>
      </c>
      <c r="I48" s="734"/>
      <c r="K48" s="733"/>
    </row>
    <row r="49" spans="1:11" ht="19.5" customHeight="1">
      <c r="A49" s="143" t="s">
        <v>144</v>
      </c>
      <c r="B49" s="138"/>
      <c r="C49" s="138"/>
      <c r="D49" s="26"/>
      <c r="E49" s="150"/>
      <c r="F49" s="198"/>
      <c r="H49" s="139">
        <f>H48+F82</f>
        <v>113498290.59</v>
      </c>
      <c r="I49" s="734"/>
      <c r="J49" s="741"/>
      <c r="K49" s="733"/>
    </row>
    <row r="50" spans="1:11" ht="19.5" customHeight="1">
      <c r="A50" s="143"/>
      <c r="B50" s="144"/>
      <c r="C50" s="138"/>
      <c r="D50" s="26"/>
      <c r="E50" s="26"/>
      <c r="F50" s="1"/>
      <c r="H50" s="1"/>
      <c r="I50" s="734"/>
      <c r="K50" s="733"/>
    </row>
    <row r="51" spans="1:11" ht="19.5" customHeight="1">
      <c r="A51" s="143"/>
      <c r="B51" s="144"/>
      <c r="C51" s="138"/>
      <c r="D51" s="26"/>
      <c r="E51" s="26"/>
      <c r="F51" s="1"/>
      <c r="H51" s="1"/>
      <c r="I51" s="734"/>
      <c r="K51" s="733"/>
    </row>
    <row r="52" spans="1:11" ht="19.5" customHeight="1">
      <c r="A52" s="147" t="s">
        <v>177</v>
      </c>
      <c r="B52" s="148"/>
      <c r="C52" s="149"/>
      <c r="D52" s="150"/>
      <c r="E52" s="150"/>
      <c r="F52" s="151"/>
      <c r="G52" s="151"/>
      <c r="H52" s="152"/>
      <c r="I52" s="734"/>
      <c r="K52" s="733"/>
    </row>
    <row r="53" spans="1:11" ht="19.5" customHeight="1">
      <c r="A53" s="147"/>
      <c r="B53" s="148"/>
      <c r="C53" s="149"/>
      <c r="D53" s="150"/>
      <c r="E53" s="150"/>
      <c r="F53" s="151"/>
      <c r="G53" s="151"/>
      <c r="H53" s="152"/>
      <c r="I53" s="734"/>
      <c r="K53" s="733"/>
    </row>
    <row r="54" spans="1:11" ht="19.5" customHeight="1">
      <c r="A54" s="156" t="s">
        <v>176</v>
      </c>
      <c r="B54" s="157"/>
      <c r="C54" s="158"/>
      <c r="D54" s="146"/>
      <c r="E54" s="146"/>
      <c r="F54" s="155"/>
      <c r="G54" s="155"/>
      <c r="I54" s="734"/>
      <c r="K54" s="733"/>
    </row>
    <row r="55" spans="1:11" ht="19.5" customHeight="1">
      <c r="A55" s="153"/>
      <c r="B55" s="153"/>
      <c r="C55" s="153"/>
      <c r="D55" s="146"/>
      <c r="E55" s="146"/>
      <c r="F55" s="155"/>
      <c r="G55" s="155"/>
      <c r="I55" s="734"/>
      <c r="K55" s="733"/>
    </row>
    <row r="56" spans="1:11" ht="19.5" customHeight="1">
      <c r="A56" s="159"/>
      <c r="B56" s="159"/>
      <c r="C56" s="160"/>
      <c r="D56" s="10" t="s">
        <v>150</v>
      </c>
      <c r="E56" s="11"/>
      <c r="F56" s="10" t="s">
        <v>151</v>
      </c>
      <c r="G56" s="11"/>
      <c r="I56" s="734"/>
      <c r="K56" s="733"/>
    </row>
    <row r="57" spans="1:11" ht="19.5" customHeight="1">
      <c r="A57" s="161"/>
      <c r="B57" s="161"/>
      <c r="C57" s="162"/>
      <c r="D57" s="12" t="s">
        <v>91</v>
      </c>
      <c r="E57" s="11" t="s">
        <v>90</v>
      </c>
      <c r="F57" s="12" t="s">
        <v>91</v>
      </c>
      <c r="G57" s="11" t="s">
        <v>90</v>
      </c>
      <c r="I57" s="734"/>
      <c r="K57" s="733"/>
    </row>
    <row r="58" spans="1:11" ht="19.5" customHeight="1">
      <c r="A58" s="163" t="s">
        <v>93</v>
      </c>
      <c r="B58" s="163" t="s">
        <v>99</v>
      </c>
      <c r="C58" s="163" t="s">
        <v>94</v>
      </c>
      <c r="D58" s="13" t="s">
        <v>95</v>
      </c>
      <c r="E58" s="14" t="s">
        <v>96</v>
      </c>
      <c r="F58" s="13" t="s">
        <v>95</v>
      </c>
      <c r="G58" s="14" t="s">
        <v>96</v>
      </c>
      <c r="I58" s="734"/>
      <c r="K58" s="733"/>
    </row>
    <row r="59" spans="1:21" s="176" customFormat="1" ht="19.5" customHeight="1">
      <c r="A59" s="164" t="s">
        <v>454</v>
      </c>
      <c r="B59" s="167" t="s">
        <v>455</v>
      </c>
      <c r="C59" s="167" t="s">
        <v>456</v>
      </c>
      <c r="D59" s="677"/>
      <c r="E59" s="165"/>
      <c r="F59" s="165">
        <v>43050</v>
      </c>
      <c r="G59" s="181"/>
      <c r="H59" s="182"/>
      <c r="I59" s="734"/>
      <c r="J59" s="741"/>
      <c r="K59" s="733"/>
      <c r="L59" s="742"/>
      <c r="M59" s="742"/>
      <c r="N59" s="736"/>
      <c r="O59" s="736"/>
      <c r="P59" s="743"/>
      <c r="Q59" s="743"/>
      <c r="R59" s="743"/>
      <c r="S59" s="743"/>
      <c r="T59" s="743"/>
      <c r="U59" s="743"/>
    </row>
    <row r="60" spans="1:21" s="176" customFormat="1" ht="19.5" customHeight="1">
      <c r="A60" s="166" t="s">
        <v>194</v>
      </c>
      <c r="B60" s="206" t="s">
        <v>38</v>
      </c>
      <c r="C60" s="167"/>
      <c r="D60" s="165">
        <f>SUM(D61:D63)</f>
        <v>700000</v>
      </c>
      <c r="E60" s="165"/>
      <c r="F60" s="165">
        <f>SUM(F61:F63)</f>
        <v>480950.35</v>
      </c>
      <c r="G60" s="181"/>
      <c r="H60" s="182"/>
      <c r="I60" s="734"/>
      <c r="J60" s="741"/>
      <c r="K60" s="733"/>
      <c r="L60" s="742"/>
      <c r="M60" s="742"/>
      <c r="N60" s="736"/>
      <c r="O60" s="736"/>
      <c r="P60" s="743"/>
      <c r="Q60" s="743"/>
      <c r="R60" s="743"/>
      <c r="S60" s="743"/>
      <c r="T60" s="743"/>
      <c r="U60" s="743"/>
    </row>
    <row r="61" spans="1:11" ht="19.5" customHeight="1">
      <c r="A61" s="518"/>
      <c r="B61" s="168"/>
      <c r="C61" s="170" t="s">
        <v>24</v>
      </c>
      <c r="D61" s="171">
        <v>700000</v>
      </c>
      <c r="E61" s="171"/>
      <c r="F61" s="171"/>
      <c r="G61" s="183"/>
      <c r="I61" s="744"/>
      <c r="K61" s="745"/>
    </row>
    <row r="62" spans="1:11" ht="19.5" customHeight="1">
      <c r="A62" s="172"/>
      <c r="B62" s="173"/>
      <c r="C62" s="170" t="s">
        <v>57</v>
      </c>
      <c r="D62" s="171"/>
      <c r="E62" s="171"/>
      <c r="F62" s="171">
        <f>120000+150000+145853+10000</f>
        <v>425853</v>
      </c>
      <c r="G62" s="183"/>
      <c r="I62" s="744"/>
      <c r="K62" s="745"/>
    </row>
    <row r="63" spans="1:11" ht="19.5" customHeight="1">
      <c r="A63" s="357"/>
      <c r="B63" s="184"/>
      <c r="C63" s="170" t="s">
        <v>453</v>
      </c>
      <c r="D63" s="171"/>
      <c r="E63" s="171"/>
      <c r="F63" s="171">
        <v>55097.35</v>
      </c>
      <c r="G63" s="183"/>
      <c r="I63" s="744"/>
      <c r="K63" s="745"/>
    </row>
    <row r="64" spans="1:21" s="176" customFormat="1" ht="19.5" customHeight="1">
      <c r="A64" s="388" t="s">
        <v>191</v>
      </c>
      <c r="B64" s="180"/>
      <c r="C64" s="167"/>
      <c r="D64" s="165"/>
      <c r="E64" s="165"/>
      <c r="F64" s="165">
        <f>F65+F66</f>
        <v>20725</v>
      </c>
      <c r="G64" s="181"/>
      <c r="H64" s="182"/>
      <c r="I64" s="734"/>
      <c r="J64" s="741"/>
      <c r="K64" s="733"/>
      <c r="L64" s="742"/>
      <c r="M64" s="742"/>
      <c r="N64" s="736"/>
      <c r="O64" s="736"/>
      <c r="P64" s="743"/>
      <c r="Q64" s="743"/>
      <c r="R64" s="743"/>
      <c r="S64" s="743"/>
      <c r="T64" s="743"/>
      <c r="U64" s="743"/>
    </row>
    <row r="65" spans="1:11" ht="19.5" customHeight="1">
      <c r="A65" s="168"/>
      <c r="B65" s="175" t="s">
        <v>25</v>
      </c>
      <c r="C65" s="170" t="s">
        <v>24</v>
      </c>
      <c r="D65" s="171"/>
      <c r="E65" s="171"/>
      <c r="F65" s="171">
        <v>11800</v>
      </c>
      <c r="G65" s="183"/>
      <c r="I65" s="744"/>
      <c r="K65" s="745"/>
    </row>
    <row r="66" spans="1:11" ht="19.5" customHeight="1">
      <c r="A66" s="173"/>
      <c r="B66" s="170" t="s">
        <v>30</v>
      </c>
      <c r="C66" s="276"/>
      <c r="D66" s="171"/>
      <c r="E66" s="171"/>
      <c r="F66" s="171">
        <f>SUM(F67:F68)</f>
        <v>8925</v>
      </c>
      <c r="G66" s="183"/>
      <c r="I66" s="744"/>
      <c r="K66" s="745"/>
    </row>
    <row r="67" spans="1:11" ht="17.25" customHeight="1">
      <c r="A67" s="173"/>
      <c r="B67" s="174"/>
      <c r="C67" s="174" t="s">
        <v>37</v>
      </c>
      <c r="D67" s="171"/>
      <c r="E67" s="171"/>
      <c r="F67" s="171">
        <v>6275</v>
      </c>
      <c r="G67" s="183"/>
      <c r="I67" s="744"/>
      <c r="K67" s="745"/>
    </row>
    <row r="68" spans="1:11" ht="16.5" customHeight="1">
      <c r="A68" s="173"/>
      <c r="B68" s="174"/>
      <c r="C68" s="276" t="s">
        <v>24</v>
      </c>
      <c r="D68" s="171"/>
      <c r="E68" s="171"/>
      <c r="F68" s="171">
        <v>2650</v>
      </c>
      <c r="G68" s="183"/>
      <c r="I68" s="744"/>
      <c r="K68" s="745"/>
    </row>
    <row r="69" spans="1:21" s="176" customFormat="1" ht="19.5" customHeight="1">
      <c r="A69" s="164" t="s">
        <v>459</v>
      </c>
      <c r="B69" s="167" t="s">
        <v>460</v>
      </c>
      <c r="C69" s="167" t="s">
        <v>461</v>
      </c>
      <c r="D69" s="165"/>
      <c r="E69" s="165"/>
      <c r="F69" s="165">
        <v>90000</v>
      </c>
      <c r="G69" s="181"/>
      <c r="H69" s="182"/>
      <c r="I69" s="734"/>
      <c r="J69" s="741"/>
      <c r="K69" s="733"/>
      <c r="L69" s="742"/>
      <c r="M69" s="742"/>
      <c r="N69" s="736"/>
      <c r="O69" s="736"/>
      <c r="P69" s="743"/>
      <c r="Q69" s="743"/>
      <c r="R69" s="743"/>
      <c r="S69" s="743"/>
      <c r="T69" s="743"/>
      <c r="U69" s="743"/>
    </row>
    <row r="70" spans="1:21" s="176" customFormat="1" ht="19.5" customHeight="1">
      <c r="A70" s="180" t="s">
        <v>19</v>
      </c>
      <c r="B70" s="167" t="s">
        <v>20</v>
      </c>
      <c r="C70" s="167" t="s">
        <v>23</v>
      </c>
      <c r="D70" s="165"/>
      <c r="E70" s="165"/>
      <c r="F70" s="165">
        <v>4824.79</v>
      </c>
      <c r="G70" s="181"/>
      <c r="H70" s="182"/>
      <c r="I70" s="734"/>
      <c r="J70" s="741"/>
      <c r="K70" s="733"/>
      <c r="L70" s="742"/>
      <c r="M70" s="742"/>
      <c r="N70" s="736"/>
      <c r="O70" s="736"/>
      <c r="P70" s="743"/>
      <c r="Q70" s="743"/>
      <c r="R70" s="743"/>
      <c r="S70" s="743"/>
      <c r="T70" s="743"/>
      <c r="U70" s="743"/>
    </row>
    <row r="71" spans="1:21" s="34" customFormat="1" ht="19.5" customHeight="1">
      <c r="A71" s="356" t="s">
        <v>100</v>
      </c>
      <c r="B71" s="358"/>
      <c r="C71" s="167"/>
      <c r="D71" s="185">
        <f>D59+D60+D64+D69+D70</f>
        <v>700000</v>
      </c>
      <c r="E71" s="185">
        <f>E59+E60+E64+E69+E70</f>
        <v>0</v>
      </c>
      <c r="F71" s="185">
        <f>F59+F60+F64+F69+F70</f>
        <v>639550.14</v>
      </c>
      <c r="G71" s="185">
        <f>G59+G60+G64+G69+G70</f>
        <v>0</v>
      </c>
      <c r="H71" s="179"/>
      <c r="I71" s="746"/>
      <c r="J71" s="747"/>
      <c r="K71" s="747"/>
      <c r="L71" s="748"/>
      <c r="M71" s="748"/>
      <c r="N71" s="749"/>
      <c r="O71" s="749"/>
      <c r="P71" s="750"/>
      <c r="Q71" s="750"/>
      <c r="R71" s="750"/>
      <c r="S71" s="750"/>
      <c r="T71" s="750"/>
      <c r="U71" s="750"/>
    </row>
    <row r="72" spans="1:21" s="34" customFormat="1" ht="19.5" customHeight="1">
      <c r="A72" s="177"/>
      <c r="B72" s="178"/>
      <c r="C72" s="178"/>
      <c r="D72" s="179"/>
      <c r="E72" s="179"/>
      <c r="F72" s="179"/>
      <c r="G72" s="179"/>
      <c r="H72" s="179"/>
      <c r="I72" s="746"/>
      <c r="J72" s="747"/>
      <c r="K72" s="747"/>
      <c r="L72" s="748"/>
      <c r="M72" s="748"/>
      <c r="N72" s="749"/>
      <c r="O72" s="749"/>
      <c r="P72" s="750"/>
      <c r="Q72" s="750"/>
      <c r="R72" s="750"/>
      <c r="S72" s="750"/>
      <c r="T72" s="750"/>
      <c r="U72" s="750"/>
    </row>
    <row r="73" spans="1:21" s="34" customFormat="1" ht="19.5" customHeight="1">
      <c r="A73" s="177"/>
      <c r="B73" s="178"/>
      <c r="C73" s="178"/>
      <c r="D73" s="179"/>
      <c r="E73" s="179"/>
      <c r="F73" s="179"/>
      <c r="G73" s="179"/>
      <c r="H73" s="179"/>
      <c r="I73" s="746"/>
      <c r="J73" s="747"/>
      <c r="K73" s="747"/>
      <c r="L73" s="748"/>
      <c r="M73" s="748"/>
      <c r="N73" s="749"/>
      <c r="O73" s="749"/>
      <c r="P73" s="750"/>
      <c r="Q73" s="750"/>
      <c r="R73" s="750"/>
      <c r="S73" s="750"/>
      <c r="T73" s="750"/>
      <c r="U73" s="750"/>
    </row>
    <row r="74" spans="1:11" ht="19.5" customHeight="1">
      <c r="A74" s="147" t="s">
        <v>152</v>
      </c>
      <c r="B74" s="148"/>
      <c r="C74" s="149"/>
      <c r="D74" s="150"/>
      <c r="E74" s="150"/>
      <c r="F74" s="151"/>
      <c r="G74" s="151"/>
      <c r="H74" s="152"/>
      <c r="I74" s="734"/>
      <c r="K74" s="733"/>
    </row>
    <row r="75" spans="1:11" ht="19.5" customHeight="1">
      <c r="A75" s="147"/>
      <c r="B75" s="148"/>
      <c r="C75" s="149"/>
      <c r="D75" s="150"/>
      <c r="E75" s="150"/>
      <c r="F75" s="151"/>
      <c r="G75" s="151"/>
      <c r="H75" s="152"/>
      <c r="I75" s="734"/>
      <c r="K75" s="733"/>
    </row>
    <row r="76" spans="1:11" ht="19.5" customHeight="1">
      <c r="A76" s="156" t="s">
        <v>178</v>
      </c>
      <c r="B76" s="157"/>
      <c r="C76" s="158"/>
      <c r="D76" s="146"/>
      <c r="E76" s="146"/>
      <c r="F76" s="155"/>
      <c r="G76" s="155"/>
      <c r="I76" s="734"/>
      <c r="K76" s="733"/>
    </row>
    <row r="77" spans="1:11" ht="19.5" customHeight="1">
      <c r="A77" s="153"/>
      <c r="B77" s="153"/>
      <c r="C77" s="153"/>
      <c r="D77" s="146"/>
      <c r="E77" s="146"/>
      <c r="F77" s="155"/>
      <c r="G77" s="155"/>
      <c r="I77" s="734"/>
      <c r="K77" s="733"/>
    </row>
    <row r="78" spans="1:11" ht="19.5" customHeight="1">
      <c r="A78" s="159"/>
      <c r="B78" s="159"/>
      <c r="C78" s="160"/>
      <c r="D78" s="10" t="s">
        <v>150</v>
      </c>
      <c r="E78" s="11"/>
      <c r="F78" s="10" t="s">
        <v>151</v>
      </c>
      <c r="G78" s="11"/>
      <c r="I78" s="734"/>
      <c r="K78" s="733"/>
    </row>
    <row r="79" spans="1:11" ht="19.5" customHeight="1">
      <c r="A79" s="161"/>
      <c r="B79" s="161"/>
      <c r="C79" s="162"/>
      <c r="D79" s="12" t="s">
        <v>91</v>
      </c>
      <c r="E79" s="11" t="s">
        <v>90</v>
      </c>
      <c r="F79" s="12" t="s">
        <v>91</v>
      </c>
      <c r="G79" s="11" t="s">
        <v>90</v>
      </c>
      <c r="I79" s="734"/>
      <c r="K79" s="733"/>
    </row>
    <row r="80" spans="1:11" ht="19.5" customHeight="1">
      <c r="A80" s="163" t="s">
        <v>93</v>
      </c>
      <c r="B80" s="163" t="s">
        <v>99</v>
      </c>
      <c r="C80" s="163" t="s">
        <v>94</v>
      </c>
      <c r="D80" s="13" t="s">
        <v>95</v>
      </c>
      <c r="E80" s="14" t="s">
        <v>96</v>
      </c>
      <c r="F80" s="13" t="s">
        <v>95</v>
      </c>
      <c r="G80" s="14" t="s">
        <v>96</v>
      </c>
      <c r="I80" s="734"/>
      <c r="K80" s="733"/>
    </row>
    <row r="81" spans="1:21" s="176" customFormat="1" ht="19.5" customHeight="1">
      <c r="A81" s="166" t="s">
        <v>191</v>
      </c>
      <c r="B81" s="166" t="s">
        <v>3</v>
      </c>
      <c r="C81" s="164" t="s">
        <v>4</v>
      </c>
      <c r="D81" s="181"/>
      <c r="E81" s="181"/>
      <c r="F81" s="181">
        <v>1352</v>
      </c>
      <c r="G81" s="181"/>
      <c r="H81" s="182"/>
      <c r="I81" s="734"/>
      <c r="J81" s="741"/>
      <c r="K81" s="733"/>
      <c r="L81" s="742"/>
      <c r="M81" s="742"/>
      <c r="N81" s="736"/>
      <c r="O81" s="736"/>
      <c r="P81" s="743"/>
      <c r="Q81" s="743"/>
      <c r="R81" s="743"/>
      <c r="S81" s="743"/>
      <c r="T81" s="743"/>
      <c r="U81" s="743"/>
    </row>
    <row r="82" spans="1:21" s="34" customFormat="1" ht="19.5" customHeight="1">
      <c r="A82" s="272" t="s">
        <v>100</v>
      </c>
      <c r="B82" s="273"/>
      <c r="C82" s="167"/>
      <c r="D82" s="185">
        <f>D81</f>
        <v>0</v>
      </c>
      <c r="E82" s="185">
        <f>E81</f>
        <v>0</v>
      </c>
      <c r="F82" s="185">
        <f>F81</f>
        <v>1352</v>
      </c>
      <c r="G82" s="185">
        <f>G81</f>
        <v>0</v>
      </c>
      <c r="H82" s="179"/>
      <c r="I82" s="746"/>
      <c r="J82" s="747"/>
      <c r="K82" s="747"/>
      <c r="L82" s="748"/>
      <c r="M82" s="748"/>
      <c r="N82" s="749"/>
      <c r="O82" s="749"/>
      <c r="P82" s="750"/>
      <c r="Q82" s="750"/>
      <c r="R82" s="750"/>
      <c r="S82" s="750"/>
      <c r="T82" s="750"/>
      <c r="U82" s="750"/>
    </row>
    <row r="83" spans="1:21" s="34" customFormat="1" ht="19.5" customHeight="1">
      <c r="A83" s="177"/>
      <c r="B83" s="178"/>
      <c r="C83" s="178"/>
      <c r="D83" s="179"/>
      <c r="E83" s="179"/>
      <c r="F83" s="179"/>
      <c r="G83" s="179"/>
      <c r="H83" s="179"/>
      <c r="I83" s="746"/>
      <c r="J83" s="747"/>
      <c r="K83" s="747"/>
      <c r="L83" s="748"/>
      <c r="M83" s="748"/>
      <c r="N83" s="749"/>
      <c r="O83" s="749"/>
      <c r="P83" s="750"/>
      <c r="Q83" s="750"/>
      <c r="R83" s="750"/>
      <c r="S83" s="750"/>
      <c r="T83" s="750"/>
      <c r="U83" s="750"/>
    </row>
    <row r="84" spans="1:21" s="34" customFormat="1" ht="19.5" customHeight="1">
      <c r="A84" s="177"/>
      <c r="B84" s="178"/>
      <c r="C84" s="178"/>
      <c r="D84" s="179"/>
      <c r="E84" s="179"/>
      <c r="F84" s="179"/>
      <c r="G84" s="179"/>
      <c r="H84" s="179"/>
      <c r="I84" s="746"/>
      <c r="J84" s="747"/>
      <c r="K84" s="747"/>
      <c r="L84" s="748"/>
      <c r="M84" s="748"/>
      <c r="N84" s="749"/>
      <c r="O84" s="749"/>
      <c r="P84" s="750"/>
      <c r="Q84" s="750"/>
      <c r="R84" s="750"/>
      <c r="S84" s="750"/>
      <c r="T84" s="750"/>
      <c r="U84" s="750"/>
    </row>
    <row r="85" spans="1:21" s="34" customFormat="1" ht="19.5" customHeight="1">
      <c r="A85" s="28" t="s">
        <v>471</v>
      </c>
      <c r="B85" s="28"/>
      <c r="C85" s="132"/>
      <c r="D85" s="2"/>
      <c r="E85" s="2"/>
      <c r="F85" s="2"/>
      <c r="G85" s="699"/>
      <c r="H85" s="20"/>
      <c r="I85" s="746"/>
      <c r="J85" s="747"/>
      <c r="K85" s="747"/>
      <c r="L85" s="748"/>
      <c r="M85" s="748"/>
      <c r="N85" s="749"/>
      <c r="O85" s="749"/>
      <c r="P85" s="750"/>
      <c r="Q85" s="750"/>
      <c r="R85" s="750"/>
      <c r="S85" s="750"/>
      <c r="T85" s="750"/>
      <c r="U85" s="750"/>
    </row>
    <row r="86" spans="1:21" s="34" customFormat="1" ht="19.5" customHeight="1">
      <c r="A86" s="707" t="s">
        <v>472</v>
      </c>
      <c r="B86" s="28"/>
      <c r="C86" s="132"/>
      <c r="D86" s="2"/>
      <c r="E86" s="2"/>
      <c r="F86" s="2"/>
      <c r="G86" s="699"/>
      <c r="H86" s="20"/>
      <c r="I86" s="746"/>
      <c r="J86" s="747"/>
      <c r="K86" s="747"/>
      <c r="L86" s="748"/>
      <c r="M86" s="748"/>
      <c r="N86" s="749"/>
      <c r="O86" s="749"/>
      <c r="P86" s="750"/>
      <c r="Q86" s="750"/>
      <c r="R86" s="750"/>
      <c r="S86" s="750"/>
      <c r="T86" s="750"/>
      <c r="U86" s="750"/>
    </row>
    <row r="87" spans="1:21" s="34" customFormat="1" ht="19.5" customHeight="1">
      <c r="A87" s="707" t="s">
        <v>473</v>
      </c>
      <c r="B87" s="28"/>
      <c r="C87" s="132"/>
      <c r="D87" s="2"/>
      <c r="E87" s="2"/>
      <c r="F87" s="2"/>
      <c r="G87" s="699"/>
      <c r="H87" s="20"/>
      <c r="I87" s="746"/>
      <c r="J87" s="747"/>
      <c r="K87" s="747"/>
      <c r="L87" s="748"/>
      <c r="M87" s="748"/>
      <c r="N87" s="749"/>
      <c r="O87" s="749"/>
      <c r="P87" s="750"/>
      <c r="Q87" s="750"/>
      <c r="R87" s="750"/>
      <c r="S87" s="750"/>
      <c r="T87" s="750"/>
      <c r="U87" s="750"/>
    </row>
    <row r="88" spans="1:21" s="34" customFormat="1" ht="19.5" customHeight="1">
      <c r="A88" s="700"/>
      <c r="B88" s="697"/>
      <c r="C88" s="698"/>
      <c r="D88" s="701"/>
      <c r="E88" s="701"/>
      <c r="F88" s="701"/>
      <c r="G88" s="701"/>
      <c r="H88" s="20"/>
      <c r="I88" s="746"/>
      <c r="J88" s="747"/>
      <c r="K88" s="747"/>
      <c r="L88" s="748"/>
      <c r="M88" s="748"/>
      <c r="N88" s="749"/>
      <c r="O88" s="749"/>
      <c r="P88" s="750"/>
      <c r="Q88" s="750"/>
      <c r="R88" s="750"/>
      <c r="S88" s="750"/>
      <c r="T88" s="750"/>
      <c r="U88" s="750"/>
    </row>
    <row r="89" spans="1:21" s="34" customFormat="1" ht="19.5" customHeight="1">
      <c r="A89" s="700"/>
      <c r="B89" s="697"/>
      <c r="C89" s="698"/>
      <c r="D89" s="701"/>
      <c r="E89" s="701"/>
      <c r="F89" s="701"/>
      <c r="G89" s="701"/>
      <c r="H89" s="20"/>
      <c r="I89" s="746"/>
      <c r="J89" s="747"/>
      <c r="K89" s="747"/>
      <c r="L89" s="748"/>
      <c r="M89" s="748"/>
      <c r="N89" s="749"/>
      <c r="O89" s="749"/>
      <c r="P89" s="750"/>
      <c r="Q89" s="750"/>
      <c r="R89" s="750"/>
      <c r="S89" s="750"/>
      <c r="T89" s="750"/>
      <c r="U89" s="750"/>
    </row>
    <row r="90" spans="1:21" s="34" customFormat="1" ht="19.5" customHeight="1">
      <c r="A90" s="702" t="s">
        <v>467</v>
      </c>
      <c r="B90" s="703"/>
      <c r="C90" s="704"/>
      <c r="D90" s="705"/>
      <c r="E90" s="705"/>
      <c r="F90" s="706"/>
      <c r="G90" s="706"/>
      <c r="H90" s="20"/>
      <c r="I90" s="746"/>
      <c r="J90" s="747"/>
      <c r="K90" s="747"/>
      <c r="L90" s="748"/>
      <c r="M90" s="748"/>
      <c r="N90" s="749"/>
      <c r="O90" s="749"/>
      <c r="P90" s="750"/>
      <c r="Q90" s="750"/>
      <c r="R90" s="750"/>
      <c r="S90" s="750"/>
      <c r="T90" s="750"/>
      <c r="U90" s="750"/>
    </row>
    <row r="91" spans="1:21" s="34" customFormat="1" ht="19.5" customHeight="1">
      <c r="A91" s="702"/>
      <c r="B91" s="703"/>
      <c r="C91" s="704"/>
      <c r="D91" s="705"/>
      <c r="E91" s="705"/>
      <c r="F91" s="706"/>
      <c r="G91" s="706"/>
      <c r="H91" s="20"/>
      <c r="I91" s="746"/>
      <c r="J91" s="747"/>
      <c r="K91" s="747"/>
      <c r="L91" s="748"/>
      <c r="M91" s="748"/>
      <c r="N91" s="749"/>
      <c r="O91" s="749"/>
      <c r="P91" s="750"/>
      <c r="Q91" s="750"/>
      <c r="R91" s="750"/>
      <c r="S91" s="750"/>
      <c r="T91" s="750"/>
      <c r="U91" s="750"/>
    </row>
    <row r="92" spans="1:21" s="34" customFormat="1" ht="19.5" customHeight="1">
      <c r="A92" s="696" t="s">
        <v>468</v>
      </c>
      <c r="B92" s="697"/>
      <c r="C92" s="698"/>
      <c r="D92" s="699"/>
      <c r="E92" s="699"/>
      <c r="F92" s="699"/>
      <c r="G92" s="700">
        <f>G94</f>
        <v>90000</v>
      </c>
      <c r="H92" s="20"/>
      <c r="I92" s="746"/>
      <c r="J92" s="747"/>
      <c r="K92" s="747"/>
      <c r="L92" s="748"/>
      <c r="M92" s="748"/>
      <c r="N92" s="749"/>
      <c r="O92" s="749"/>
      <c r="P92" s="750"/>
      <c r="Q92" s="750"/>
      <c r="R92" s="750"/>
      <c r="S92" s="750"/>
      <c r="T92" s="750"/>
      <c r="U92" s="750"/>
    </row>
    <row r="93" spans="1:21" s="34" customFormat="1" ht="19.5" customHeight="1">
      <c r="A93" s="696" t="s">
        <v>90</v>
      </c>
      <c r="B93" s="697"/>
      <c r="C93" s="698"/>
      <c r="D93" s="699"/>
      <c r="E93" s="699"/>
      <c r="F93" s="699"/>
      <c r="G93" s="699"/>
      <c r="H93" s="20"/>
      <c r="I93" s="746"/>
      <c r="J93" s="747"/>
      <c r="K93" s="747"/>
      <c r="L93" s="748"/>
      <c r="M93" s="748"/>
      <c r="N93" s="749"/>
      <c r="O93" s="749"/>
      <c r="P93" s="750"/>
      <c r="Q93" s="750"/>
      <c r="R93" s="750"/>
      <c r="S93" s="750"/>
      <c r="T93" s="750"/>
      <c r="U93" s="750"/>
    </row>
    <row r="94" spans="1:21" s="34" customFormat="1" ht="19.5" customHeight="1">
      <c r="A94" s="696" t="s">
        <v>469</v>
      </c>
      <c r="B94" s="697"/>
      <c r="C94" s="698"/>
      <c r="D94" s="699"/>
      <c r="E94" s="699"/>
      <c r="F94" s="699"/>
      <c r="G94" s="696">
        <v>90000</v>
      </c>
      <c r="H94" s="20"/>
      <c r="I94" s="746"/>
      <c r="J94" s="747"/>
      <c r="K94" s="747"/>
      <c r="L94" s="748"/>
      <c r="M94" s="748"/>
      <c r="N94" s="749"/>
      <c r="O94" s="749"/>
      <c r="P94" s="750"/>
      <c r="Q94" s="750"/>
      <c r="R94" s="750"/>
      <c r="S94" s="750"/>
      <c r="T94" s="750"/>
      <c r="U94" s="750"/>
    </row>
    <row r="95" spans="1:21" s="34" customFormat="1" ht="19.5" customHeight="1">
      <c r="A95" s="696"/>
      <c r="B95" s="697"/>
      <c r="C95" s="698"/>
      <c r="D95" s="699"/>
      <c r="E95" s="699"/>
      <c r="F95" s="699"/>
      <c r="G95" s="699"/>
      <c r="H95" s="20"/>
      <c r="I95" s="746"/>
      <c r="J95" s="747"/>
      <c r="K95" s="747"/>
      <c r="L95" s="748"/>
      <c r="M95" s="748"/>
      <c r="N95" s="749"/>
      <c r="O95" s="749"/>
      <c r="P95" s="750"/>
      <c r="Q95" s="750"/>
      <c r="R95" s="750"/>
      <c r="S95" s="750"/>
      <c r="T95" s="750"/>
      <c r="U95" s="750"/>
    </row>
    <row r="96" spans="1:21" s="34" customFormat="1" ht="19.5" customHeight="1">
      <c r="A96" s="696" t="s">
        <v>131</v>
      </c>
      <c r="B96" s="697"/>
      <c r="C96" s="698"/>
      <c r="D96" s="699"/>
      <c r="E96" s="699"/>
      <c r="F96" s="699"/>
      <c r="G96" s="700">
        <f>G98</f>
        <v>90000</v>
      </c>
      <c r="H96" s="20"/>
      <c r="I96" s="746"/>
      <c r="J96" s="747"/>
      <c r="K96" s="747"/>
      <c r="L96" s="748"/>
      <c r="M96" s="748"/>
      <c r="N96" s="749"/>
      <c r="O96" s="749"/>
      <c r="P96" s="750"/>
      <c r="Q96" s="750"/>
      <c r="R96" s="750"/>
      <c r="S96" s="750"/>
      <c r="T96" s="750"/>
      <c r="U96" s="750"/>
    </row>
    <row r="97" spans="1:21" s="34" customFormat="1" ht="19.5" customHeight="1">
      <c r="A97" s="696" t="s">
        <v>90</v>
      </c>
      <c r="B97" s="697"/>
      <c r="C97" s="698"/>
      <c r="D97" s="699"/>
      <c r="E97" s="699"/>
      <c r="F97" s="699"/>
      <c r="G97" s="696"/>
      <c r="H97" s="20"/>
      <c r="I97" s="746"/>
      <c r="J97" s="747"/>
      <c r="K97" s="747"/>
      <c r="L97" s="748"/>
      <c r="M97" s="748"/>
      <c r="N97" s="749"/>
      <c r="O97" s="749"/>
      <c r="P97" s="750"/>
      <c r="Q97" s="750"/>
      <c r="R97" s="750"/>
      <c r="S97" s="750"/>
      <c r="T97" s="750"/>
      <c r="U97" s="750"/>
    </row>
    <row r="98" spans="1:21" s="34" customFormat="1" ht="19.5" customHeight="1">
      <c r="A98" s="696" t="s">
        <v>470</v>
      </c>
      <c r="B98" s="697"/>
      <c r="C98" s="698"/>
      <c r="D98" s="699"/>
      <c r="E98" s="699"/>
      <c r="F98" s="699"/>
      <c r="G98" s="696">
        <v>90000</v>
      </c>
      <c r="H98" s="20"/>
      <c r="I98" s="746"/>
      <c r="J98" s="747"/>
      <c r="K98" s="747"/>
      <c r="L98" s="748"/>
      <c r="M98" s="748"/>
      <c r="N98" s="749"/>
      <c r="O98" s="749"/>
      <c r="P98" s="750"/>
      <c r="Q98" s="750"/>
      <c r="R98" s="750"/>
      <c r="S98" s="750"/>
      <c r="T98" s="750"/>
      <c r="U98" s="750"/>
    </row>
    <row r="99" spans="1:21" s="34" customFormat="1" ht="19.5" customHeight="1">
      <c r="A99" s="696"/>
      <c r="B99" s="697"/>
      <c r="C99" s="698"/>
      <c r="D99" s="699"/>
      <c r="E99" s="699"/>
      <c r="F99" s="699"/>
      <c r="G99" s="696"/>
      <c r="H99" s="20"/>
      <c r="I99" s="746"/>
      <c r="J99" s="747"/>
      <c r="K99" s="747"/>
      <c r="L99" s="748"/>
      <c r="M99" s="748"/>
      <c r="N99" s="749"/>
      <c r="O99" s="749"/>
      <c r="P99" s="750"/>
      <c r="Q99" s="750"/>
      <c r="R99" s="750"/>
      <c r="S99" s="750"/>
      <c r="T99" s="750"/>
      <c r="U99" s="750"/>
    </row>
    <row r="100" spans="1:21" s="34" customFormat="1" ht="19.5" customHeight="1">
      <c r="A100" s="177"/>
      <c r="B100" s="178"/>
      <c r="C100" s="178"/>
      <c r="D100" s="179"/>
      <c r="E100" s="179"/>
      <c r="F100" s="179"/>
      <c r="G100" s="179"/>
      <c r="H100" s="179"/>
      <c r="I100" s="746"/>
      <c r="J100" s="747"/>
      <c r="K100" s="747"/>
      <c r="L100" s="748"/>
      <c r="M100" s="748"/>
      <c r="N100" s="749"/>
      <c r="O100" s="749"/>
      <c r="P100" s="750"/>
      <c r="Q100" s="750"/>
      <c r="R100" s="750"/>
      <c r="S100" s="750"/>
      <c r="T100" s="750"/>
      <c r="U100" s="750"/>
    </row>
    <row r="101" spans="1:21" s="34" customFormat="1" ht="19.5" customHeight="1">
      <c r="A101" s="177"/>
      <c r="B101" s="178"/>
      <c r="C101" s="178"/>
      <c r="D101" s="179"/>
      <c r="E101" s="179"/>
      <c r="F101" s="179"/>
      <c r="G101" s="179"/>
      <c r="H101" s="179"/>
      <c r="I101" s="746"/>
      <c r="J101" s="747"/>
      <c r="K101" s="747"/>
      <c r="L101" s="748"/>
      <c r="M101" s="748"/>
      <c r="N101" s="749"/>
      <c r="O101" s="749"/>
      <c r="P101" s="750"/>
      <c r="Q101" s="750"/>
      <c r="R101" s="750"/>
      <c r="S101" s="750"/>
      <c r="T101" s="750"/>
      <c r="U101" s="750"/>
    </row>
    <row r="102" spans="1:21" s="28" customFormat="1" ht="19.5" customHeight="1">
      <c r="A102" s="135" t="s">
        <v>474</v>
      </c>
      <c r="B102" s="187"/>
      <c r="C102" s="188"/>
      <c r="H102" s="1"/>
      <c r="I102" s="734"/>
      <c r="J102" s="719"/>
      <c r="K102" s="740"/>
      <c r="L102" s="719"/>
      <c r="M102" s="719"/>
      <c r="N102" s="728"/>
      <c r="O102" s="728"/>
      <c r="P102" s="729"/>
      <c r="Q102" s="729"/>
      <c r="R102" s="729"/>
      <c r="S102" s="729"/>
      <c r="T102" s="729"/>
      <c r="U102" s="729"/>
    </row>
    <row r="103" spans="1:23" ht="19.5" customHeight="1">
      <c r="A103" s="186"/>
      <c r="B103" s="186"/>
      <c r="C103" s="186"/>
      <c r="D103" s="28"/>
      <c r="E103" s="28"/>
      <c r="F103" s="28"/>
      <c r="G103" s="28"/>
      <c r="H103" s="1"/>
      <c r="I103" s="751"/>
      <c r="J103" s="712"/>
      <c r="K103" s="752"/>
      <c r="L103" s="753"/>
      <c r="M103" s="753"/>
      <c r="N103" s="754"/>
      <c r="O103" s="754"/>
      <c r="P103" s="12"/>
      <c r="Q103" s="755"/>
      <c r="R103" s="755"/>
      <c r="S103" s="755"/>
      <c r="T103" s="755"/>
      <c r="U103" s="755"/>
      <c r="V103" s="189"/>
      <c r="W103" s="189"/>
    </row>
    <row r="104" spans="1:23" ht="19.5" customHeight="1">
      <c r="A104" s="135"/>
      <c r="B104" s="187"/>
      <c r="C104" s="188"/>
      <c r="D104" s="16"/>
      <c r="E104" s="16"/>
      <c r="F104" s="16"/>
      <c r="G104" s="16"/>
      <c r="H104" s="17"/>
      <c r="I104" s="756"/>
      <c r="J104" s="757"/>
      <c r="K104" s="752"/>
      <c r="L104" s="753"/>
      <c r="M104" s="753"/>
      <c r="N104" s="754"/>
      <c r="O104" s="754"/>
      <c r="P104" s="12"/>
      <c r="Q104" s="755"/>
      <c r="R104" s="755"/>
      <c r="S104" s="755"/>
      <c r="T104" s="755"/>
      <c r="U104" s="755"/>
      <c r="V104" s="189"/>
      <c r="W104" s="189"/>
    </row>
    <row r="105" spans="1:23" ht="19.5" customHeight="1">
      <c r="A105" s="135"/>
      <c r="B105" s="190" t="s">
        <v>153</v>
      </c>
      <c r="C105" s="191"/>
      <c r="D105" s="16"/>
      <c r="E105" s="16"/>
      <c r="F105" s="16"/>
      <c r="G105" s="16"/>
      <c r="H105" s="192">
        <f>H108+H125</f>
        <v>418604088.95</v>
      </c>
      <c r="I105" s="756"/>
      <c r="J105" s="757"/>
      <c r="K105" s="752"/>
      <c r="L105" s="753"/>
      <c r="M105" s="753"/>
      <c r="N105" s="754"/>
      <c r="O105" s="754"/>
      <c r="P105" s="12"/>
      <c r="Q105" s="755"/>
      <c r="R105" s="755"/>
      <c r="S105" s="755"/>
      <c r="T105" s="755"/>
      <c r="U105" s="755"/>
      <c r="V105" s="189"/>
      <c r="W105" s="189"/>
    </row>
    <row r="106" spans="1:23" ht="19.5" customHeight="1">
      <c r="A106" s="135"/>
      <c r="B106" s="190" t="s">
        <v>148</v>
      </c>
      <c r="C106" s="191"/>
      <c r="D106" s="16"/>
      <c r="E106" s="16"/>
      <c r="F106" s="16"/>
      <c r="G106" s="16"/>
      <c r="H106" s="192">
        <f>H109+H126</f>
        <v>418544991.09000003</v>
      </c>
      <c r="I106" s="758"/>
      <c r="J106" s="757"/>
      <c r="K106" s="752"/>
      <c r="L106" s="753"/>
      <c r="M106" s="753"/>
      <c r="N106" s="754"/>
      <c r="O106" s="754"/>
      <c r="P106" s="12"/>
      <c r="Q106" s="755"/>
      <c r="R106" s="755"/>
      <c r="S106" s="755"/>
      <c r="T106" s="755"/>
      <c r="U106" s="755"/>
      <c r="V106" s="189"/>
      <c r="W106" s="189"/>
    </row>
    <row r="107" spans="1:23" ht="19.5" customHeight="1">
      <c r="A107" s="135"/>
      <c r="B107" s="193" t="s">
        <v>146</v>
      </c>
      <c r="C107" s="188"/>
      <c r="D107" s="16"/>
      <c r="E107" s="16"/>
      <c r="F107" s="16"/>
      <c r="G107" s="16"/>
      <c r="H107" s="192"/>
      <c r="I107" s="758"/>
      <c r="J107" s="757"/>
      <c r="K107" s="752"/>
      <c r="L107" s="753"/>
      <c r="M107" s="753"/>
      <c r="N107" s="754"/>
      <c r="O107" s="754"/>
      <c r="P107" s="12"/>
      <c r="Q107" s="755"/>
      <c r="R107" s="755"/>
      <c r="S107" s="755"/>
      <c r="T107" s="755"/>
      <c r="U107" s="755"/>
      <c r="V107" s="189"/>
      <c r="W107" s="189"/>
    </row>
    <row r="108" spans="1:23" ht="19.5" customHeight="1">
      <c r="A108" s="195" t="s">
        <v>154</v>
      </c>
      <c r="B108" s="195"/>
      <c r="C108" s="195"/>
      <c r="D108" s="150"/>
      <c r="E108" s="146"/>
      <c r="F108" s="146"/>
      <c r="G108" s="16"/>
      <c r="H108" s="192">
        <v>296427108.18</v>
      </c>
      <c r="I108" s="758"/>
      <c r="J108" s="757"/>
      <c r="K108" s="752"/>
      <c r="L108" s="753"/>
      <c r="M108" s="753"/>
      <c r="N108" s="754"/>
      <c r="O108" s="754"/>
      <c r="P108" s="12"/>
      <c r="Q108" s="755"/>
      <c r="R108" s="755"/>
      <c r="S108" s="755"/>
      <c r="T108" s="755"/>
      <c r="U108" s="755"/>
      <c r="V108" s="189"/>
      <c r="W108" s="189"/>
    </row>
    <row r="109" spans="1:23" ht="19.5" customHeight="1">
      <c r="A109" s="195"/>
      <c r="B109" s="196" t="s">
        <v>148</v>
      </c>
      <c r="C109" s="195"/>
      <c r="D109" s="150"/>
      <c r="E109" s="146"/>
      <c r="F109" s="146"/>
      <c r="G109" s="16"/>
      <c r="H109" s="192">
        <f>H108-D204+F204</f>
        <v>296223324.43</v>
      </c>
      <c r="I109" s="758"/>
      <c r="J109" s="757"/>
      <c r="K109" s="752"/>
      <c r="L109" s="753"/>
      <c r="M109" s="753"/>
      <c r="N109" s="754"/>
      <c r="O109" s="754"/>
      <c r="P109" s="12"/>
      <c r="Q109" s="755"/>
      <c r="R109" s="755"/>
      <c r="S109" s="755"/>
      <c r="T109" s="755"/>
      <c r="U109" s="755"/>
      <c r="V109" s="189"/>
      <c r="W109" s="189"/>
    </row>
    <row r="110" spans="1:23" ht="19.5" customHeight="1">
      <c r="A110" s="145" t="s">
        <v>91</v>
      </c>
      <c r="B110" s="145" t="s">
        <v>155</v>
      </c>
      <c r="C110" s="145"/>
      <c r="D110" s="146"/>
      <c r="E110" s="146"/>
      <c r="F110" s="146"/>
      <c r="G110" s="16"/>
      <c r="H110" s="192"/>
      <c r="I110" s="758"/>
      <c r="J110" s="757"/>
      <c r="K110" s="759"/>
      <c r="L110" s="759"/>
      <c r="M110" s="753"/>
      <c r="N110" s="754"/>
      <c r="O110" s="754"/>
      <c r="P110" s="12"/>
      <c r="Q110" s="755"/>
      <c r="R110" s="755"/>
      <c r="S110" s="755"/>
      <c r="T110" s="755"/>
      <c r="U110" s="755"/>
      <c r="V110" s="189"/>
      <c r="W110" s="189"/>
    </row>
    <row r="111" spans="1:23" ht="19.5" customHeight="1">
      <c r="A111" s="145"/>
      <c r="B111" s="145"/>
      <c r="C111" s="145"/>
      <c r="D111" s="146"/>
      <c r="E111" s="146"/>
      <c r="F111" s="146"/>
      <c r="G111" s="16"/>
      <c r="H111" s="192"/>
      <c r="I111" s="758"/>
      <c r="J111" s="757"/>
      <c r="K111" s="759"/>
      <c r="L111" s="759"/>
      <c r="M111" s="753"/>
      <c r="N111" s="754"/>
      <c r="O111" s="754"/>
      <c r="P111" s="12"/>
      <c r="Q111" s="755"/>
      <c r="R111" s="755"/>
      <c r="S111" s="755"/>
      <c r="T111" s="755"/>
      <c r="U111" s="755"/>
      <c r="V111" s="189"/>
      <c r="W111" s="189"/>
    </row>
    <row r="112" spans="1:23" ht="19.5" customHeight="1">
      <c r="A112" s="197" t="s">
        <v>156</v>
      </c>
      <c r="B112" s="197"/>
      <c r="C112" s="197"/>
      <c r="D112" s="198"/>
      <c r="E112" s="146"/>
      <c r="F112" s="146"/>
      <c r="G112" s="16"/>
      <c r="H112" s="192">
        <v>255214363.3</v>
      </c>
      <c r="I112" s="758"/>
      <c r="J112" s="757"/>
      <c r="K112" s="759"/>
      <c r="L112" s="759"/>
      <c r="M112" s="753"/>
      <c r="N112" s="754"/>
      <c r="O112" s="754"/>
      <c r="P112" s="12"/>
      <c r="Q112" s="755"/>
      <c r="R112" s="755"/>
      <c r="S112" s="755"/>
      <c r="T112" s="755"/>
      <c r="U112" s="755"/>
      <c r="V112" s="189"/>
      <c r="W112" s="189"/>
    </row>
    <row r="113" spans="1:23" ht="19.5" customHeight="1">
      <c r="A113" s="197"/>
      <c r="B113" s="199" t="s">
        <v>148</v>
      </c>
      <c r="C113" s="197"/>
      <c r="D113" s="198"/>
      <c r="E113" s="150"/>
      <c r="F113" s="198"/>
      <c r="G113" s="16"/>
      <c r="H113" s="192">
        <f>H112-D204+D183+D171+D145+F204-F197-F163-F152-F149</f>
        <v>255680001.55</v>
      </c>
      <c r="I113" s="758"/>
      <c r="J113" s="757"/>
      <c r="K113" s="760"/>
      <c r="L113" s="760"/>
      <c r="M113" s="753"/>
      <c r="N113" s="754"/>
      <c r="O113" s="754"/>
      <c r="P113" s="12"/>
      <c r="Q113" s="755"/>
      <c r="R113" s="755"/>
      <c r="S113" s="755"/>
      <c r="T113" s="755"/>
      <c r="U113" s="755"/>
      <c r="V113" s="189"/>
      <c r="W113" s="189"/>
    </row>
    <row r="114" spans="1:23" ht="19.5" customHeight="1">
      <c r="A114" s="197"/>
      <c r="B114" s="715" t="s">
        <v>90</v>
      </c>
      <c r="C114" s="197"/>
      <c r="D114" s="198"/>
      <c r="E114" s="150"/>
      <c r="F114" s="198"/>
      <c r="G114" s="16"/>
      <c r="H114" s="192"/>
      <c r="I114" s="758"/>
      <c r="J114" s="757"/>
      <c r="K114" s="760"/>
      <c r="L114" s="760"/>
      <c r="M114" s="753"/>
      <c r="N114" s="754"/>
      <c r="O114" s="754"/>
      <c r="P114" s="12"/>
      <c r="Q114" s="755"/>
      <c r="R114" s="755"/>
      <c r="S114" s="755"/>
      <c r="T114" s="755"/>
      <c r="U114" s="755"/>
      <c r="V114" s="189"/>
      <c r="W114" s="189"/>
    </row>
    <row r="115" spans="1:23" ht="19.5" customHeight="1">
      <c r="A115" s="143"/>
      <c r="B115" s="144" t="s">
        <v>487</v>
      </c>
      <c r="C115" s="138"/>
      <c r="D115" s="26"/>
      <c r="E115" s="150"/>
      <c r="F115" s="198"/>
      <c r="G115" s="16"/>
      <c r="H115" s="192"/>
      <c r="I115" s="758"/>
      <c r="J115" s="757"/>
      <c r="K115" s="760"/>
      <c r="L115" s="760"/>
      <c r="M115" s="753"/>
      <c r="N115" s="754"/>
      <c r="O115" s="754"/>
      <c r="P115" s="12"/>
      <c r="Q115" s="755"/>
      <c r="R115" s="755"/>
      <c r="S115" s="755"/>
      <c r="T115" s="755"/>
      <c r="U115" s="755"/>
      <c r="V115" s="189"/>
      <c r="W115" s="189"/>
    </row>
    <row r="116" spans="1:23" ht="19.5" customHeight="1">
      <c r="A116" s="143"/>
      <c r="B116" s="144" t="s">
        <v>488</v>
      </c>
      <c r="C116" s="138"/>
      <c r="D116" s="26"/>
      <c r="E116" s="150"/>
      <c r="F116" s="198"/>
      <c r="G116" s="16"/>
      <c r="H116" s="192"/>
      <c r="I116" s="758"/>
      <c r="J116" s="757"/>
      <c r="K116" s="760"/>
      <c r="L116" s="760"/>
      <c r="M116" s="753"/>
      <c r="N116" s="754"/>
      <c r="O116" s="754"/>
      <c r="P116" s="12"/>
      <c r="Q116" s="755"/>
      <c r="R116" s="755"/>
      <c r="S116" s="755"/>
      <c r="T116" s="755"/>
      <c r="U116" s="755"/>
      <c r="V116" s="189"/>
      <c r="W116" s="189"/>
    </row>
    <row r="117" spans="1:23" ht="19.5" customHeight="1">
      <c r="A117" s="143"/>
      <c r="B117" s="144" t="s">
        <v>489</v>
      </c>
      <c r="C117" s="138"/>
      <c r="D117" s="26"/>
      <c r="E117" s="150"/>
      <c r="F117" s="198"/>
      <c r="G117" s="16"/>
      <c r="H117" s="194">
        <v>3993963.31</v>
      </c>
      <c r="I117" s="758"/>
      <c r="J117" s="757"/>
      <c r="K117" s="760"/>
      <c r="L117" s="760"/>
      <c r="M117" s="753"/>
      <c r="N117" s="754"/>
      <c r="O117" s="754"/>
      <c r="P117" s="12"/>
      <c r="Q117" s="755"/>
      <c r="R117" s="755"/>
      <c r="S117" s="755"/>
      <c r="T117" s="755"/>
      <c r="U117" s="755"/>
      <c r="V117" s="189"/>
      <c r="W117" s="189"/>
    </row>
    <row r="118" spans="1:23" ht="19.5" customHeight="1">
      <c r="A118" s="143"/>
      <c r="B118" s="144" t="s">
        <v>148</v>
      </c>
      <c r="C118" s="138"/>
      <c r="D118" s="26"/>
      <c r="E118" s="150"/>
      <c r="F118" s="198"/>
      <c r="G118" s="16"/>
      <c r="H118" s="194">
        <f>H117+F193</f>
        <v>4026128.57</v>
      </c>
      <c r="I118" s="758"/>
      <c r="J118" s="757"/>
      <c r="K118" s="760"/>
      <c r="L118" s="760"/>
      <c r="M118" s="753"/>
      <c r="N118" s="754"/>
      <c r="O118" s="754"/>
      <c r="P118" s="12"/>
      <c r="Q118" s="755"/>
      <c r="R118" s="755"/>
      <c r="S118" s="755"/>
      <c r="T118" s="755"/>
      <c r="U118" s="755"/>
      <c r="V118" s="189"/>
      <c r="W118" s="189"/>
    </row>
    <row r="119" spans="1:23" ht="19.5" customHeight="1">
      <c r="A119" s="143"/>
      <c r="B119" s="144"/>
      <c r="C119" s="138"/>
      <c r="D119" s="26"/>
      <c r="E119" s="150"/>
      <c r="F119" s="198"/>
      <c r="G119" s="16"/>
      <c r="H119" s="194"/>
      <c r="I119" s="758"/>
      <c r="J119" s="757"/>
      <c r="K119" s="760"/>
      <c r="L119" s="760"/>
      <c r="M119" s="753"/>
      <c r="N119" s="754"/>
      <c r="O119" s="754"/>
      <c r="P119" s="12"/>
      <c r="Q119" s="755"/>
      <c r="R119" s="755"/>
      <c r="S119" s="755"/>
      <c r="T119" s="755"/>
      <c r="U119" s="755"/>
      <c r="V119" s="189"/>
      <c r="W119" s="189"/>
    </row>
    <row r="120" spans="1:23" ht="19.5" customHeight="1">
      <c r="A120" s="143"/>
      <c r="B120" s="144"/>
      <c r="C120" s="138"/>
      <c r="D120" s="26"/>
      <c r="E120" s="150"/>
      <c r="F120" s="198"/>
      <c r="G120" s="16"/>
      <c r="H120" s="192"/>
      <c r="I120" s="756"/>
      <c r="J120" s="757"/>
      <c r="K120" s="752"/>
      <c r="L120" s="760"/>
      <c r="M120" s="753"/>
      <c r="N120" s="754"/>
      <c r="O120" s="754"/>
      <c r="P120" s="12"/>
      <c r="Q120" s="755"/>
      <c r="R120" s="755"/>
      <c r="S120" s="755"/>
      <c r="T120" s="755"/>
      <c r="U120" s="755"/>
      <c r="V120" s="189"/>
      <c r="W120" s="189"/>
    </row>
    <row r="121" spans="1:23" ht="19.5" customHeight="1">
      <c r="A121" s="197" t="s">
        <v>157</v>
      </c>
      <c r="B121" s="197"/>
      <c r="C121" s="195"/>
      <c r="D121" s="198"/>
      <c r="E121" s="150"/>
      <c r="F121" s="198"/>
      <c r="G121" s="16"/>
      <c r="H121" s="192">
        <v>41212744.88</v>
      </c>
      <c r="I121" s="756"/>
      <c r="J121" s="757"/>
      <c r="K121" s="752"/>
      <c r="L121" s="760"/>
      <c r="M121" s="753"/>
      <c r="N121" s="754"/>
      <c r="O121" s="754"/>
      <c r="P121" s="12"/>
      <c r="Q121" s="755"/>
      <c r="R121" s="755"/>
      <c r="S121" s="755"/>
      <c r="T121" s="755"/>
      <c r="U121" s="755"/>
      <c r="V121" s="189"/>
      <c r="W121" s="189"/>
    </row>
    <row r="122" spans="1:23" ht="19.5" customHeight="1">
      <c r="A122" s="197"/>
      <c r="B122" s="199" t="s">
        <v>148</v>
      </c>
      <c r="C122" s="195"/>
      <c r="D122" s="198"/>
      <c r="E122" s="150"/>
      <c r="F122" s="198"/>
      <c r="G122" s="16"/>
      <c r="H122" s="192">
        <f>H121-D145-D171-D183+F197+F163+F152+F149</f>
        <v>40543322.88</v>
      </c>
      <c r="I122" s="758"/>
      <c r="J122" s="757"/>
      <c r="K122" s="752"/>
      <c r="L122" s="761"/>
      <c r="M122" s="753"/>
      <c r="N122" s="754"/>
      <c r="O122" s="754"/>
      <c r="P122" s="12"/>
      <c r="Q122" s="755"/>
      <c r="R122" s="755"/>
      <c r="S122" s="755"/>
      <c r="T122" s="755"/>
      <c r="U122" s="755"/>
      <c r="V122" s="189"/>
      <c r="W122" s="189"/>
    </row>
    <row r="123" spans="1:23" ht="19.5" customHeight="1">
      <c r="A123" s="143"/>
      <c r="B123" s="144"/>
      <c r="C123" s="138"/>
      <c r="D123" s="26"/>
      <c r="E123" s="150"/>
      <c r="F123" s="198"/>
      <c r="G123" s="16"/>
      <c r="H123" s="192"/>
      <c r="I123" s="758"/>
      <c r="J123" s="757"/>
      <c r="K123" s="752"/>
      <c r="L123" s="762"/>
      <c r="M123" s="753"/>
      <c r="N123" s="754"/>
      <c r="O123" s="754"/>
      <c r="P123" s="12"/>
      <c r="Q123" s="755"/>
      <c r="R123" s="755"/>
      <c r="S123" s="755"/>
      <c r="T123" s="755"/>
      <c r="U123" s="755"/>
      <c r="V123" s="189"/>
      <c r="W123" s="189"/>
    </row>
    <row r="124" spans="1:23" ht="19.5" customHeight="1">
      <c r="A124" s="197"/>
      <c r="B124" s="199"/>
      <c r="C124" s="195"/>
      <c r="D124" s="198"/>
      <c r="E124" s="150"/>
      <c r="F124" s="198"/>
      <c r="G124" s="16"/>
      <c r="H124" s="192"/>
      <c r="I124" s="758"/>
      <c r="J124" s="712"/>
      <c r="K124" s="752"/>
      <c r="L124" s="753"/>
      <c r="M124" s="753"/>
      <c r="N124" s="754"/>
      <c r="O124" s="754"/>
      <c r="P124" s="12"/>
      <c r="Q124" s="755"/>
      <c r="R124" s="755"/>
      <c r="S124" s="755"/>
      <c r="T124" s="755"/>
      <c r="U124" s="755"/>
      <c r="V124" s="189"/>
      <c r="W124" s="189"/>
    </row>
    <row r="125" spans="1:23" ht="19.5" customHeight="1">
      <c r="A125" s="195" t="s">
        <v>158</v>
      </c>
      <c r="B125" s="195"/>
      <c r="C125" s="195"/>
      <c r="D125" s="150"/>
      <c r="E125" s="150"/>
      <c r="F125" s="198"/>
      <c r="G125" s="16"/>
      <c r="H125" s="192">
        <v>122176980.77</v>
      </c>
      <c r="I125" s="758"/>
      <c r="J125" s="712"/>
      <c r="K125" s="752"/>
      <c r="L125" s="753"/>
      <c r="M125" s="753"/>
      <c r="N125" s="754"/>
      <c r="O125" s="754"/>
      <c r="P125" s="12"/>
      <c r="Q125" s="755"/>
      <c r="R125" s="755"/>
      <c r="S125" s="755"/>
      <c r="T125" s="755"/>
      <c r="U125" s="755"/>
      <c r="V125" s="189"/>
      <c r="W125" s="189"/>
    </row>
    <row r="126" spans="1:11" ht="19.5" customHeight="1">
      <c r="A126" s="195"/>
      <c r="B126" s="196" t="s">
        <v>148</v>
      </c>
      <c r="C126" s="195"/>
      <c r="D126" s="150"/>
      <c r="E126" s="150"/>
      <c r="F126" s="198"/>
      <c r="H126" s="139">
        <f>H125-D233+F233</f>
        <v>122321666.66</v>
      </c>
      <c r="I126" s="734"/>
      <c r="K126" s="733"/>
    </row>
    <row r="127" spans="1:12" ht="19.5" customHeight="1">
      <c r="A127" s="145" t="s">
        <v>91</v>
      </c>
      <c r="B127" s="145" t="s">
        <v>155</v>
      </c>
      <c r="C127" s="145"/>
      <c r="D127" s="146"/>
      <c r="E127" s="150"/>
      <c r="F127" s="198"/>
      <c r="H127" s="139"/>
      <c r="I127" s="734"/>
      <c r="J127" s="740"/>
      <c r="K127" s="733"/>
      <c r="L127" s="733"/>
    </row>
    <row r="128" spans="1:12" ht="19.5" customHeight="1">
      <c r="A128" s="145"/>
      <c r="B128" s="145"/>
      <c r="C128" s="145"/>
      <c r="D128" s="146"/>
      <c r="E128" s="150"/>
      <c r="F128" s="198"/>
      <c r="H128" s="139"/>
      <c r="I128" s="734"/>
      <c r="K128" s="733"/>
      <c r="L128" s="733"/>
    </row>
    <row r="129" spans="1:23" ht="19.5" customHeight="1">
      <c r="A129" s="197" t="s">
        <v>156</v>
      </c>
      <c r="B129" s="197"/>
      <c r="C129" s="197"/>
      <c r="D129" s="198"/>
      <c r="E129" s="150"/>
      <c r="F129" s="198"/>
      <c r="G129" s="16"/>
      <c r="H129" s="192">
        <v>107776730.77</v>
      </c>
      <c r="I129" s="763"/>
      <c r="J129" s="764"/>
      <c r="K129" s="752"/>
      <c r="L129" s="752"/>
      <c r="M129" s="753"/>
      <c r="N129" s="754"/>
      <c r="O129" s="754"/>
      <c r="P129" s="12"/>
      <c r="Q129" s="755"/>
      <c r="R129" s="755"/>
      <c r="S129" s="755"/>
      <c r="T129" s="755"/>
      <c r="U129" s="755"/>
      <c r="V129" s="189"/>
      <c r="W129" s="189"/>
    </row>
    <row r="130" spans="1:23" ht="19.5" customHeight="1">
      <c r="A130" s="197"/>
      <c r="B130" s="199" t="s">
        <v>148</v>
      </c>
      <c r="C130" s="197"/>
      <c r="D130" s="198"/>
      <c r="E130" s="150"/>
      <c r="F130" s="198"/>
      <c r="G130" s="16"/>
      <c r="H130" s="192">
        <f>H129-D233+D217+F233</f>
        <v>107929516.66</v>
      </c>
      <c r="I130" s="758"/>
      <c r="J130" s="764"/>
      <c r="K130" s="752"/>
      <c r="L130" s="753"/>
      <c r="M130" s="753"/>
      <c r="N130" s="754"/>
      <c r="O130" s="754"/>
      <c r="P130" s="12"/>
      <c r="Q130" s="755"/>
      <c r="R130" s="755"/>
      <c r="S130" s="755"/>
      <c r="T130" s="755"/>
      <c r="U130" s="755"/>
      <c r="V130" s="189"/>
      <c r="W130" s="189"/>
    </row>
    <row r="131" spans="1:23" ht="19.5" customHeight="1">
      <c r="A131" s="197"/>
      <c r="B131" s="199"/>
      <c r="C131" s="197"/>
      <c r="D131" s="198"/>
      <c r="E131" s="150"/>
      <c r="F131" s="198"/>
      <c r="G131" s="16"/>
      <c r="H131" s="192"/>
      <c r="I131" s="765"/>
      <c r="J131" s="757"/>
      <c r="K131" s="752"/>
      <c r="L131" s="753"/>
      <c r="M131" s="753"/>
      <c r="N131" s="754"/>
      <c r="O131" s="754"/>
      <c r="P131" s="12"/>
      <c r="Q131" s="755"/>
      <c r="R131" s="755"/>
      <c r="S131" s="755"/>
      <c r="T131" s="755"/>
      <c r="U131" s="755"/>
      <c r="V131" s="189"/>
      <c r="W131" s="189"/>
    </row>
    <row r="132" spans="1:23" ht="19.5" customHeight="1">
      <c r="A132" s="197" t="s">
        <v>157</v>
      </c>
      <c r="B132" s="197"/>
      <c r="C132" s="195"/>
      <c r="D132" s="198"/>
      <c r="E132" s="150"/>
      <c r="F132" s="198"/>
      <c r="G132" s="16"/>
      <c r="H132" s="192">
        <v>14400250</v>
      </c>
      <c r="I132" s="765"/>
      <c r="J132" s="757"/>
      <c r="K132" s="752"/>
      <c r="L132" s="753"/>
      <c r="M132" s="753"/>
      <c r="N132" s="754"/>
      <c r="O132" s="754"/>
      <c r="P132" s="12"/>
      <c r="Q132" s="755"/>
      <c r="R132" s="755"/>
      <c r="S132" s="755"/>
      <c r="T132" s="755"/>
      <c r="U132" s="755"/>
      <c r="V132" s="189"/>
      <c r="W132" s="189"/>
    </row>
    <row r="133" spans="1:23" ht="19.5" customHeight="1">
      <c r="A133" s="197"/>
      <c r="B133" s="199" t="s">
        <v>148</v>
      </c>
      <c r="C133" s="195"/>
      <c r="D133" s="198"/>
      <c r="E133" s="150"/>
      <c r="F133" s="198"/>
      <c r="G133" s="16"/>
      <c r="H133" s="192">
        <f>H132-D217</f>
        <v>14392150</v>
      </c>
      <c r="I133" s="766"/>
      <c r="J133" s="757"/>
      <c r="K133" s="752"/>
      <c r="L133" s="753"/>
      <c r="M133" s="753"/>
      <c r="N133" s="754"/>
      <c r="O133" s="754"/>
      <c r="P133" s="12"/>
      <c r="Q133" s="755"/>
      <c r="R133" s="755"/>
      <c r="S133" s="755"/>
      <c r="T133" s="755"/>
      <c r="U133" s="755"/>
      <c r="V133" s="189"/>
      <c r="W133" s="189"/>
    </row>
    <row r="134" spans="1:23" ht="19.5" customHeight="1">
      <c r="A134" s="197"/>
      <c r="B134" s="199"/>
      <c r="C134" s="197"/>
      <c r="D134" s="198"/>
      <c r="E134" s="150"/>
      <c r="F134" s="198"/>
      <c r="G134" s="16"/>
      <c r="H134" s="192"/>
      <c r="I134" s="765"/>
      <c r="J134" s="757"/>
      <c r="K134" s="752"/>
      <c r="L134" s="753"/>
      <c r="M134" s="753"/>
      <c r="N134" s="754"/>
      <c r="O134" s="754"/>
      <c r="P134" s="12"/>
      <c r="Q134" s="755"/>
      <c r="R134" s="755"/>
      <c r="S134" s="755"/>
      <c r="T134" s="755"/>
      <c r="U134" s="755"/>
      <c r="V134" s="189"/>
      <c r="W134" s="189"/>
    </row>
    <row r="135" spans="1:23" ht="19.5" customHeight="1">
      <c r="A135" s="197"/>
      <c r="B135" s="199"/>
      <c r="C135" s="197"/>
      <c r="D135" s="198"/>
      <c r="E135" s="150"/>
      <c r="F135" s="198"/>
      <c r="G135" s="16"/>
      <c r="H135" s="192"/>
      <c r="I135" s="765"/>
      <c r="J135" s="757"/>
      <c r="K135" s="752"/>
      <c r="L135" s="753"/>
      <c r="M135" s="753"/>
      <c r="N135" s="754"/>
      <c r="O135" s="754"/>
      <c r="P135" s="12"/>
      <c r="Q135" s="755"/>
      <c r="R135" s="755"/>
      <c r="S135" s="755"/>
      <c r="T135" s="755"/>
      <c r="U135" s="755"/>
      <c r="V135" s="189"/>
      <c r="W135" s="189"/>
    </row>
    <row r="136" spans="1:23" ht="19.5" customHeight="1">
      <c r="A136" s="201" t="s">
        <v>139</v>
      </c>
      <c r="B136" s="202"/>
      <c r="C136" s="203"/>
      <c r="D136" s="18"/>
      <c r="E136" s="18"/>
      <c r="F136" s="18"/>
      <c r="G136" s="18"/>
      <c r="H136" s="21"/>
      <c r="I136" s="758"/>
      <c r="J136" s="766"/>
      <c r="K136" s="767"/>
      <c r="L136" s="766"/>
      <c r="M136" s="753"/>
      <c r="N136" s="754"/>
      <c r="O136" s="754"/>
      <c r="P136" s="12"/>
      <c r="Q136" s="12"/>
      <c r="R136" s="12"/>
      <c r="S136" s="12"/>
      <c r="T136" s="12"/>
      <c r="U136" s="12"/>
      <c r="V136" s="16"/>
      <c r="W136" s="16"/>
    </row>
    <row r="137" spans="1:23" ht="19.5" customHeight="1">
      <c r="A137" s="201"/>
      <c r="B137" s="202"/>
      <c r="C137" s="203"/>
      <c r="D137" s="18"/>
      <c r="E137" s="18"/>
      <c r="F137" s="18"/>
      <c r="G137" s="18"/>
      <c r="H137" s="21"/>
      <c r="I137" s="758"/>
      <c r="J137" s="766"/>
      <c r="K137" s="767"/>
      <c r="L137" s="766"/>
      <c r="M137" s="753"/>
      <c r="N137" s="754"/>
      <c r="O137" s="754"/>
      <c r="P137" s="12"/>
      <c r="Q137" s="12"/>
      <c r="R137" s="12"/>
      <c r="S137" s="12"/>
      <c r="T137" s="12"/>
      <c r="U137" s="12"/>
      <c r="V137" s="16"/>
      <c r="W137" s="16"/>
    </row>
    <row r="138" spans="1:23" ht="19.5" customHeight="1">
      <c r="A138" s="201"/>
      <c r="B138" s="202"/>
      <c r="C138" s="203"/>
      <c r="D138" s="18"/>
      <c r="E138" s="18"/>
      <c r="F138" s="18"/>
      <c r="G138" s="18"/>
      <c r="H138" s="21"/>
      <c r="I138" s="758"/>
      <c r="J138" s="766"/>
      <c r="K138" s="767"/>
      <c r="L138" s="768"/>
      <c r="M138" s="753"/>
      <c r="N138" s="754"/>
      <c r="O138" s="754"/>
      <c r="P138" s="12"/>
      <c r="Q138" s="12"/>
      <c r="R138" s="12"/>
      <c r="S138" s="12"/>
      <c r="T138" s="12"/>
      <c r="U138" s="12"/>
      <c r="V138" s="16"/>
      <c r="W138" s="16"/>
    </row>
    <row r="139" spans="1:23" ht="19.5" customHeight="1">
      <c r="A139" s="204" t="s">
        <v>198</v>
      </c>
      <c r="B139" s="204"/>
      <c r="C139" s="205"/>
      <c r="D139" s="19"/>
      <c r="E139" s="19"/>
      <c r="F139" s="19"/>
      <c r="G139" s="19"/>
      <c r="H139" s="17"/>
      <c r="I139" s="758"/>
      <c r="J139" s="712"/>
      <c r="K139" s="752"/>
      <c r="L139" s="769"/>
      <c r="M139" s="770"/>
      <c r="N139" s="754"/>
      <c r="O139" s="754"/>
      <c r="P139" s="12"/>
      <c r="Q139" s="12"/>
      <c r="R139" s="12"/>
      <c r="S139" s="12"/>
      <c r="T139" s="12"/>
      <c r="U139" s="12"/>
      <c r="V139" s="16"/>
      <c r="W139" s="16"/>
    </row>
    <row r="140" spans="1:23" ht="19.5" customHeight="1">
      <c r="A140" s="204"/>
      <c r="B140" s="204"/>
      <c r="C140" s="205"/>
      <c r="D140" s="19"/>
      <c r="E140" s="19"/>
      <c r="F140" s="19"/>
      <c r="G140" s="19"/>
      <c r="H140" s="17"/>
      <c r="I140" s="758"/>
      <c r="J140" s="712"/>
      <c r="K140" s="752"/>
      <c r="L140" s="769"/>
      <c r="M140" s="770"/>
      <c r="N140" s="754"/>
      <c r="O140" s="754"/>
      <c r="P140" s="12"/>
      <c r="Q140" s="12"/>
      <c r="R140" s="12"/>
      <c r="S140" s="12"/>
      <c r="T140" s="12"/>
      <c r="U140" s="12"/>
      <c r="V140" s="16"/>
      <c r="W140" s="16"/>
    </row>
    <row r="141" spans="1:23" ht="19.5" customHeight="1">
      <c r="A141" s="204"/>
      <c r="B141" s="204"/>
      <c r="C141" s="205"/>
      <c r="D141" s="19"/>
      <c r="E141" s="19"/>
      <c r="F141" s="19"/>
      <c r="G141" s="19"/>
      <c r="H141" s="17"/>
      <c r="I141" s="758"/>
      <c r="J141" s="712"/>
      <c r="K141" s="752"/>
      <c r="L141" s="761"/>
      <c r="M141" s="752"/>
      <c r="N141" s="754"/>
      <c r="O141" s="754"/>
      <c r="P141" s="12"/>
      <c r="Q141" s="12"/>
      <c r="R141" s="12"/>
      <c r="S141" s="12"/>
      <c r="T141" s="12"/>
      <c r="U141" s="12"/>
      <c r="V141" s="16"/>
      <c r="W141" s="16"/>
    </row>
    <row r="142" spans="1:23" ht="19.5" customHeight="1">
      <c r="A142" s="159"/>
      <c r="B142" s="159"/>
      <c r="C142" s="160"/>
      <c r="D142" s="10" t="s">
        <v>88</v>
      </c>
      <c r="E142" s="11"/>
      <c r="F142" s="10" t="s">
        <v>89</v>
      </c>
      <c r="G142" s="11"/>
      <c r="H142" s="17"/>
      <c r="I142" s="758"/>
      <c r="J142" s="712"/>
      <c r="K142" s="752"/>
      <c r="L142" s="753"/>
      <c r="M142" s="753"/>
      <c r="N142" s="754"/>
      <c r="O142" s="754"/>
      <c r="P142" s="12"/>
      <c r="Q142" s="12"/>
      <c r="R142" s="12"/>
      <c r="S142" s="12"/>
      <c r="T142" s="12"/>
      <c r="U142" s="12"/>
      <c r="V142" s="16"/>
      <c r="W142" s="16"/>
    </row>
    <row r="143" spans="1:23" ht="19.5" customHeight="1">
      <c r="A143" s="161"/>
      <c r="B143" s="161"/>
      <c r="C143" s="162"/>
      <c r="D143" s="12" t="s">
        <v>91</v>
      </c>
      <c r="E143" s="11" t="s">
        <v>90</v>
      </c>
      <c r="F143" s="12" t="s">
        <v>91</v>
      </c>
      <c r="G143" s="11" t="s">
        <v>90</v>
      </c>
      <c r="H143" s="17"/>
      <c r="I143" s="758"/>
      <c r="J143" s="712"/>
      <c r="K143" s="752"/>
      <c r="L143" s="753"/>
      <c r="M143" s="753"/>
      <c r="N143" s="754"/>
      <c r="O143" s="754"/>
      <c r="P143" s="12"/>
      <c r="Q143" s="12"/>
      <c r="R143" s="12"/>
      <c r="S143" s="12"/>
      <c r="T143" s="12"/>
      <c r="U143" s="12"/>
      <c r="V143" s="16"/>
      <c r="W143" s="16"/>
    </row>
    <row r="144" spans="1:23" ht="19.5" customHeight="1">
      <c r="A144" s="163" t="s">
        <v>93</v>
      </c>
      <c r="B144" s="163" t="s">
        <v>99</v>
      </c>
      <c r="C144" s="163" t="s">
        <v>94</v>
      </c>
      <c r="D144" s="13" t="s">
        <v>95</v>
      </c>
      <c r="E144" s="14" t="s">
        <v>96</v>
      </c>
      <c r="F144" s="13" t="s">
        <v>95</v>
      </c>
      <c r="G144" s="14" t="s">
        <v>96</v>
      </c>
      <c r="H144" s="17"/>
      <c r="I144" s="767"/>
      <c r="J144" s="712"/>
      <c r="K144" s="752"/>
      <c r="L144" s="753"/>
      <c r="M144" s="753"/>
      <c r="N144" s="754"/>
      <c r="O144" s="754"/>
      <c r="P144" s="12"/>
      <c r="Q144" s="12"/>
      <c r="R144" s="12"/>
      <c r="S144" s="12"/>
      <c r="T144" s="12"/>
      <c r="U144" s="12"/>
      <c r="V144" s="16"/>
      <c r="W144" s="16"/>
    </row>
    <row r="145" spans="1:23" s="28" customFormat="1" ht="19.5" customHeight="1">
      <c r="A145" s="166" t="s">
        <v>29</v>
      </c>
      <c r="B145" s="206" t="s">
        <v>39</v>
      </c>
      <c r="C145" s="519" t="s">
        <v>35</v>
      </c>
      <c r="D145" s="165">
        <f>700000+7000</f>
        <v>707000</v>
      </c>
      <c r="E145" s="171"/>
      <c r="F145" s="171"/>
      <c r="G145" s="171"/>
      <c r="H145" s="194"/>
      <c r="I145" s="764"/>
      <c r="J145" s="712"/>
      <c r="K145" s="764"/>
      <c r="L145" s="712"/>
      <c r="M145" s="712"/>
      <c r="N145" s="771"/>
      <c r="O145" s="771"/>
      <c r="P145" s="772"/>
      <c r="Q145" s="772"/>
      <c r="R145" s="772"/>
      <c r="S145" s="772"/>
      <c r="T145" s="772"/>
      <c r="U145" s="772"/>
      <c r="V145" s="15"/>
      <c r="W145" s="15"/>
    </row>
    <row r="146" spans="1:23" s="29" customFormat="1" ht="19.5" customHeight="1">
      <c r="A146" s="164" t="s">
        <v>46</v>
      </c>
      <c r="B146" s="167"/>
      <c r="C146" s="167"/>
      <c r="D146" s="165">
        <f>D147+D150</f>
        <v>5000</v>
      </c>
      <c r="E146" s="165"/>
      <c r="F146" s="165">
        <f>F147+F150</f>
        <v>72650</v>
      </c>
      <c r="G146" s="165"/>
      <c r="H146" s="192"/>
      <c r="I146" s="757"/>
      <c r="J146" s="766"/>
      <c r="K146" s="757"/>
      <c r="L146" s="766"/>
      <c r="M146" s="766"/>
      <c r="N146" s="765"/>
      <c r="O146" s="765"/>
      <c r="P146" s="773"/>
      <c r="Q146" s="773"/>
      <c r="R146" s="773"/>
      <c r="S146" s="773"/>
      <c r="T146" s="773"/>
      <c r="U146" s="773"/>
      <c r="V146" s="207"/>
      <c r="W146" s="207"/>
    </row>
    <row r="147" spans="1:23" s="28" customFormat="1" ht="19.5" customHeight="1">
      <c r="A147" s="168"/>
      <c r="B147" s="276" t="s">
        <v>450</v>
      </c>
      <c r="C147" s="175"/>
      <c r="D147" s="171">
        <f>SUM(D148:D149)</f>
        <v>0</v>
      </c>
      <c r="E147" s="171"/>
      <c r="F147" s="171">
        <f>SUM(F148:F149)</f>
        <v>60650</v>
      </c>
      <c r="G147" s="171"/>
      <c r="H147" s="194"/>
      <c r="I147" s="764"/>
      <c r="J147" s="712"/>
      <c r="K147" s="764"/>
      <c r="L147" s="712"/>
      <c r="M147" s="712"/>
      <c r="N147" s="771"/>
      <c r="O147" s="771"/>
      <c r="P147" s="772"/>
      <c r="Q147" s="772"/>
      <c r="R147" s="772"/>
      <c r="S147" s="772"/>
      <c r="T147" s="772"/>
      <c r="U147" s="772"/>
      <c r="V147" s="15"/>
      <c r="W147" s="15"/>
    </row>
    <row r="148" spans="1:23" s="28" customFormat="1" ht="19.5" customHeight="1">
      <c r="A148" s="173"/>
      <c r="B148" s="174"/>
      <c r="C148" s="175" t="s">
        <v>197</v>
      </c>
      <c r="D148" s="171"/>
      <c r="E148" s="171"/>
      <c r="F148" s="171">
        <v>43050</v>
      </c>
      <c r="G148" s="171"/>
      <c r="H148" s="194"/>
      <c r="I148" s="764"/>
      <c r="J148" s="712"/>
      <c r="K148" s="764"/>
      <c r="L148" s="712"/>
      <c r="M148" s="712"/>
      <c r="N148" s="771"/>
      <c r="O148" s="771"/>
      <c r="P148" s="772"/>
      <c r="Q148" s="772"/>
      <c r="R148" s="772"/>
      <c r="S148" s="772"/>
      <c r="T148" s="772"/>
      <c r="U148" s="772"/>
      <c r="V148" s="15"/>
      <c r="W148" s="15"/>
    </row>
    <row r="149" spans="1:23" s="28" customFormat="1" ht="19.5" customHeight="1">
      <c r="A149" s="173"/>
      <c r="B149" s="174"/>
      <c r="C149" s="175" t="s">
        <v>35</v>
      </c>
      <c r="D149" s="171"/>
      <c r="E149" s="171"/>
      <c r="F149" s="171">
        <v>17600</v>
      </c>
      <c r="G149" s="171"/>
      <c r="H149" s="194"/>
      <c r="I149" s="764"/>
      <c r="J149" s="712"/>
      <c r="K149" s="764"/>
      <c r="L149" s="712"/>
      <c r="M149" s="712"/>
      <c r="N149" s="771"/>
      <c r="O149" s="771"/>
      <c r="P149" s="772"/>
      <c r="Q149" s="772"/>
      <c r="R149" s="772"/>
      <c r="S149" s="772"/>
      <c r="T149" s="772"/>
      <c r="U149" s="772"/>
      <c r="V149" s="15"/>
      <c r="W149" s="15"/>
    </row>
    <row r="150" spans="1:23" s="28" customFormat="1" ht="19.5" customHeight="1">
      <c r="A150" s="173"/>
      <c r="B150" s="276" t="s">
        <v>49</v>
      </c>
      <c r="C150" s="175"/>
      <c r="D150" s="171">
        <f>SUM(D151:D152)</f>
        <v>5000</v>
      </c>
      <c r="E150" s="171"/>
      <c r="F150" s="171">
        <f>SUM(F151:F152)</f>
        <v>12000</v>
      </c>
      <c r="G150" s="171"/>
      <c r="H150" s="194"/>
      <c r="I150" s="764"/>
      <c r="J150" s="712"/>
      <c r="K150" s="764"/>
      <c r="L150" s="712"/>
      <c r="M150" s="712"/>
      <c r="N150" s="771"/>
      <c r="O150" s="771"/>
      <c r="P150" s="772"/>
      <c r="Q150" s="772"/>
      <c r="R150" s="772"/>
      <c r="S150" s="772"/>
      <c r="T150" s="772"/>
      <c r="U150" s="772"/>
      <c r="V150" s="15"/>
      <c r="W150" s="15"/>
    </row>
    <row r="151" spans="1:23" s="28" customFormat="1" ht="19.5" customHeight="1">
      <c r="A151" s="173"/>
      <c r="B151" s="174"/>
      <c r="C151" s="184" t="s">
        <v>197</v>
      </c>
      <c r="D151" s="171">
        <v>5000</v>
      </c>
      <c r="E151" s="171"/>
      <c r="F151" s="171"/>
      <c r="G151" s="171"/>
      <c r="H151" s="194"/>
      <c r="I151" s="764"/>
      <c r="J151" s="712"/>
      <c r="K151" s="764"/>
      <c r="L151" s="712"/>
      <c r="M151" s="712"/>
      <c r="N151" s="771"/>
      <c r="O151" s="771"/>
      <c r="P151" s="772"/>
      <c r="Q151" s="772"/>
      <c r="R151" s="772"/>
      <c r="S151" s="772"/>
      <c r="T151" s="772"/>
      <c r="U151" s="772"/>
      <c r="V151" s="15"/>
      <c r="W151" s="15"/>
    </row>
    <row r="152" spans="1:23" s="28" customFormat="1" ht="19.5" customHeight="1">
      <c r="A152" s="173"/>
      <c r="B152" s="174"/>
      <c r="C152" s="174" t="s">
        <v>35</v>
      </c>
      <c r="D152" s="676"/>
      <c r="E152" s="171"/>
      <c r="F152" s="171">
        <f>7000+5000</f>
        <v>12000</v>
      </c>
      <c r="G152" s="171"/>
      <c r="H152" s="194"/>
      <c r="I152" s="764"/>
      <c r="J152" s="712"/>
      <c r="K152" s="764"/>
      <c r="L152" s="712"/>
      <c r="M152" s="712"/>
      <c r="N152" s="771"/>
      <c r="O152" s="771"/>
      <c r="P152" s="772"/>
      <c r="Q152" s="772"/>
      <c r="R152" s="772"/>
      <c r="S152" s="772"/>
      <c r="T152" s="772"/>
      <c r="U152" s="772"/>
      <c r="V152" s="15"/>
      <c r="W152" s="15"/>
    </row>
    <row r="153" spans="1:23" s="29" customFormat="1" ht="19.5" customHeight="1">
      <c r="A153" s="164" t="s">
        <v>451</v>
      </c>
      <c r="B153" s="167" t="s">
        <v>452</v>
      </c>
      <c r="C153" s="167" t="s">
        <v>197</v>
      </c>
      <c r="D153" s="677"/>
      <c r="E153" s="165"/>
      <c r="F153" s="165">
        <v>55097.35</v>
      </c>
      <c r="G153" s="165"/>
      <c r="H153" s="192"/>
      <c r="I153" s="757"/>
      <c r="J153" s="766"/>
      <c r="K153" s="757"/>
      <c r="L153" s="766"/>
      <c r="M153" s="766"/>
      <c r="N153" s="765"/>
      <c r="O153" s="765"/>
      <c r="P153" s="773"/>
      <c r="Q153" s="773"/>
      <c r="R153" s="773"/>
      <c r="S153" s="773"/>
      <c r="T153" s="773"/>
      <c r="U153" s="773"/>
      <c r="V153" s="207"/>
      <c r="W153" s="207"/>
    </row>
    <row r="154" spans="1:23" s="29" customFormat="1" ht="19.5" customHeight="1">
      <c r="A154" s="166" t="s">
        <v>31</v>
      </c>
      <c r="B154" s="164"/>
      <c r="C154" s="164"/>
      <c r="D154" s="165">
        <f>D155+D156+D161</f>
        <v>95000</v>
      </c>
      <c r="E154" s="165"/>
      <c r="F154" s="165">
        <f>F155+F156+F161</f>
        <v>291100</v>
      </c>
      <c r="G154" s="165"/>
      <c r="H154" s="192"/>
      <c r="I154" s="757"/>
      <c r="J154" s="766"/>
      <c r="K154" s="757"/>
      <c r="L154" s="766"/>
      <c r="M154" s="766"/>
      <c r="N154" s="765"/>
      <c r="O154" s="765"/>
      <c r="P154" s="773"/>
      <c r="Q154" s="773"/>
      <c r="R154" s="773"/>
      <c r="S154" s="773"/>
      <c r="T154" s="773"/>
      <c r="U154" s="773"/>
      <c r="V154" s="207"/>
      <c r="W154" s="207"/>
    </row>
    <row r="155" spans="1:23" s="28" customFormat="1" ht="19.5" customHeight="1">
      <c r="A155" s="168"/>
      <c r="B155" s="169" t="s">
        <v>463</v>
      </c>
      <c r="C155" s="276" t="s">
        <v>464</v>
      </c>
      <c r="D155" s="171">
        <v>5000</v>
      </c>
      <c r="E155" s="171"/>
      <c r="F155" s="171"/>
      <c r="G155" s="171"/>
      <c r="H155" s="194"/>
      <c r="I155" s="764"/>
      <c r="J155" s="712"/>
      <c r="K155" s="764"/>
      <c r="L155" s="712"/>
      <c r="M155" s="712"/>
      <c r="N155" s="771"/>
      <c r="O155" s="771"/>
      <c r="P155" s="772"/>
      <c r="Q155" s="772"/>
      <c r="R155" s="772"/>
      <c r="S155" s="772"/>
      <c r="T155" s="772"/>
      <c r="U155" s="772"/>
      <c r="V155" s="15"/>
      <c r="W155" s="15"/>
    </row>
    <row r="156" spans="1:23" s="28" customFormat="1" ht="19.5" customHeight="1">
      <c r="A156" s="173"/>
      <c r="B156" s="169" t="s">
        <v>32</v>
      </c>
      <c r="C156" s="276"/>
      <c r="D156" s="171"/>
      <c r="E156" s="171"/>
      <c r="F156" s="171">
        <f>SUM(F157:F160)</f>
        <v>283000</v>
      </c>
      <c r="G156" s="171"/>
      <c r="H156" s="194"/>
      <c r="I156" s="764"/>
      <c r="J156" s="712"/>
      <c r="K156" s="764"/>
      <c r="L156" s="712"/>
      <c r="M156" s="712"/>
      <c r="N156" s="771"/>
      <c r="O156" s="771"/>
      <c r="P156" s="772"/>
      <c r="Q156" s="772"/>
      <c r="R156" s="772"/>
      <c r="S156" s="772"/>
      <c r="T156" s="772"/>
      <c r="U156" s="772"/>
      <c r="V156" s="15"/>
      <c r="W156" s="15"/>
    </row>
    <row r="157" spans="1:23" s="28" customFormat="1" ht="19.5" customHeight="1">
      <c r="A157" s="173"/>
      <c r="B157" s="169"/>
      <c r="C157" s="170" t="s">
        <v>27</v>
      </c>
      <c r="D157" s="171"/>
      <c r="E157" s="171"/>
      <c r="F157" s="171">
        <f>130000+120000</f>
        <v>250000</v>
      </c>
      <c r="G157" s="171"/>
      <c r="H157" s="194"/>
      <c r="I157" s="764"/>
      <c r="J157" s="712"/>
      <c r="K157" s="764"/>
      <c r="L157" s="712"/>
      <c r="M157" s="712"/>
      <c r="N157" s="771"/>
      <c r="O157" s="771"/>
      <c r="P157" s="772"/>
      <c r="Q157" s="772"/>
      <c r="R157" s="772"/>
      <c r="S157" s="772"/>
      <c r="T157" s="772"/>
      <c r="U157" s="772"/>
      <c r="V157" s="15"/>
      <c r="W157" s="15"/>
    </row>
    <row r="158" spans="1:23" s="28" customFormat="1" ht="19.5" customHeight="1">
      <c r="A158" s="173"/>
      <c r="B158" s="174"/>
      <c r="C158" s="276" t="s">
        <v>197</v>
      </c>
      <c r="D158" s="171"/>
      <c r="E158" s="171"/>
      <c r="F158" s="171">
        <v>3000</v>
      </c>
      <c r="G158" s="171"/>
      <c r="H158" s="194"/>
      <c r="I158" s="764"/>
      <c r="J158" s="712"/>
      <c r="K158" s="764"/>
      <c r="L158" s="712"/>
      <c r="M158" s="712"/>
      <c r="N158" s="771"/>
      <c r="O158" s="771"/>
      <c r="P158" s="772"/>
      <c r="Q158" s="772"/>
      <c r="R158" s="772"/>
      <c r="S158" s="772"/>
      <c r="T158" s="772"/>
      <c r="U158" s="772"/>
      <c r="V158" s="15"/>
      <c r="W158" s="15"/>
    </row>
    <row r="159" spans="1:23" s="28" customFormat="1" ht="19.5" customHeight="1">
      <c r="A159" s="173"/>
      <c r="B159" s="174"/>
      <c r="C159" s="170" t="s">
        <v>55</v>
      </c>
      <c r="D159" s="171"/>
      <c r="E159" s="171"/>
      <c r="F159" s="171">
        <v>15000</v>
      </c>
      <c r="G159" s="171"/>
      <c r="H159" s="194"/>
      <c r="I159" s="764"/>
      <c r="J159" s="712"/>
      <c r="K159" s="764"/>
      <c r="L159" s="712"/>
      <c r="M159" s="712"/>
      <c r="N159" s="771"/>
      <c r="O159" s="771"/>
      <c r="P159" s="772"/>
      <c r="Q159" s="772"/>
      <c r="R159" s="772"/>
      <c r="S159" s="772"/>
      <c r="T159" s="772"/>
      <c r="U159" s="772"/>
      <c r="V159" s="15"/>
      <c r="W159" s="15"/>
    </row>
    <row r="160" spans="1:23" s="28" customFormat="1" ht="19.5" customHeight="1">
      <c r="A160" s="173"/>
      <c r="B160" s="175"/>
      <c r="C160" s="170" t="s">
        <v>56</v>
      </c>
      <c r="D160" s="171"/>
      <c r="E160" s="171"/>
      <c r="F160" s="171">
        <v>15000</v>
      </c>
      <c r="G160" s="171"/>
      <c r="H160" s="194"/>
      <c r="I160" s="764"/>
      <c r="J160" s="712"/>
      <c r="K160" s="764"/>
      <c r="L160" s="712"/>
      <c r="M160" s="712"/>
      <c r="N160" s="771"/>
      <c r="O160" s="771"/>
      <c r="P160" s="772"/>
      <c r="Q160" s="772"/>
      <c r="R160" s="772"/>
      <c r="S160" s="772"/>
      <c r="T160" s="772"/>
      <c r="U160" s="772"/>
      <c r="V160" s="15"/>
      <c r="W160" s="15"/>
    </row>
    <row r="161" spans="1:23" s="28" customFormat="1" ht="19.5" customHeight="1">
      <c r="A161" s="173"/>
      <c r="B161" s="174" t="s">
        <v>45</v>
      </c>
      <c r="C161" s="276"/>
      <c r="D161" s="171">
        <f>SUM(D162:D163)</f>
        <v>90000</v>
      </c>
      <c r="E161" s="171"/>
      <c r="F161" s="171">
        <f>SUM(F162:F163)</f>
        <v>8100</v>
      </c>
      <c r="G161" s="171"/>
      <c r="H161" s="194"/>
      <c r="I161" s="764"/>
      <c r="J161" s="712"/>
      <c r="K161" s="764"/>
      <c r="L161" s="712"/>
      <c r="M161" s="712"/>
      <c r="N161" s="771"/>
      <c r="O161" s="771"/>
      <c r="P161" s="772"/>
      <c r="Q161" s="772"/>
      <c r="R161" s="772"/>
      <c r="S161" s="772"/>
      <c r="T161" s="772"/>
      <c r="U161" s="772"/>
      <c r="V161" s="15"/>
      <c r="W161" s="15"/>
    </row>
    <row r="162" spans="1:23" s="28" customFormat="1" ht="19.5" customHeight="1">
      <c r="A162" s="173"/>
      <c r="B162" s="169"/>
      <c r="C162" s="170" t="s">
        <v>197</v>
      </c>
      <c r="D162" s="171">
        <v>90000</v>
      </c>
      <c r="E162" s="171"/>
      <c r="F162" s="171"/>
      <c r="G162" s="171"/>
      <c r="H162" s="194"/>
      <c r="I162" s="764"/>
      <c r="J162" s="712"/>
      <c r="K162" s="764"/>
      <c r="L162" s="712"/>
      <c r="M162" s="712"/>
      <c r="N162" s="771"/>
      <c r="O162" s="771"/>
      <c r="P162" s="772"/>
      <c r="Q162" s="772"/>
      <c r="R162" s="772"/>
      <c r="S162" s="772"/>
      <c r="T162" s="772"/>
      <c r="U162" s="772"/>
      <c r="V162" s="15"/>
      <c r="W162" s="15"/>
    </row>
    <row r="163" spans="1:23" s="28" customFormat="1" ht="19.5" customHeight="1">
      <c r="A163" s="184"/>
      <c r="B163" s="175"/>
      <c r="C163" s="170" t="s">
        <v>36</v>
      </c>
      <c r="D163" s="171"/>
      <c r="E163" s="171"/>
      <c r="F163" s="171">
        <v>8100</v>
      </c>
      <c r="G163" s="171"/>
      <c r="H163" s="194"/>
      <c r="I163" s="764"/>
      <c r="J163" s="712"/>
      <c r="K163" s="764"/>
      <c r="L163" s="712"/>
      <c r="M163" s="712"/>
      <c r="N163" s="771"/>
      <c r="O163" s="771"/>
      <c r="P163" s="772"/>
      <c r="Q163" s="772"/>
      <c r="R163" s="772"/>
      <c r="S163" s="772"/>
      <c r="T163" s="772"/>
      <c r="U163" s="772"/>
      <c r="V163" s="15"/>
      <c r="W163" s="15"/>
    </row>
    <row r="164" spans="1:23" s="29" customFormat="1" ht="19.5" customHeight="1">
      <c r="A164" s="180" t="s">
        <v>42</v>
      </c>
      <c r="B164" s="180"/>
      <c r="C164" s="164"/>
      <c r="D164" s="165">
        <f>D165+D168</f>
        <v>3000</v>
      </c>
      <c r="E164" s="165"/>
      <c r="F164" s="165">
        <f>F165+F168</f>
        <v>90000</v>
      </c>
      <c r="G164" s="165"/>
      <c r="H164" s="192"/>
      <c r="I164" s="757"/>
      <c r="J164" s="766"/>
      <c r="K164" s="757"/>
      <c r="L164" s="766"/>
      <c r="M164" s="766"/>
      <c r="N164" s="765"/>
      <c r="O164" s="765"/>
      <c r="P164" s="773"/>
      <c r="Q164" s="773"/>
      <c r="R164" s="773"/>
      <c r="S164" s="773"/>
      <c r="T164" s="773"/>
      <c r="U164" s="773"/>
      <c r="V164" s="207"/>
      <c r="W164" s="207"/>
    </row>
    <row r="165" spans="1:23" s="28" customFormat="1" ht="19.5" customHeight="1">
      <c r="A165" s="172"/>
      <c r="B165" s="276" t="s">
        <v>51</v>
      </c>
      <c r="C165" s="276"/>
      <c r="D165" s="171">
        <f>SUM(D166:D167)</f>
        <v>3000</v>
      </c>
      <c r="E165" s="171"/>
      <c r="F165" s="171"/>
      <c r="G165" s="171"/>
      <c r="H165" s="194"/>
      <c r="I165" s="764"/>
      <c r="J165" s="712"/>
      <c r="K165" s="764"/>
      <c r="L165" s="712"/>
      <c r="M165" s="712"/>
      <c r="N165" s="771"/>
      <c r="O165" s="771"/>
      <c r="P165" s="772"/>
      <c r="Q165" s="772"/>
      <c r="R165" s="772"/>
      <c r="S165" s="772"/>
      <c r="T165" s="772"/>
      <c r="U165" s="772"/>
      <c r="V165" s="15"/>
      <c r="W165" s="15"/>
    </row>
    <row r="166" spans="1:23" s="28" customFormat="1" ht="19.5" customHeight="1">
      <c r="A166" s="172"/>
      <c r="B166" s="173"/>
      <c r="C166" s="174" t="s">
        <v>28</v>
      </c>
      <c r="D166" s="171">
        <v>1199</v>
      </c>
      <c r="E166" s="171"/>
      <c r="F166" s="171"/>
      <c r="G166" s="171"/>
      <c r="H166" s="194"/>
      <c r="I166" s="764"/>
      <c r="J166" s="712"/>
      <c r="K166" s="764"/>
      <c r="L166" s="712"/>
      <c r="M166" s="712"/>
      <c r="N166" s="771"/>
      <c r="O166" s="771"/>
      <c r="P166" s="772"/>
      <c r="Q166" s="772"/>
      <c r="R166" s="772"/>
      <c r="S166" s="772"/>
      <c r="T166" s="772"/>
      <c r="U166" s="772"/>
      <c r="V166" s="15"/>
      <c r="W166" s="15"/>
    </row>
    <row r="167" spans="1:23" s="28" customFormat="1" ht="19.5" customHeight="1">
      <c r="A167" s="172"/>
      <c r="B167" s="173"/>
      <c r="C167" s="276" t="s">
        <v>192</v>
      </c>
      <c r="D167" s="171">
        <v>1801</v>
      </c>
      <c r="E167" s="171"/>
      <c r="F167" s="171"/>
      <c r="G167" s="171"/>
      <c r="H167" s="194"/>
      <c r="I167" s="764"/>
      <c r="J167" s="712"/>
      <c r="K167" s="764"/>
      <c r="L167" s="712"/>
      <c r="M167" s="712"/>
      <c r="N167" s="771"/>
      <c r="O167" s="771"/>
      <c r="P167" s="772"/>
      <c r="Q167" s="772"/>
      <c r="R167" s="772"/>
      <c r="S167" s="772"/>
      <c r="T167" s="772"/>
      <c r="U167" s="772"/>
      <c r="V167" s="15"/>
      <c r="W167" s="15"/>
    </row>
    <row r="168" spans="1:23" s="28" customFormat="1" ht="19.5" customHeight="1">
      <c r="A168" s="172"/>
      <c r="B168" s="276" t="s">
        <v>43</v>
      </c>
      <c r="C168" s="170" t="s">
        <v>197</v>
      </c>
      <c r="D168" s="171"/>
      <c r="E168" s="171"/>
      <c r="F168" s="171">
        <v>90000</v>
      </c>
      <c r="G168" s="171"/>
      <c r="H168" s="194"/>
      <c r="I168" s="764"/>
      <c r="J168" s="712"/>
      <c r="K168" s="764"/>
      <c r="L168" s="712"/>
      <c r="M168" s="712"/>
      <c r="N168" s="771"/>
      <c r="O168" s="771"/>
      <c r="P168" s="772"/>
      <c r="Q168" s="772"/>
      <c r="R168" s="772"/>
      <c r="S168" s="772"/>
      <c r="T168" s="772"/>
      <c r="U168" s="772"/>
      <c r="V168" s="15"/>
      <c r="W168" s="15"/>
    </row>
    <row r="169" spans="1:23" s="29" customFormat="1" ht="19.5" customHeight="1">
      <c r="A169" s="274" t="s">
        <v>194</v>
      </c>
      <c r="B169" s="164" t="s">
        <v>195</v>
      </c>
      <c r="C169" s="167"/>
      <c r="D169" s="165">
        <f>SUM(D170:D171)</f>
        <v>198327.36</v>
      </c>
      <c r="E169" s="165"/>
      <c r="F169" s="165">
        <f>SUM(F170:F171)</f>
        <v>0</v>
      </c>
      <c r="G169" s="165"/>
      <c r="H169" s="192"/>
      <c r="I169" s="757"/>
      <c r="J169" s="766"/>
      <c r="K169" s="757"/>
      <c r="L169" s="766"/>
      <c r="M169" s="766"/>
      <c r="N169" s="765"/>
      <c r="O169" s="765"/>
      <c r="P169" s="773"/>
      <c r="Q169" s="773"/>
      <c r="R169" s="773"/>
      <c r="S169" s="773"/>
      <c r="T169" s="773"/>
      <c r="U169" s="773"/>
      <c r="V169" s="207"/>
      <c r="W169" s="207"/>
    </row>
    <row r="170" spans="1:23" s="28" customFormat="1" ht="19.5" customHeight="1">
      <c r="A170" s="518"/>
      <c r="B170" s="173"/>
      <c r="C170" s="276" t="s">
        <v>196</v>
      </c>
      <c r="D170" s="171">
        <f>30478-3413-13000+27340.47+800-0.11+144000</f>
        <v>186205.36</v>
      </c>
      <c r="E170" s="171"/>
      <c r="F170" s="171"/>
      <c r="G170" s="171"/>
      <c r="H170" s="194"/>
      <c r="I170" s="764"/>
      <c r="J170" s="712"/>
      <c r="K170" s="764"/>
      <c r="L170" s="712"/>
      <c r="M170" s="712"/>
      <c r="N170" s="771"/>
      <c r="O170" s="771"/>
      <c r="P170" s="772"/>
      <c r="Q170" s="772"/>
      <c r="R170" s="772"/>
      <c r="S170" s="772"/>
      <c r="T170" s="772"/>
      <c r="U170" s="772"/>
      <c r="V170" s="15"/>
      <c r="W170" s="15"/>
    </row>
    <row r="171" spans="1:23" s="28" customFormat="1" ht="19.5" customHeight="1">
      <c r="A171" s="172"/>
      <c r="B171" s="173"/>
      <c r="C171" s="276" t="s">
        <v>1</v>
      </c>
      <c r="D171" s="171">
        <f>17600+25000-30478</f>
        <v>12122</v>
      </c>
      <c r="E171" s="171"/>
      <c r="F171" s="171"/>
      <c r="G171" s="171"/>
      <c r="H171" s="194"/>
      <c r="I171" s="764"/>
      <c r="J171" s="712"/>
      <c r="K171" s="764"/>
      <c r="L171" s="712"/>
      <c r="M171" s="712"/>
      <c r="N171" s="771"/>
      <c r="O171" s="771"/>
      <c r="P171" s="772"/>
      <c r="Q171" s="772"/>
      <c r="R171" s="772"/>
      <c r="S171" s="772"/>
      <c r="T171" s="772"/>
      <c r="U171" s="772"/>
      <c r="V171" s="15"/>
      <c r="W171" s="15"/>
    </row>
    <row r="172" spans="1:23" s="29" customFormat="1" ht="19.5" customHeight="1">
      <c r="A172" s="164" t="s">
        <v>191</v>
      </c>
      <c r="B172" s="164"/>
      <c r="C172" s="167"/>
      <c r="D172" s="165">
        <f>D173+D174+D184+D191</f>
        <v>21994</v>
      </c>
      <c r="E172" s="165"/>
      <c r="F172" s="165">
        <f>F173+F174+F184+F191</f>
        <v>165525</v>
      </c>
      <c r="G172" s="165"/>
      <c r="H172" s="192"/>
      <c r="I172" s="757"/>
      <c r="J172" s="766"/>
      <c r="K172" s="757"/>
      <c r="L172" s="766"/>
      <c r="M172" s="766"/>
      <c r="N172" s="765"/>
      <c r="O172" s="765"/>
      <c r="P172" s="773"/>
      <c r="Q172" s="773"/>
      <c r="R172" s="773"/>
      <c r="S172" s="773"/>
      <c r="T172" s="773"/>
      <c r="U172" s="773"/>
      <c r="V172" s="207"/>
      <c r="W172" s="207"/>
    </row>
    <row r="173" spans="1:23" s="28" customFormat="1" ht="19.5" customHeight="1">
      <c r="A173" s="173"/>
      <c r="B173" s="169" t="s">
        <v>58</v>
      </c>
      <c r="C173" s="170" t="s">
        <v>197</v>
      </c>
      <c r="D173" s="171"/>
      <c r="E173" s="171"/>
      <c r="F173" s="171">
        <v>800</v>
      </c>
      <c r="G173" s="171"/>
      <c r="H173" s="194"/>
      <c r="I173" s="764"/>
      <c r="J173" s="712"/>
      <c r="K173" s="764"/>
      <c r="L173" s="712"/>
      <c r="M173" s="712"/>
      <c r="N173" s="771"/>
      <c r="O173" s="771"/>
      <c r="P173" s="772"/>
      <c r="Q173" s="772"/>
      <c r="R173" s="772"/>
      <c r="S173" s="772"/>
      <c r="T173" s="772"/>
      <c r="U173" s="772"/>
      <c r="V173" s="15"/>
      <c r="W173" s="15"/>
    </row>
    <row r="174" spans="1:23" s="28" customFormat="1" ht="19.5" customHeight="1">
      <c r="A174" s="173"/>
      <c r="B174" s="169" t="s">
        <v>25</v>
      </c>
      <c r="C174" s="170"/>
      <c r="D174" s="171">
        <f>SUM(D175:D183)</f>
        <v>13000</v>
      </c>
      <c r="E174" s="171"/>
      <c r="F174" s="171">
        <f>SUM(F175:F183)</f>
        <v>155800</v>
      </c>
      <c r="G174" s="171"/>
      <c r="H174" s="194"/>
      <c r="I174" s="764"/>
      <c r="J174" s="712"/>
      <c r="K174" s="764"/>
      <c r="L174" s="712"/>
      <c r="M174" s="712"/>
      <c r="N174" s="771"/>
      <c r="O174" s="771"/>
      <c r="P174" s="772"/>
      <c r="Q174" s="772"/>
      <c r="R174" s="772"/>
      <c r="S174" s="772"/>
      <c r="T174" s="772"/>
      <c r="U174" s="772"/>
      <c r="V174" s="15"/>
      <c r="W174" s="15"/>
    </row>
    <row r="175" spans="1:23" s="28" customFormat="1" ht="19.5" customHeight="1">
      <c r="A175" s="172"/>
      <c r="B175" s="168"/>
      <c r="C175" s="170" t="s">
        <v>504</v>
      </c>
      <c r="D175" s="171"/>
      <c r="E175" s="171"/>
      <c r="F175" s="171">
        <v>540</v>
      </c>
      <c r="G175" s="171"/>
      <c r="H175" s="194"/>
      <c r="I175" s="764"/>
      <c r="J175" s="712"/>
      <c r="K175" s="764"/>
      <c r="L175" s="712"/>
      <c r="M175" s="712"/>
      <c r="N175" s="771"/>
      <c r="O175" s="771"/>
      <c r="P175" s="772"/>
      <c r="Q175" s="772"/>
      <c r="R175" s="772"/>
      <c r="S175" s="772"/>
      <c r="T175" s="772"/>
      <c r="U175" s="772"/>
      <c r="V175" s="15"/>
      <c r="W175" s="15"/>
    </row>
    <row r="176" spans="1:23" s="28" customFormat="1" ht="19.5" customHeight="1">
      <c r="A176" s="172"/>
      <c r="B176" s="173"/>
      <c r="C176" s="170" t="s">
        <v>27</v>
      </c>
      <c r="D176" s="171"/>
      <c r="E176" s="171"/>
      <c r="F176" s="171">
        <v>93215</v>
      </c>
      <c r="G176" s="171"/>
      <c r="H176" s="194"/>
      <c r="I176" s="764"/>
      <c r="J176" s="712"/>
      <c r="K176" s="764"/>
      <c r="L176" s="712"/>
      <c r="M176" s="712"/>
      <c r="N176" s="771"/>
      <c r="O176" s="771"/>
      <c r="P176" s="772"/>
      <c r="Q176" s="772"/>
      <c r="R176" s="772"/>
      <c r="S176" s="772"/>
      <c r="T176" s="772"/>
      <c r="U176" s="772"/>
      <c r="V176" s="15"/>
      <c r="W176" s="15"/>
    </row>
    <row r="177" spans="1:23" s="28" customFormat="1" ht="19.5" customHeight="1">
      <c r="A177" s="172"/>
      <c r="B177" s="173"/>
      <c r="C177" s="170" t="s">
        <v>28</v>
      </c>
      <c r="D177" s="171"/>
      <c r="E177" s="171"/>
      <c r="F177" s="171">
        <v>16108</v>
      </c>
      <c r="G177" s="171"/>
      <c r="H177" s="194"/>
      <c r="I177" s="764"/>
      <c r="J177" s="712"/>
      <c r="K177" s="764"/>
      <c r="L177" s="712"/>
      <c r="M177" s="712"/>
      <c r="N177" s="771"/>
      <c r="O177" s="771"/>
      <c r="P177" s="772"/>
      <c r="Q177" s="772"/>
      <c r="R177" s="772"/>
      <c r="S177" s="772"/>
      <c r="T177" s="772"/>
      <c r="U177" s="772"/>
      <c r="V177" s="15"/>
      <c r="W177" s="15"/>
    </row>
    <row r="178" spans="1:23" s="28" customFormat="1" ht="19.5" customHeight="1">
      <c r="A178" s="172"/>
      <c r="B178" s="173"/>
      <c r="C178" s="170" t="s">
        <v>33</v>
      </c>
      <c r="D178" s="171"/>
      <c r="E178" s="171"/>
      <c r="F178" s="171">
        <v>2290</v>
      </c>
      <c r="G178" s="171"/>
      <c r="H178" s="194"/>
      <c r="I178" s="764"/>
      <c r="J178" s="712"/>
      <c r="K178" s="764"/>
      <c r="L178" s="712"/>
      <c r="M178" s="712"/>
      <c r="N178" s="771"/>
      <c r="O178" s="771"/>
      <c r="P178" s="772"/>
      <c r="Q178" s="772"/>
      <c r="R178" s="772"/>
      <c r="S178" s="772"/>
      <c r="T178" s="772"/>
      <c r="U178" s="772"/>
      <c r="V178" s="15"/>
      <c r="W178" s="15"/>
    </row>
    <row r="179" spans="1:23" s="28" customFormat="1" ht="19.5" customHeight="1">
      <c r="A179" s="172"/>
      <c r="B179" s="173"/>
      <c r="C179" s="170" t="s">
        <v>192</v>
      </c>
      <c r="D179" s="171"/>
      <c r="E179" s="171"/>
      <c r="F179" s="171">
        <v>3540</v>
      </c>
      <c r="G179" s="171"/>
      <c r="H179" s="194"/>
      <c r="I179" s="764"/>
      <c r="J179" s="712"/>
      <c r="K179" s="764"/>
      <c r="L179" s="712"/>
      <c r="M179" s="712"/>
      <c r="N179" s="771"/>
      <c r="O179" s="771"/>
      <c r="P179" s="772"/>
      <c r="Q179" s="772"/>
      <c r="R179" s="772"/>
      <c r="S179" s="772"/>
      <c r="T179" s="772"/>
      <c r="U179" s="772"/>
      <c r="V179" s="15"/>
      <c r="W179" s="15"/>
    </row>
    <row r="180" spans="1:23" s="28" customFormat="1" ht="19.5" customHeight="1">
      <c r="A180" s="172"/>
      <c r="B180" s="173"/>
      <c r="C180" s="170" t="s">
        <v>197</v>
      </c>
      <c r="D180" s="171"/>
      <c r="E180" s="171"/>
      <c r="F180" s="171">
        <f>11800+18990</f>
        <v>30790</v>
      </c>
      <c r="G180" s="171"/>
      <c r="H180" s="194"/>
      <c r="I180" s="764"/>
      <c r="J180" s="712"/>
      <c r="K180" s="764"/>
      <c r="L180" s="712"/>
      <c r="M180" s="712"/>
      <c r="N180" s="771"/>
      <c r="O180" s="771"/>
      <c r="P180" s="772"/>
      <c r="Q180" s="772"/>
      <c r="R180" s="772"/>
      <c r="S180" s="772"/>
      <c r="T180" s="772"/>
      <c r="U180" s="772"/>
      <c r="V180" s="15"/>
      <c r="W180" s="15"/>
    </row>
    <row r="181" spans="1:23" s="28" customFormat="1" ht="19.5" customHeight="1">
      <c r="A181" s="172"/>
      <c r="B181" s="173"/>
      <c r="C181" s="170" t="s">
        <v>479</v>
      </c>
      <c r="D181" s="171"/>
      <c r="E181" s="171"/>
      <c r="F181" s="171">
        <v>45</v>
      </c>
      <c r="G181" s="171"/>
      <c r="H181" s="194"/>
      <c r="I181" s="764"/>
      <c r="J181" s="712"/>
      <c r="K181" s="764"/>
      <c r="L181" s="712"/>
      <c r="M181" s="712"/>
      <c r="N181" s="771"/>
      <c r="O181" s="771"/>
      <c r="P181" s="772"/>
      <c r="Q181" s="772"/>
      <c r="R181" s="772"/>
      <c r="S181" s="772"/>
      <c r="T181" s="772"/>
      <c r="U181" s="772"/>
      <c r="V181" s="15"/>
      <c r="W181" s="15"/>
    </row>
    <row r="182" spans="1:23" s="28" customFormat="1" ht="19.5" customHeight="1">
      <c r="A182" s="172"/>
      <c r="B182" s="173"/>
      <c r="C182" s="170" t="s">
        <v>480</v>
      </c>
      <c r="D182" s="171"/>
      <c r="E182" s="171"/>
      <c r="F182" s="171">
        <v>9272</v>
      </c>
      <c r="G182" s="171"/>
      <c r="H182" s="194"/>
      <c r="I182" s="764"/>
      <c r="J182" s="712"/>
      <c r="K182" s="764"/>
      <c r="L182" s="712"/>
      <c r="M182" s="712"/>
      <c r="N182" s="771"/>
      <c r="O182" s="771"/>
      <c r="P182" s="772"/>
      <c r="Q182" s="772"/>
      <c r="R182" s="772"/>
      <c r="S182" s="772"/>
      <c r="T182" s="772"/>
      <c r="U182" s="772"/>
      <c r="V182" s="15"/>
      <c r="W182" s="15"/>
    </row>
    <row r="183" spans="1:23" s="28" customFormat="1" ht="19.5" customHeight="1">
      <c r="A183" s="172"/>
      <c r="B183" s="184"/>
      <c r="C183" s="170" t="s">
        <v>35</v>
      </c>
      <c r="D183" s="171">
        <v>13000</v>
      </c>
      <c r="E183" s="171"/>
      <c r="F183" s="171"/>
      <c r="G183" s="171"/>
      <c r="H183" s="194"/>
      <c r="I183" s="764"/>
      <c r="J183" s="712"/>
      <c r="K183" s="764"/>
      <c r="L183" s="712"/>
      <c r="M183" s="712"/>
      <c r="N183" s="771"/>
      <c r="O183" s="771"/>
      <c r="P183" s="772"/>
      <c r="Q183" s="772"/>
      <c r="R183" s="772"/>
      <c r="S183" s="772"/>
      <c r="T183" s="772"/>
      <c r="U183" s="772"/>
      <c r="V183" s="15"/>
      <c r="W183" s="15"/>
    </row>
    <row r="184" spans="1:23" s="28" customFormat="1" ht="19.5" customHeight="1">
      <c r="A184" s="173"/>
      <c r="B184" s="174" t="s">
        <v>30</v>
      </c>
      <c r="C184" s="170"/>
      <c r="D184" s="171"/>
      <c r="E184" s="171"/>
      <c r="F184" s="171">
        <f>SUM(F185:F190)</f>
        <v>8925</v>
      </c>
      <c r="G184" s="171"/>
      <c r="H184" s="194"/>
      <c r="I184" s="764"/>
      <c r="J184" s="712"/>
      <c r="K184" s="764"/>
      <c r="L184" s="712"/>
      <c r="M184" s="712"/>
      <c r="N184" s="771"/>
      <c r="O184" s="771"/>
      <c r="P184" s="772"/>
      <c r="Q184" s="772"/>
      <c r="R184" s="772"/>
      <c r="S184" s="772"/>
      <c r="T184" s="772"/>
      <c r="U184" s="772"/>
      <c r="V184" s="15"/>
      <c r="W184" s="15"/>
    </row>
    <row r="185" spans="1:23" s="28" customFormat="1" ht="19.5" customHeight="1">
      <c r="A185" s="173"/>
      <c r="B185" s="169"/>
      <c r="C185" s="170" t="s">
        <v>28</v>
      </c>
      <c r="D185" s="171"/>
      <c r="E185" s="171"/>
      <c r="F185" s="171">
        <v>356</v>
      </c>
      <c r="G185" s="171"/>
      <c r="H185" s="194"/>
      <c r="I185" s="764"/>
      <c r="J185" s="712"/>
      <c r="K185" s="764"/>
      <c r="L185" s="712"/>
      <c r="M185" s="712"/>
      <c r="N185" s="771"/>
      <c r="O185" s="771"/>
      <c r="P185" s="772"/>
      <c r="Q185" s="772"/>
      <c r="R185" s="772"/>
      <c r="S185" s="772"/>
      <c r="T185" s="772"/>
      <c r="U185" s="772"/>
      <c r="V185" s="15"/>
      <c r="W185" s="15"/>
    </row>
    <row r="186" spans="1:23" s="28" customFormat="1" ht="19.5" customHeight="1">
      <c r="A186" s="173"/>
      <c r="B186" s="174"/>
      <c r="C186" s="170" t="s">
        <v>33</v>
      </c>
      <c r="D186" s="171"/>
      <c r="E186" s="171"/>
      <c r="F186" s="171">
        <v>54</v>
      </c>
      <c r="G186" s="171"/>
      <c r="H186" s="194"/>
      <c r="I186" s="764"/>
      <c r="J186" s="712"/>
      <c r="K186" s="764"/>
      <c r="L186" s="712"/>
      <c r="M186" s="712"/>
      <c r="N186" s="771"/>
      <c r="O186" s="771"/>
      <c r="P186" s="772"/>
      <c r="Q186" s="772"/>
      <c r="R186" s="772"/>
      <c r="S186" s="772"/>
      <c r="T186" s="772"/>
      <c r="U186" s="772"/>
      <c r="V186" s="15"/>
      <c r="W186" s="15"/>
    </row>
    <row r="187" spans="1:23" s="28" customFormat="1" ht="19.5" customHeight="1">
      <c r="A187" s="173"/>
      <c r="B187" s="174"/>
      <c r="C187" s="170" t="s">
        <v>59</v>
      </c>
      <c r="D187" s="171"/>
      <c r="E187" s="171"/>
      <c r="F187" s="171">
        <v>2070</v>
      </c>
      <c r="G187" s="171"/>
      <c r="H187" s="194"/>
      <c r="I187" s="764"/>
      <c r="J187" s="712"/>
      <c r="K187" s="764"/>
      <c r="L187" s="712"/>
      <c r="M187" s="712"/>
      <c r="N187" s="771"/>
      <c r="O187" s="771"/>
      <c r="P187" s="772"/>
      <c r="Q187" s="772"/>
      <c r="R187" s="772"/>
      <c r="S187" s="772"/>
      <c r="T187" s="772"/>
      <c r="U187" s="772"/>
      <c r="V187" s="15"/>
      <c r="W187" s="15"/>
    </row>
    <row r="188" spans="1:23" s="28" customFormat="1" ht="19.5" customHeight="1">
      <c r="A188" s="173"/>
      <c r="B188" s="174"/>
      <c r="C188" s="170" t="s">
        <v>16</v>
      </c>
      <c r="D188" s="171"/>
      <c r="E188" s="171"/>
      <c r="F188" s="171">
        <v>6275</v>
      </c>
      <c r="G188" s="171"/>
      <c r="H188" s="194"/>
      <c r="I188" s="764"/>
      <c r="J188" s="712"/>
      <c r="K188" s="764"/>
      <c r="L188" s="712"/>
      <c r="M188" s="712"/>
      <c r="N188" s="771"/>
      <c r="O188" s="771"/>
      <c r="P188" s="772"/>
      <c r="Q188" s="772"/>
      <c r="R188" s="772"/>
      <c r="S188" s="772"/>
      <c r="T188" s="772"/>
      <c r="U188" s="772"/>
      <c r="V188" s="15"/>
      <c r="W188" s="15"/>
    </row>
    <row r="189" spans="1:23" s="28" customFormat="1" ht="19.5" customHeight="1">
      <c r="A189" s="173"/>
      <c r="B189" s="174"/>
      <c r="C189" s="170" t="s">
        <v>34</v>
      </c>
      <c r="D189" s="171"/>
      <c r="E189" s="171"/>
      <c r="F189" s="171">
        <v>120</v>
      </c>
      <c r="G189" s="171"/>
      <c r="H189" s="194"/>
      <c r="I189" s="764"/>
      <c r="J189" s="712"/>
      <c r="K189" s="764"/>
      <c r="L189" s="712"/>
      <c r="M189" s="712"/>
      <c r="N189" s="771"/>
      <c r="O189" s="771"/>
      <c r="P189" s="772"/>
      <c r="Q189" s="772"/>
      <c r="R189" s="772"/>
      <c r="S189" s="772"/>
      <c r="T189" s="772"/>
      <c r="U189" s="772"/>
      <c r="V189" s="15"/>
      <c r="W189" s="15"/>
    </row>
    <row r="190" spans="1:23" s="28" customFormat="1" ht="19.5" customHeight="1">
      <c r="A190" s="173"/>
      <c r="B190" s="174"/>
      <c r="C190" s="169" t="s">
        <v>197</v>
      </c>
      <c r="D190" s="171"/>
      <c r="E190" s="171"/>
      <c r="F190" s="171">
        <v>50</v>
      </c>
      <c r="G190" s="171"/>
      <c r="H190" s="194"/>
      <c r="I190" s="764"/>
      <c r="J190" s="712"/>
      <c r="K190" s="764"/>
      <c r="L190" s="712"/>
      <c r="M190" s="712"/>
      <c r="N190" s="771"/>
      <c r="O190" s="771"/>
      <c r="P190" s="772"/>
      <c r="Q190" s="772"/>
      <c r="R190" s="772"/>
      <c r="S190" s="772"/>
      <c r="T190" s="772"/>
      <c r="U190" s="772"/>
      <c r="V190" s="15"/>
      <c r="W190" s="15"/>
    </row>
    <row r="191" spans="1:23" s="28" customFormat="1" ht="19.5" customHeight="1">
      <c r="A191" s="173"/>
      <c r="B191" s="168" t="s">
        <v>15</v>
      </c>
      <c r="C191" s="169" t="s">
        <v>48</v>
      </c>
      <c r="D191" s="171">
        <v>8994</v>
      </c>
      <c r="E191" s="171"/>
      <c r="F191" s="171"/>
      <c r="G191" s="171"/>
      <c r="H191" s="194"/>
      <c r="I191" s="764"/>
      <c r="J191" s="712"/>
      <c r="K191" s="764"/>
      <c r="L191" s="712"/>
      <c r="M191" s="712"/>
      <c r="N191" s="771"/>
      <c r="O191" s="771"/>
      <c r="P191" s="772"/>
      <c r="Q191" s="772"/>
      <c r="R191" s="772"/>
      <c r="S191" s="772"/>
      <c r="T191" s="772"/>
      <c r="U191" s="772"/>
      <c r="V191" s="15"/>
      <c r="W191" s="15"/>
    </row>
    <row r="192" spans="1:23" s="29" customFormat="1" ht="19.5" customHeight="1">
      <c r="A192" s="164" t="s">
        <v>459</v>
      </c>
      <c r="B192" s="164" t="s">
        <v>460</v>
      </c>
      <c r="C192" s="167" t="s">
        <v>197</v>
      </c>
      <c r="D192" s="165"/>
      <c r="E192" s="165"/>
      <c r="F192" s="165">
        <v>90000</v>
      </c>
      <c r="G192" s="165"/>
      <c r="H192" s="192"/>
      <c r="I192" s="757"/>
      <c r="J192" s="766"/>
      <c r="K192" s="757"/>
      <c r="L192" s="766"/>
      <c r="M192" s="766"/>
      <c r="N192" s="765"/>
      <c r="O192" s="765"/>
      <c r="P192" s="773"/>
      <c r="Q192" s="773"/>
      <c r="R192" s="773"/>
      <c r="S192" s="773"/>
      <c r="T192" s="773"/>
      <c r="U192" s="773"/>
      <c r="V192" s="207"/>
      <c r="W192" s="207"/>
    </row>
    <row r="193" spans="1:23" s="29" customFormat="1" ht="19.5" customHeight="1">
      <c r="A193" s="164" t="s">
        <v>19</v>
      </c>
      <c r="B193" s="164" t="s">
        <v>20</v>
      </c>
      <c r="C193" s="164"/>
      <c r="D193" s="165"/>
      <c r="E193" s="165"/>
      <c r="F193" s="165">
        <f>F194+F195</f>
        <v>32165.260000000002</v>
      </c>
      <c r="G193" s="165"/>
      <c r="H193" s="192"/>
      <c r="I193" s="757"/>
      <c r="J193" s="766"/>
      <c r="K193" s="757"/>
      <c r="L193" s="766"/>
      <c r="M193" s="766"/>
      <c r="N193" s="765"/>
      <c r="O193" s="765"/>
      <c r="P193" s="773"/>
      <c r="Q193" s="773"/>
      <c r="R193" s="773"/>
      <c r="S193" s="773"/>
      <c r="T193" s="773"/>
      <c r="U193" s="773"/>
      <c r="V193" s="207"/>
      <c r="W193" s="207"/>
    </row>
    <row r="194" spans="1:23" s="28" customFormat="1" ht="19.5" customHeight="1">
      <c r="A194" s="173"/>
      <c r="B194" s="174"/>
      <c r="C194" s="174" t="s">
        <v>21</v>
      </c>
      <c r="D194" s="171"/>
      <c r="E194" s="171"/>
      <c r="F194" s="171">
        <v>27340.47</v>
      </c>
      <c r="G194" s="171"/>
      <c r="H194" s="194"/>
      <c r="I194" s="764"/>
      <c r="J194" s="712"/>
      <c r="K194" s="764"/>
      <c r="L194" s="712"/>
      <c r="M194" s="712"/>
      <c r="N194" s="771"/>
      <c r="O194" s="771"/>
      <c r="P194" s="772"/>
      <c r="Q194" s="772"/>
      <c r="R194" s="772"/>
      <c r="S194" s="772"/>
      <c r="T194" s="772"/>
      <c r="U194" s="772"/>
      <c r="V194" s="15"/>
      <c r="W194" s="15"/>
    </row>
    <row r="195" spans="1:23" s="28" customFormat="1" ht="19.5" customHeight="1">
      <c r="A195" s="173"/>
      <c r="B195" s="174"/>
      <c r="C195" s="169" t="s">
        <v>22</v>
      </c>
      <c r="D195" s="171"/>
      <c r="E195" s="171"/>
      <c r="F195" s="171">
        <v>4824.79</v>
      </c>
      <c r="G195" s="171"/>
      <c r="H195" s="194"/>
      <c r="I195" s="764"/>
      <c r="J195" s="712"/>
      <c r="K195" s="764"/>
      <c r="L195" s="712"/>
      <c r="M195" s="712"/>
      <c r="N195" s="771"/>
      <c r="O195" s="771"/>
      <c r="P195" s="772"/>
      <c r="Q195" s="772"/>
      <c r="R195" s="772"/>
      <c r="S195" s="772"/>
      <c r="T195" s="772"/>
      <c r="U195" s="772"/>
      <c r="V195" s="15"/>
      <c r="W195" s="15"/>
    </row>
    <row r="196" spans="1:23" s="29" customFormat="1" ht="19.5" customHeight="1">
      <c r="A196" s="164" t="s">
        <v>17</v>
      </c>
      <c r="B196" s="167"/>
      <c r="C196" s="167"/>
      <c r="D196" s="165">
        <f>D197+D198</f>
        <v>3000</v>
      </c>
      <c r="E196" s="165"/>
      <c r="F196" s="165">
        <f>F197+F198</f>
        <v>28000</v>
      </c>
      <c r="G196" s="165"/>
      <c r="H196" s="192"/>
      <c r="I196" s="757"/>
      <c r="J196" s="766"/>
      <c r="K196" s="757"/>
      <c r="L196" s="766"/>
      <c r="M196" s="766"/>
      <c r="N196" s="765"/>
      <c r="O196" s="765"/>
      <c r="P196" s="773"/>
      <c r="Q196" s="773"/>
      <c r="R196" s="773"/>
      <c r="S196" s="773"/>
      <c r="T196" s="773"/>
      <c r="U196" s="773"/>
      <c r="V196" s="207"/>
      <c r="W196" s="207"/>
    </row>
    <row r="197" spans="1:23" s="28" customFormat="1" ht="19.5" customHeight="1">
      <c r="A197" s="173"/>
      <c r="B197" s="170" t="s">
        <v>462</v>
      </c>
      <c r="C197" s="175" t="s">
        <v>35</v>
      </c>
      <c r="D197" s="171"/>
      <c r="E197" s="171"/>
      <c r="F197" s="171">
        <v>25000</v>
      </c>
      <c r="G197" s="171"/>
      <c r="H197" s="194"/>
      <c r="I197" s="764"/>
      <c r="J197" s="712"/>
      <c r="K197" s="764"/>
      <c r="L197" s="712"/>
      <c r="M197" s="712"/>
      <c r="N197" s="771"/>
      <c r="O197" s="771"/>
      <c r="P197" s="772"/>
      <c r="Q197" s="772"/>
      <c r="R197" s="772"/>
      <c r="S197" s="772"/>
      <c r="T197" s="772"/>
      <c r="U197" s="772"/>
      <c r="V197" s="15"/>
      <c r="W197" s="15"/>
    </row>
    <row r="198" spans="1:23" s="28" customFormat="1" ht="19.5" customHeight="1">
      <c r="A198" s="173"/>
      <c r="B198" s="276" t="s">
        <v>18</v>
      </c>
      <c r="C198" s="175"/>
      <c r="D198" s="171">
        <f>SUM(D199:D200)</f>
        <v>3000</v>
      </c>
      <c r="E198" s="171"/>
      <c r="F198" s="171">
        <f>SUM(F199:F200)</f>
        <v>3000</v>
      </c>
      <c r="G198" s="171"/>
      <c r="H198" s="194"/>
      <c r="I198" s="764"/>
      <c r="J198" s="712"/>
      <c r="K198" s="764"/>
      <c r="L198" s="712"/>
      <c r="M198" s="712"/>
      <c r="N198" s="771"/>
      <c r="O198" s="771"/>
      <c r="P198" s="772"/>
      <c r="Q198" s="772"/>
      <c r="R198" s="772"/>
      <c r="S198" s="772"/>
      <c r="T198" s="772"/>
      <c r="U198" s="772"/>
      <c r="V198" s="15"/>
      <c r="W198" s="15"/>
    </row>
    <row r="199" spans="1:23" s="28" customFormat="1" ht="19.5" customHeight="1">
      <c r="A199" s="172"/>
      <c r="B199" s="168"/>
      <c r="C199" s="170" t="s">
        <v>192</v>
      </c>
      <c r="D199" s="171">
        <v>3000</v>
      </c>
      <c r="E199" s="171"/>
      <c r="F199" s="171"/>
      <c r="G199" s="171"/>
      <c r="H199" s="194"/>
      <c r="I199" s="764"/>
      <c r="J199" s="712"/>
      <c r="K199" s="764"/>
      <c r="L199" s="712"/>
      <c r="M199" s="712"/>
      <c r="N199" s="771"/>
      <c r="O199" s="771"/>
      <c r="P199" s="772"/>
      <c r="Q199" s="772"/>
      <c r="R199" s="772"/>
      <c r="S199" s="772"/>
      <c r="T199" s="772"/>
      <c r="U199" s="772"/>
      <c r="V199" s="15"/>
      <c r="W199" s="15"/>
    </row>
    <row r="200" spans="1:23" s="28" customFormat="1" ht="19.5" customHeight="1">
      <c r="A200" s="172"/>
      <c r="B200" s="173"/>
      <c r="C200" s="169" t="s">
        <v>50</v>
      </c>
      <c r="D200" s="171"/>
      <c r="E200" s="171"/>
      <c r="F200" s="171">
        <v>3000</v>
      </c>
      <c r="G200" s="171"/>
      <c r="H200" s="194"/>
      <c r="I200" s="764"/>
      <c r="J200" s="712"/>
      <c r="K200" s="764"/>
      <c r="L200" s="712"/>
      <c r="M200" s="712"/>
      <c r="N200" s="771"/>
      <c r="O200" s="771"/>
      <c r="P200" s="772"/>
      <c r="Q200" s="772"/>
      <c r="R200" s="772"/>
      <c r="S200" s="772"/>
      <c r="T200" s="772"/>
      <c r="U200" s="772"/>
      <c r="V200" s="15"/>
      <c r="W200" s="15"/>
    </row>
    <row r="201" spans="1:23" s="29" customFormat="1" ht="19.5" customHeight="1">
      <c r="A201" s="274" t="s">
        <v>465</v>
      </c>
      <c r="B201" s="164" t="s">
        <v>466</v>
      </c>
      <c r="C201" s="167"/>
      <c r="D201" s="181"/>
      <c r="E201" s="181"/>
      <c r="F201" s="181">
        <f>SUM(F202:F203)</f>
        <v>5000</v>
      </c>
      <c r="G201" s="181"/>
      <c r="H201" s="192"/>
      <c r="I201" s="757"/>
      <c r="J201" s="766"/>
      <c r="K201" s="757"/>
      <c r="L201" s="766"/>
      <c r="M201" s="766"/>
      <c r="N201" s="765"/>
      <c r="O201" s="765"/>
      <c r="P201" s="773"/>
      <c r="Q201" s="773"/>
      <c r="R201" s="773"/>
      <c r="S201" s="773"/>
      <c r="T201" s="773"/>
      <c r="U201" s="773"/>
      <c r="V201" s="207"/>
      <c r="W201" s="207"/>
    </row>
    <row r="202" spans="1:23" s="28" customFormat="1" ht="19.5" customHeight="1">
      <c r="A202" s="172"/>
      <c r="B202" s="173"/>
      <c r="C202" s="175" t="s">
        <v>192</v>
      </c>
      <c r="D202" s="183"/>
      <c r="E202" s="183"/>
      <c r="F202" s="183">
        <v>3000</v>
      </c>
      <c r="G202" s="183"/>
      <c r="H202" s="194"/>
      <c r="I202" s="764"/>
      <c r="J202" s="712"/>
      <c r="K202" s="764"/>
      <c r="L202" s="712"/>
      <c r="M202" s="712"/>
      <c r="N202" s="771"/>
      <c r="O202" s="771"/>
      <c r="P202" s="772"/>
      <c r="Q202" s="772"/>
      <c r="R202" s="772"/>
      <c r="S202" s="772"/>
      <c r="T202" s="772"/>
      <c r="U202" s="772"/>
      <c r="V202" s="15"/>
      <c r="W202" s="15"/>
    </row>
    <row r="203" spans="1:23" s="28" customFormat="1" ht="19.5" customHeight="1">
      <c r="A203" s="172"/>
      <c r="B203" s="184"/>
      <c r="C203" s="170" t="s">
        <v>197</v>
      </c>
      <c r="D203" s="183"/>
      <c r="E203" s="183"/>
      <c r="F203" s="183">
        <v>2000</v>
      </c>
      <c r="G203" s="183"/>
      <c r="H203" s="194"/>
      <c r="I203" s="764"/>
      <c r="J203" s="712"/>
      <c r="K203" s="764"/>
      <c r="L203" s="712"/>
      <c r="M203" s="712"/>
      <c r="N203" s="771"/>
      <c r="O203" s="771"/>
      <c r="P203" s="772"/>
      <c r="Q203" s="772"/>
      <c r="R203" s="772"/>
      <c r="S203" s="772"/>
      <c r="T203" s="772"/>
      <c r="U203" s="772"/>
      <c r="V203" s="15"/>
      <c r="W203" s="15"/>
    </row>
    <row r="204" spans="1:23" s="3" customFormat="1" ht="19.5" customHeight="1">
      <c r="A204" s="534" t="s">
        <v>97</v>
      </c>
      <c r="B204" s="535"/>
      <c r="C204" s="208"/>
      <c r="D204" s="33">
        <f>D145+D146+D153+D154+D164+D169+D172+D192+D193+D196+D201</f>
        <v>1033321.36</v>
      </c>
      <c r="E204" s="33">
        <f>E145+E146+E153+E154+E164+E169+E172+E192+E193+E196+E201</f>
        <v>0</v>
      </c>
      <c r="F204" s="33">
        <f>F145+F146+F153+F154+F164+F169+F172+F192+F193+F196+F201</f>
        <v>829537.61</v>
      </c>
      <c r="G204" s="33">
        <f>G145+G146+G153+G154+G164+G169+G172+G192+G193+G196+G201</f>
        <v>0</v>
      </c>
      <c r="H204" s="20"/>
      <c r="I204" s="774"/>
      <c r="J204" s="775"/>
      <c r="K204" s="531"/>
      <c r="L204" s="775"/>
      <c r="M204" s="775"/>
      <c r="N204" s="27"/>
      <c r="O204" s="27"/>
      <c r="P204" s="27"/>
      <c r="Q204" s="27"/>
      <c r="R204" s="27"/>
      <c r="S204" s="27"/>
      <c r="T204" s="27"/>
      <c r="U204" s="27"/>
      <c r="V204" s="25"/>
      <c r="W204" s="25"/>
    </row>
    <row r="205" spans="1:23" s="3" customFormat="1" ht="23.25" customHeight="1">
      <c r="A205" s="209"/>
      <c r="B205" s="210"/>
      <c r="C205" s="211"/>
      <c r="D205" s="27"/>
      <c r="E205" s="27"/>
      <c r="F205" s="27"/>
      <c r="G205" s="27"/>
      <c r="H205" s="20"/>
      <c r="I205" s="774"/>
      <c r="J205" s="775"/>
      <c r="K205" s="531"/>
      <c r="L205" s="775"/>
      <c r="M205" s="775"/>
      <c r="N205" s="27"/>
      <c r="O205" s="27"/>
      <c r="P205" s="27"/>
      <c r="Q205" s="27"/>
      <c r="R205" s="27"/>
      <c r="S205" s="27"/>
      <c r="T205" s="27"/>
      <c r="U205" s="27"/>
      <c r="V205" s="25"/>
      <c r="W205" s="25"/>
    </row>
    <row r="206" spans="1:23" s="3" customFormat="1" ht="19.5" customHeight="1">
      <c r="A206" s="209"/>
      <c r="B206" s="210"/>
      <c r="C206" s="211"/>
      <c r="D206" s="27"/>
      <c r="E206" s="27"/>
      <c r="F206" s="27"/>
      <c r="G206" s="27"/>
      <c r="H206" s="20"/>
      <c r="I206" s="774"/>
      <c r="J206" s="775"/>
      <c r="K206" s="531"/>
      <c r="L206" s="775"/>
      <c r="M206" s="775"/>
      <c r="N206" s="27"/>
      <c r="O206" s="27"/>
      <c r="P206" s="27"/>
      <c r="Q206" s="27"/>
      <c r="R206" s="27"/>
      <c r="S206" s="27"/>
      <c r="T206" s="27"/>
      <c r="U206" s="27"/>
      <c r="V206" s="25"/>
      <c r="W206" s="25"/>
    </row>
    <row r="207" spans="1:23" ht="19.5" customHeight="1">
      <c r="A207" s="201" t="s">
        <v>98</v>
      </c>
      <c r="B207" s="187"/>
      <c r="C207" s="203"/>
      <c r="D207" s="18"/>
      <c r="E207" s="18"/>
      <c r="F207" s="18"/>
      <c r="G207" s="18"/>
      <c r="H207" s="21"/>
      <c r="I207" s="758"/>
      <c r="J207" s="766"/>
      <c r="K207" s="767"/>
      <c r="L207" s="776"/>
      <c r="M207" s="753"/>
      <c r="N207" s="754"/>
      <c r="O207" s="754"/>
      <c r="P207" s="12"/>
      <c r="Q207" s="12"/>
      <c r="R207" s="12"/>
      <c r="S207" s="12"/>
      <c r="T207" s="12"/>
      <c r="U207" s="12"/>
      <c r="V207" s="16"/>
      <c r="W207" s="16"/>
    </row>
    <row r="208" spans="1:23" ht="19.5" customHeight="1">
      <c r="A208" s="201"/>
      <c r="B208" s="187"/>
      <c r="C208" s="203"/>
      <c r="D208" s="18"/>
      <c r="E208" s="18"/>
      <c r="F208" s="18"/>
      <c r="G208" s="18"/>
      <c r="H208" s="21"/>
      <c r="I208" s="758"/>
      <c r="J208" s="766"/>
      <c r="K208" s="767"/>
      <c r="L208" s="776"/>
      <c r="M208" s="753"/>
      <c r="N208" s="754"/>
      <c r="O208" s="754"/>
      <c r="P208" s="12"/>
      <c r="Q208" s="12"/>
      <c r="R208" s="12"/>
      <c r="S208" s="12"/>
      <c r="T208" s="12"/>
      <c r="U208" s="12"/>
      <c r="V208" s="16"/>
      <c r="W208" s="16"/>
    </row>
    <row r="209" spans="1:23" ht="19.5" customHeight="1">
      <c r="A209" s="201"/>
      <c r="B209" s="202"/>
      <c r="C209" s="203"/>
      <c r="D209" s="18"/>
      <c r="E209" s="18"/>
      <c r="F209" s="18"/>
      <c r="G209" s="18"/>
      <c r="H209" s="21"/>
      <c r="I209" s="758"/>
      <c r="J209" s="766"/>
      <c r="K209" s="767"/>
      <c r="L209" s="776"/>
      <c r="M209" s="753"/>
      <c r="N209" s="754"/>
      <c r="O209" s="754"/>
      <c r="P209" s="12"/>
      <c r="Q209" s="12"/>
      <c r="R209" s="12"/>
      <c r="S209" s="12"/>
      <c r="T209" s="12"/>
      <c r="U209" s="12"/>
      <c r="V209" s="16"/>
      <c r="W209" s="16"/>
    </row>
    <row r="210" spans="1:23" ht="19.5" customHeight="1">
      <c r="A210" s="204" t="s">
        <v>475</v>
      </c>
      <c r="B210" s="202"/>
      <c r="C210" s="205"/>
      <c r="D210" s="19"/>
      <c r="E210" s="19"/>
      <c r="F210" s="19"/>
      <c r="G210" s="19"/>
      <c r="H210" s="17"/>
      <c r="I210" s="751"/>
      <c r="J210" s="770"/>
      <c r="K210" s="777"/>
      <c r="L210" s="753"/>
      <c r="M210" s="753"/>
      <c r="N210" s="754"/>
      <c r="O210" s="754"/>
      <c r="P210" s="12"/>
      <c r="Q210" s="12"/>
      <c r="R210" s="12"/>
      <c r="S210" s="12"/>
      <c r="T210" s="12"/>
      <c r="U210" s="12"/>
      <c r="V210" s="16"/>
      <c r="W210" s="16"/>
    </row>
    <row r="211" spans="1:23" ht="19.5" customHeight="1">
      <c r="A211" s="204"/>
      <c r="B211" s="204"/>
      <c r="C211" s="205"/>
      <c r="D211" s="19"/>
      <c r="E211" s="19"/>
      <c r="F211" s="19"/>
      <c r="G211" s="19"/>
      <c r="H211" s="17"/>
      <c r="I211" s="751"/>
      <c r="J211" s="770"/>
      <c r="K211" s="777"/>
      <c r="L211" s="753"/>
      <c r="M211" s="753"/>
      <c r="N211" s="754"/>
      <c r="O211" s="754"/>
      <c r="P211" s="12"/>
      <c r="Q211" s="12"/>
      <c r="R211" s="12"/>
      <c r="S211" s="12"/>
      <c r="T211" s="12"/>
      <c r="U211" s="12"/>
      <c r="V211" s="16"/>
      <c r="W211" s="16"/>
    </row>
    <row r="212" spans="1:23" ht="19.5" customHeight="1">
      <c r="A212" s="212"/>
      <c r="B212" s="159"/>
      <c r="C212" s="213"/>
      <c r="D212" s="10" t="s">
        <v>88</v>
      </c>
      <c r="E212" s="11"/>
      <c r="F212" s="10" t="s">
        <v>159</v>
      </c>
      <c r="G212" s="11"/>
      <c r="H212" s="17"/>
      <c r="I212" s="758"/>
      <c r="J212" s="712"/>
      <c r="K212" s="752"/>
      <c r="L212" s="753"/>
      <c r="M212" s="753"/>
      <c r="N212" s="754"/>
      <c r="O212" s="754"/>
      <c r="P212" s="12"/>
      <c r="Q212" s="12"/>
      <c r="R212" s="12"/>
      <c r="S212" s="12"/>
      <c r="T212" s="12"/>
      <c r="U212" s="12"/>
      <c r="V212" s="16"/>
      <c r="W212" s="16"/>
    </row>
    <row r="213" spans="1:23" ht="19.5" customHeight="1">
      <c r="A213" s="214"/>
      <c r="B213" s="161"/>
      <c r="C213" s="215"/>
      <c r="D213" s="12" t="s">
        <v>91</v>
      </c>
      <c r="E213" s="11" t="s">
        <v>90</v>
      </c>
      <c r="F213" s="12" t="s">
        <v>91</v>
      </c>
      <c r="G213" s="11" t="s">
        <v>90</v>
      </c>
      <c r="H213" s="17"/>
      <c r="I213" s="767"/>
      <c r="J213" s="712"/>
      <c r="K213" s="752"/>
      <c r="L213" s="753"/>
      <c r="M213" s="753"/>
      <c r="N213" s="754"/>
      <c r="O213" s="754"/>
      <c r="P213" s="12"/>
      <c r="Q213" s="12"/>
      <c r="R213" s="12"/>
      <c r="S213" s="12"/>
      <c r="T213" s="12"/>
      <c r="U213" s="12"/>
      <c r="V213" s="16"/>
      <c r="W213" s="16"/>
    </row>
    <row r="214" spans="1:23" ht="24" customHeight="1">
      <c r="A214" s="216" t="s">
        <v>93</v>
      </c>
      <c r="B214" s="217" t="s">
        <v>99</v>
      </c>
      <c r="C214" s="218" t="s">
        <v>94</v>
      </c>
      <c r="D214" s="219" t="s">
        <v>95</v>
      </c>
      <c r="E214" s="220" t="s">
        <v>96</v>
      </c>
      <c r="F214" s="219" t="s">
        <v>95</v>
      </c>
      <c r="G214" s="220" t="s">
        <v>96</v>
      </c>
      <c r="H214" s="17"/>
      <c r="I214" s="758"/>
      <c r="J214" s="712"/>
      <c r="K214" s="752"/>
      <c r="L214" s="753"/>
      <c r="M214" s="753"/>
      <c r="N214" s="754"/>
      <c r="O214" s="754"/>
      <c r="P214" s="12"/>
      <c r="Q214" s="12"/>
      <c r="R214" s="12"/>
      <c r="S214" s="12"/>
      <c r="T214" s="12"/>
      <c r="U214" s="12"/>
      <c r="V214" s="16"/>
      <c r="W214" s="16"/>
    </row>
    <row r="215" spans="1:23" s="50" customFormat="1" ht="21" customHeight="1">
      <c r="A215" s="678">
        <v>758</v>
      </c>
      <c r="B215" s="683">
        <v>75818</v>
      </c>
      <c r="C215" s="685"/>
      <c r="D215" s="693">
        <f>SUM(D216:D217)</f>
        <v>80600</v>
      </c>
      <c r="E215" s="686"/>
      <c r="F215" s="693">
        <f>SUM(F216:F217)</f>
        <v>0</v>
      </c>
      <c r="G215" s="686"/>
      <c r="H215" s="694"/>
      <c r="I215" s="774"/>
      <c r="J215" s="778"/>
      <c r="K215" s="779"/>
      <c r="L215" s="780"/>
      <c r="M215" s="780"/>
      <c r="N215" s="781"/>
      <c r="O215" s="781"/>
      <c r="P215" s="782"/>
      <c r="Q215" s="782"/>
      <c r="R215" s="782"/>
      <c r="S215" s="782"/>
      <c r="T215" s="782"/>
      <c r="U215" s="782"/>
      <c r="V215" s="695"/>
      <c r="W215" s="695"/>
    </row>
    <row r="216" spans="1:23" s="50" customFormat="1" ht="18.75" customHeight="1">
      <c r="A216" s="682"/>
      <c r="B216" s="680"/>
      <c r="C216" s="276" t="s">
        <v>196</v>
      </c>
      <c r="D216" s="522">
        <f>70000+2500</f>
        <v>72500</v>
      </c>
      <c r="E216" s="684"/>
      <c r="F216" s="522"/>
      <c r="G216" s="684"/>
      <c r="H216" s="694"/>
      <c r="I216" s="783"/>
      <c r="J216" s="778"/>
      <c r="K216" s="784"/>
      <c r="L216" s="780"/>
      <c r="M216" s="780"/>
      <c r="N216" s="781"/>
      <c r="O216" s="781"/>
      <c r="P216" s="782"/>
      <c r="Q216" s="782"/>
      <c r="R216" s="782"/>
      <c r="S216" s="782"/>
      <c r="T216" s="782"/>
      <c r="U216" s="782"/>
      <c r="V216" s="695"/>
      <c r="W216" s="695"/>
    </row>
    <row r="217" spans="1:21" s="366" customFormat="1" ht="19.5" customHeight="1">
      <c r="A217" s="687"/>
      <c r="B217" s="394"/>
      <c r="C217" s="364">
        <v>6800</v>
      </c>
      <c r="D217" s="365">
        <v>8100</v>
      </c>
      <c r="E217" s="365"/>
      <c r="F217" s="365"/>
      <c r="G217" s="365"/>
      <c r="I217" s="785"/>
      <c r="J217" s="785"/>
      <c r="K217" s="785"/>
      <c r="L217" s="785"/>
      <c r="M217" s="785"/>
      <c r="N217" s="786"/>
      <c r="O217" s="786"/>
      <c r="P217" s="787"/>
      <c r="Q217" s="787"/>
      <c r="R217" s="787"/>
      <c r="S217" s="787"/>
      <c r="T217" s="787"/>
      <c r="U217" s="787"/>
    </row>
    <row r="218" spans="1:21" s="34" customFormat="1" ht="19.5" customHeight="1">
      <c r="A218" s="679">
        <v>801</v>
      </c>
      <c r="B218" s="681"/>
      <c r="C218" s="370"/>
      <c r="D218" s="32">
        <f>D219+D223</f>
        <v>840</v>
      </c>
      <c r="E218" s="32"/>
      <c r="F218" s="32">
        <f>F219+F223</f>
        <v>6933</v>
      </c>
      <c r="G218" s="32"/>
      <c r="I218" s="748"/>
      <c r="J218" s="748"/>
      <c r="K218" s="748"/>
      <c r="L218" s="748"/>
      <c r="M218" s="748"/>
      <c r="N218" s="749"/>
      <c r="O218" s="749"/>
      <c r="P218" s="750"/>
      <c r="Q218" s="750"/>
      <c r="R218" s="750"/>
      <c r="S218" s="750"/>
      <c r="T218" s="750"/>
      <c r="U218" s="750"/>
    </row>
    <row r="219" spans="1:21" s="366" customFormat="1" ht="19.5" customHeight="1">
      <c r="A219" s="392"/>
      <c r="B219" s="395">
        <v>80130</v>
      </c>
      <c r="C219" s="521"/>
      <c r="D219" s="365">
        <f>SUM(D220:D222)</f>
        <v>840</v>
      </c>
      <c r="E219" s="365"/>
      <c r="F219" s="365">
        <f>SUM(F220:F222)</f>
        <v>1352</v>
      </c>
      <c r="G219" s="365"/>
      <c r="I219" s="785"/>
      <c r="J219" s="785"/>
      <c r="K219" s="785"/>
      <c r="L219" s="785"/>
      <c r="M219" s="785"/>
      <c r="N219" s="786"/>
      <c r="O219" s="786"/>
      <c r="P219" s="787"/>
      <c r="Q219" s="787"/>
      <c r="R219" s="787"/>
      <c r="S219" s="787"/>
      <c r="T219" s="787"/>
      <c r="U219" s="787"/>
    </row>
    <row r="220" spans="1:21" s="366" customFormat="1" ht="19.5" customHeight="1">
      <c r="A220" s="392"/>
      <c r="B220" s="363"/>
      <c r="C220" s="364">
        <v>4210</v>
      </c>
      <c r="D220" s="365">
        <v>820</v>
      </c>
      <c r="E220" s="365"/>
      <c r="F220" s="365"/>
      <c r="G220" s="365"/>
      <c r="I220" s="785"/>
      <c r="J220" s="785"/>
      <c r="K220" s="785"/>
      <c r="L220" s="785"/>
      <c r="M220" s="785"/>
      <c r="N220" s="786"/>
      <c r="O220" s="786"/>
      <c r="P220" s="787"/>
      <c r="Q220" s="787"/>
      <c r="R220" s="787"/>
      <c r="S220" s="787"/>
      <c r="T220" s="787"/>
      <c r="U220" s="787"/>
    </row>
    <row r="221" spans="1:21" s="366" customFormat="1" ht="19.5" customHeight="1">
      <c r="A221" s="392"/>
      <c r="B221" s="395"/>
      <c r="C221" s="364">
        <v>4300</v>
      </c>
      <c r="D221" s="365"/>
      <c r="E221" s="365"/>
      <c r="F221" s="365">
        <v>1352</v>
      </c>
      <c r="G221" s="365"/>
      <c r="I221" s="785"/>
      <c r="J221" s="785"/>
      <c r="K221" s="785"/>
      <c r="L221" s="785"/>
      <c r="M221" s="785"/>
      <c r="N221" s="786"/>
      <c r="O221" s="786"/>
      <c r="P221" s="787"/>
      <c r="Q221" s="787"/>
      <c r="R221" s="787"/>
      <c r="S221" s="787"/>
      <c r="T221" s="787"/>
      <c r="U221" s="787"/>
    </row>
    <row r="222" spans="1:21" s="366" customFormat="1" ht="19.5" customHeight="1">
      <c r="A222" s="392"/>
      <c r="B222" s="394"/>
      <c r="C222" s="364">
        <v>4700</v>
      </c>
      <c r="D222" s="365">
        <v>20</v>
      </c>
      <c r="E222" s="365"/>
      <c r="F222" s="365"/>
      <c r="G222" s="365"/>
      <c r="I222" s="785"/>
      <c r="J222" s="785"/>
      <c r="K222" s="785"/>
      <c r="L222" s="785"/>
      <c r="M222" s="785"/>
      <c r="N222" s="786"/>
      <c r="O222" s="786"/>
      <c r="P222" s="787"/>
      <c r="Q222" s="787"/>
      <c r="R222" s="787"/>
      <c r="S222" s="787"/>
      <c r="T222" s="787"/>
      <c r="U222" s="787"/>
    </row>
    <row r="223" spans="1:21" s="366" customFormat="1" ht="19.5" customHeight="1">
      <c r="A223" s="392"/>
      <c r="B223" s="395">
        <v>80195</v>
      </c>
      <c r="C223" s="385">
        <v>4440</v>
      </c>
      <c r="D223" s="365"/>
      <c r="E223" s="365"/>
      <c r="F223" s="365">
        <v>5581</v>
      </c>
      <c r="G223" s="365"/>
      <c r="I223" s="785"/>
      <c r="J223" s="785"/>
      <c r="K223" s="785"/>
      <c r="L223" s="785"/>
      <c r="M223" s="785"/>
      <c r="N223" s="786"/>
      <c r="O223" s="786"/>
      <c r="P223" s="787"/>
      <c r="Q223" s="787"/>
      <c r="R223" s="787"/>
      <c r="S223" s="787"/>
      <c r="T223" s="787"/>
      <c r="U223" s="787"/>
    </row>
    <row r="224" spans="1:21" s="366" customFormat="1" ht="19.5" customHeight="1">
      <c r="A224" s="30">
        <v>852</v>
      </c>
      <c r="B224" s="30">
        <v>85201</v>
      </c>
      <c r="C224" s="30">
        <v>4330</v>
      </c>
      <c r="D224" s="32"/>
      <c r="E224" s="32"/>
      <c r="F224" s="32">
        <v>70000</v>
      </c>
      <c r="G224" s="32"/>
      <c r="I224" s="785"/>
      <c r="J224" s="785"/>
      <c r="K224" s="785"/>
      <c r="L224" s="785"/>
      <c r="M224" s="785"/>
      <c r="N224" s="786"/>
      <c r="O224" s="786"/>
      <c r="P224" s="787"/>
      <c r="Q224" s="787"/>
      <c r="R224" s="787"/>
      <c r="S224" s="787"/>
      <c r="T224" s="787"/>
      <c r="U224" s="787"/>
    </row>
    <row r="225" spans="1:21" s="366" customFormat="1" ht="19.5" customHeight="1">
      <c r="A225" s="383">
        <v>853</v>
      </c>
      <c r="B225" s="30">
        <v>85395</v>
      </c>
      <c r="C225" s="370">
        <v>2360</v>
      </c>
      <c r="D225" s="32"/>
      <c r="E225" s="32"/>
      <c r="F225" s="32">
        <v>145852.89</v>
      </c>
      <c r="G225" s="32"/>
      <c r="I225" s="785"/>
      <c r="J225" s="785"/>
      <c r="K225" s="785"/>
      <c r="L225" s="785"/>
      <c r="M225" s="785"/>
      <c r="N225" s="786"/>
      <c r="O225" s="786"/>
      <c r="P225" s="787"/>
      <c r="Q225" s="787"/>
      <c r="R225" s="787"/>
      <c r="S225" s="787"/>
      <c r="T225" s="787"/>
      <c r="U225" s="787"/>
    </row>
    <row r="226" spans="1:21" s="34" customFormat="1" ht="19.5" customHeight="1">
      <c r="A226" s="383">
        <v>854</v>
      </c>
      <c r="B226" s="30"/>
      <c r="C226" s="370"/>
      <c r="D226" s="32">
        <f>D227+D230</f>
        <v>2475</v>
      </c>
      <c r="E226" s="32"/>
      <c r="F226" s="32">
        <f>F227+F230</f>
        <v>5815</v>
      </c>
      <c r="G226" s="32"/>
      <c r="I226" s="748"/>
      <c r="J226" s="748"/>
      <c r="K226" s="748"/>
      <c r="L226" s="748"/>
      <c r="M226" s="748"/>
      <c r="N226" s="749"/>
      <c r="O226" s="749"/>
      <c r="P226" s="750"/>
      <c r="Q226" s="750"/>
      <c r="R226" s="750"/>
      <c r="S226" s="750"/>
      <c r="T226" s="750"/>
      <c r="U226" s="750"/>
    </row>
    <row r="227" spans="1:21" s="366" customFormat="1" ht="19.5" customHeight="1">
      <c r="A227" s="392"/>
      <c r="B227" s="395">
        <v>85401</v>
      </c>
      <c r="C227" s="521"/>
      <c r="D227" s="365"/>
      <c r="E227" s="365"/>
      <c r="F227" s="365">
        <f>SUM(D228:F229)</f>
        <v>840</v>
      </c>
      <c r="G227" s="365"/>
      <c r="I227" s="785"/>
      <c r="J227" s="785"/>
      <c r="K227" s="785"/>
      <c r="L227" s="785"/>
      <c r="M227" s="785"/>
      <c r="N227" s="786"/>
      <c r="O227" s="786"/>
      <c r="P227" s="787"/>
      <c r="Q227" s="787"/>
      <c r="R227" s="787"/>
      <c r="S227" s="787"/>
      <c r="T227" s="787"/>
      <c r="U227" s="787"/>
    </row>
    <row r="228" spans="1:21" s="366" customFormat="1" ht="19.5" customHeight="1">
      <c r="A228" s="392"/>
      <c r="B228" s="363"/>
      <c r="C228" s="521">
        <v>4210</v>
      </c>
      <c r="D228" s="365"/>
      <c r="E228" s="365"/>
      <c r="F228" s="365">
        <v>820</v>
      </c>
      <c r="G228" s="365"/>
      <c r="I228" s="785"/>
      <c r="J228" s="785"/>
      <c r="K228" s="785"/>
      <c r="L228" s="785"/>
      <c r="M228" s="785"/>
      <c r="N228" s="786"/>
      <c r="O228" s="786"/>
      <c r="P228" s="787"/>
      <c r="Q228" s="787"/>
      <c r="R228" s="787"/>
      <c r="S228" s="787"/>
      <c r="T228" s="787"/>
      <c r="U228" s="787"/>
    </row>
    <row r="229" spans="1:21" s="366" customFormat="1" ht="19.5" customHeight="1">
      <c r="A229" s="392"/>
      <c r="B229" s="395"/>
      <c r="C229" s="689">
        <v>4700</v>
      </c>
      <c r="D229" s="523"/>
      <c r="E229" s="523"/>
      <c r="F229" s="523">
        <v>20</v>
      </c>
      <c r="G229" s="522"/>
      <c r="H229" s="524"/>
      <c r="I229" s="785"/>
      <c r="J229" s="785"/>
      <c r="K229" s="785"/>
      <c r="L229" s="785"/>
      <c r="M229" s="785"/>
      <c r="N229" s="786"/>
      <c r="O229" s="786"/>
      <c r="P229" s="787"/>
      <c r="Q229" s="787"/>
      <c r="R229" s="787"/>
      <c r="S229" s="787"/>
      <c r="T229" s="787"/>
      <c r="U229" s="787"/>
    </row>
    <row r="230" spans="1:21" s="366" customFormat="1" ht="19.5" customHeight="1">
      <c r="A230" s="392"/>
      <c r="B230" s="559">
        <v>85403</v>
      </c>
      <c r="C230" s="689"/>
      <c r="D230" s="688">
        <f>SUM(D231:D232)</f>
        <v>2475</v>
      </c>
      <c r="E230" s="688"/>
      <c r="F230" s="688">
        <f>SUM(F231:F232)</f>
        <v>4975</v>
      </c>
      <c r="G230" s="365"/>
      <c r="H230" s="524"/>
      <c r="I230" s="785"/>
      <c r="J230" s="785"/>
      <c r="K230" s="785"/>
      <c r="L230" s="785"/>
      <c r="M230" s="785"/>
      <c r="N230" s="786"/>
      <c r="O230" s="786"/>
      <c r="P230" s="787"/>
      <c r="Q230" s="787"/>
      <c r="R230" s="787"/>
      <c r="S230" s="787"/>
      <c r="T230" s="787"/>
      <c r="U230" s="787"/>
    </row>
    <row r="231" spans="1:21" s="366" customFormat="1" ht="19.5" customHeight="1">
      <c r="A231" s="392"/>
      <c r="B231" s="395"/>
      <c r="C231" s="689">
        <v>4220</v>
      </c>
      <c r="D231" s="688">
        <v>2475</v>
      </c>
      <c r="E231" s="688"/>
      <c r="F231" s="688"/>
      <c r="G231" s="365"/>
      <c r="H231" s="524"/>
      <c r="I231" s="785"/>
      <c r="J231" s="785"/>
      <c r="K231" s="785"/>
      <c r="L231" s="785"/>
      <c r="M231" s="785"/>
      <c r="N231" s="786"/>
      <c r="O231" s="786"/>
      <c r="P231" s="787"/>
      <c r="Q231" s="787"/>
      <c r="R231" s="787"/>
      <c r="S231" s="787"/>
      <c r="T231" s="787"/>
      <c r="U231" s="787"/>
    </row>
    <row r="232" spans="1:21" s="366" customFormat="1" ht="19.5" customHeight="1">
      <c r="A232" s="392"/>
      <c r="B232" s="395"/>
      <c r="C232" s="689">
        <v>4390</v>
      </c>
      <c r="D232" s="688"/>
      <c r="E232" s="688"/>
      <c r="F232" s="688">
        <v>4975</v>
      </c>
      <c r="G232" s="365"/>
      <c r="H232" s="524"/>
      <c r="I232" s="785"/>
      <c r="J232" s="785"/>
      <c r="K232" s="785"/>
      <c r="L232" s="785"/>
      <c r="M232" s="785"/>
      <c r="N232" s="786"/>
      <c r="O232" s="786"/>
      <c r="P232" s="787"/>
      <c r="Q232" s="787"/>
      <c r="R232" s="787"/>
      <c r="S232" s="787"/>
      <c r="T232" s="787"/>
      <c r="U232" s="787"/>
    </row>
    <row r="233" spans="1:23" s="3" customFormat="1" ht="19.5" customHeight="1">
      <c r="A233" s="690" t="s">
        <v>97</v>
      </c>
      <c r="B233" s="276"/>
      <c r="C233" s="276"/>
      <c r="D233" s="33">
        <f>D215+D218+D224+D225+D226</f>
        <v>83915</v>
      </c>
      <c r="E233" s="33">
        <f>E215+E218+E224+E225+E226</f>
        <v>0</v>
      </c>
      <c r="F233" s="33">
        <f>F215+F218+F224+F225+F226</f>
        <v>228600.89</v>
      </c>
      <c r="G233" s="33">
        <f>G215+G218+G224+G225+G226</f>
        <v>0</v>
      </c>
      <c r="H233" s="20"/>
      <c r="I233" s="774"/>
      <c r="J233" s="531"/>
      <c r="K233" s="531"/>
      <c r="L233" s="775"/>
      <c r="M233" s="775"/>
      <c r="N233" s="27"/>
      <c r="O233" s="27"/>
      <c r="P233" s="27"/>
      <c r="Q233" s="27"/>
      <c r="R233" s="27"/>
      <c r="S233" s="27"/>
      <c r="T233" s="27"/>
      <c r="U233" s="27"/>
      <c r="V233" s="25"/>
      <c r="W233" s="25"/>
    </row>
    <row r="234" spans="1:23" s="3" customFormat="1" ht="19.5" customHeight="1">
      <c r="A234" s="209"/>
      <c r="B234" s="210"/>
      <c r="C234" s="210"/>
      <c r="D234" s="27"/>
      <c r="E234" s="27"/>
      <c r="F234" s="27"/>
      <c r="G234" s="27"/>
      <c r="H234" s="20"/>
      <c r="I234" s="774"/>
      <c r="J234" s="531"/>
      <c r="K234" s="531"/>
      <c r="L234" s="775"/>
      <c r="M234" s="775"/>
      <c r="N234" s="27"/>
      <c r="O234" s="27"/>
      <c r="P234" s="27"/>
      <c r="Q234" s="27"/>
      <c r="R234" s="27"/>
      <c r="S234" s="27"/>
      <c r="T234" s="27"/>
      <c r="U234" s="27"/>
      <c r="V234" s="25"/>
      <c r="W234" s="25"/>
    </row>
    <row r="235" spans="1:23" s="3" customFormat="1" ht="19.5" customHeight="1">
      <c r="A235" s="209"/>
      <c r="B235" s="210"/>
      <c r="C235" s="210"/>
      <c r="D235" s="27"/>
      <c r="E235" s="27"/>
      <c r="F235" s="27"/>
      <c r="G235" s="27"/>
      <c r="H235" s="20"/>
      <c r="I235" s="774"/>
      <c r="J235" s="531"/>
      <c r="K235" s="531"/>
      <c r="L235" s="775"/>
      <c r="M235" s="775"/>
      <c r="N235" s="27"/>
      <c r="O235" s="27"/>
      <c r="P235" s="27"/>
      <c r="Q235" s="27"/>
      <c r="R235" s="27"/>
      <c r="S235" s="27"/>
      <c r="T235" s="27"/>
      <c r="U235" s="27"/>
      <c r="V235" s="25"/>
      <c r="W235" s="25"/>
    </row>
    <row r="236" spans="1:23" s="3" customFormat="1" ht="19.5" customHeight="1">
      <c r="A236" s="135"/>
      <c r="B236" s="210"/>
      <c r="C236" s="188"/>
      <c r="D236" s="16"/>
      <c r="E236" s="16"/>
      <c r="F236" s="27"/>
      <c r="G236" s="27"/>
      <c r="H236" s="20"/>
      <c r="I236" s="774"/>
      <c r="J236" s="775"/>
      <c r="K236" s="531"/>
      <c r="L236" s="775"/>
      <c r="M236" s="775"/>
      <c r="N236" s="27"/>
      <c r="O236" s="27"/>
      <c r="P236" s="27"/>
      <c r="Q236" s="27"/>
      <c r="R236" s="27"/>
      <c r="S236" s="27"/>
      <c r="T236" s="27"/>
      <c r="U236" s="27"/>
      <c r="V236" s="25"/>
      <c r="W236" s="25"/>
    </row>
    <row r="237" spans="1:23" s="3" customFormat="1" ht="19.5" customHeight="1">
      <c r="A237" s="222" t="s">
        <v>476</v>
      </c>
      <c r="B237" s="187"/>
      <c r="C237" s="188"/>
      <c r="D237" s="16"/>
      <c r="E237" s="16"/>
      <c r="F237" s="27"/>
      <c r="G237" s="27"/>
      <c r="H237" s="20"/>
      <c r="I237" s="774"/>
      <c r="J237" s="775"/>
      <c r="K237" s="531"/>
      <c r="L237" s="775"/>
      <c r="M237" s="775"/>
      <c r="N237" s="27"/>
      <c r="O237" s="27"/>
      <c r="P237" s="27"/>
      <c r="Q237" s="27"/>
      <c r="R237" s="27"/>
      <c r="S237" s="27"/>
      <c r="T237" s="27"/>
      <c r="U237" s="27"/>
      <c r="V237" s="25"/>
      <c r="W237" s="25"/>
    </row>
    <row r="238" spans="1:23" s="3" customFormat="1" ht="19.5" customHeight="1">
      <c r="A238" s="223" t="s">
        <v>275</v>
      </c>
      <c r="B238" s="187"/>
      <c r="C238" s="224"/>
      <c r="D238" s="22"/>
      <c r="E238" s="16"/>
      <c r="F238" s="27"/>
      <c r="G238" s="27"/>
      <c r="H238" s="20"/>
      <c r="I238" s="774"/>
      <c r="J238" s="775"/>
      <c r="K238" s="531"/>
      <c r="L238" s="775"/>
      <c r="M238" s="775"/>
      <c r="N238" s="27"/>
      <c r="O238" s="27"/>
      <c r="P238" s="27"/>
      <c r="Q238" s="27"/>
      <c r="R238" s="27"/>
      <c r="S238" s="27"/>
      <c r="T238" s="27"/>
      <c r="U238" s="27"/>
      <c r="V238" s="25"/>
      <c r="W238" s="25"/>
    </row>
    <row r="239" spans="1:23" s="3" customFormat="1" ht="19.5" customHeight="1">
      <c r="A239" s="222"/>
      <c r="B239" s="187"/>
      <c r="C239" s="224"/>
      <c r="D239" s="22"/>
      <c r="E239" s="16"/>
      <c r="F239" s="27"/>
      <c r="G239" s="27"/>
      <c r="H239" s="20"/>
      <c r="I239" s="774"/>
      <c r="J239" s="775"/>
      <c r="K239" s="531"/>
      <c r="L239" s="775"/>
      <c r="M239" s="775"/>
      <c r="N239" s="27"/>
      <c r="O239" s="27"/>
      <c r="P239" s="27"/>
      <c r="Q239" s="27"/>
      <c r="R239" s="27"/>
      <c r="S239" s="27"/>
      <c r="T239" s="27"/>
      <c r="U239" s="27"/>
      <c r="V239" s="25"/>
      <c r="W239" s="25"/>
    </row>
    <row r="240" spans="1:23" s="3" customFormat="1" ht="19.5" customHeight="1">
      <c r="A240" s="222"/>
      <c r="B240" s="187"/>
      <c r="C240" s="224"/>
      <c r="D240" s="22"/>
      <c r="E240" s="16"/>
      <c r="F240" s="27"/>
      <c r="G240" s="27"/>
      <c r="H240" s="20"/>
      <c r="I240" s="774"/>
      <c r="J240" s="775"/>
      <c r="K240" s="531"/>
      <c r="L240" s="775"/>
      <c r="M240" s="775"/>
      <c r="N240" s="27"/>
      <c r="O240" s="27"/>
      <c r="P240" s="27"/>
      <c r="Q240" s="27"/>
      <c r="R240" s="27"/>
      <c r="S240" s="27"/>
      <c r="T240" s="27"/>
      <c r="U240" s="27"/>
      <c r="V240" s="25"/>
      <c r="W240" s="25"/>
    </row>
    <row r="241" spans="1:23" s="3" customFormat="1" ht="19.5" customHeight="1">
      <c r="A241" s="225" t="s">
        <v>160</v>
      </c>
      <c r="B241" s="226"/>
      <c r="C241" s="210"/>
      <c r="D241" s="88"/>
      <c r="E241" s="88"/>
      <c r="F241" s="88"/>
      <c r="G241" s="88"/>
      <c r="H241" s="89"/>
      <c r="I241" s="774"/>
      <c r="J241" s="778"/>
      <c r="K241" s="531"/>
      <c r="L241" s="778"/>
      <c r="M241" s="778"/>
      <c r="N241" s="88"/>
      <c r="O241" s="88"/>
      <c r="P241" s="88"/>
      <c r="Q241" s="88"/>
      <c r="R241" s="88"/>
      <c r="S241" s="88"/>
      <c r="T241" s="88"/>
      <c r="U241" s="88"/>
      <c r="V241" s="89"/>
      <c r="W241" s="89"/>
    </row>
    <row r="242" spans="1:23" s="3" customFormat="1" ht="19.5" customHeight="1">
      <c r="A242" s="225"/>
      <c r="B242" s="226"/>
      <c r="C242" s="210"/>
      <c r="D242" s="88"/>
      <c r="E242" s="88"/>
      <c r="F242" s="88"/>
      <c r="G242" s="88"/>
      <c r="H242" s="89"/>
      <c r="I242" s="774"/>
      <c r="J242" s="778"/>
      <c r="K242" s="531"/>
      <c r="L242" s="778"/>
      <c r="M242" s="778"/>
      <c r="N242" s="88"/>
      <c r="O242" s="88"/>
      <c r="P242" s="88"/>
      <c r="Q242" s="88"/>
      <c r="R242" s="88"/>
      <c r="S242" s="88"/>
      <c r="T242" s="88"/>
      <c r="U242" s="88"/>
      <c r="V242" s="89"/>
      <c r="W242" s="89"/>
    </row>
    <row r="243" spans="1:23" s="3" customFormat="1" ht="19.5" customHeight="1">
      <c r="A243" s="227" t="s">
        <v>287</v>
      </c>
      <c r="B243" s="226"/>
      <c r="C243" s="210"/>
      <c r="D243" s="88"/>
      <c r="E243" s="88"/>
      <c r="F243" s="88"/>
      <c r="G243" s="88"/>
      <c r="H243" s="25">
        <f>H245+H250+H254</f>
        <v>732122</v>
      </c>
      <c r="I243" s="774"/>
      <c r="J243" s="778"/>
      <c r="K243" s="531"/>
      <c r="L243" s="778"/>
      <c r="M243" s="778"/>
      <c r="N243" s="88"/>
      <c r="O243" s="88"/>
      <c r="P243" s="88"/>
      <c r="Q243" s="88"/>
      <c r="R243" s="88"/>
      <c r="S243" s="88"/>
      <c r="T243" s="88"/>
      <c r="U243" s="88"/>
      <c r="V243" s="89"/>
      <c r="W243" s="89"/>
    </row>
    <row r="244" spans="1:23" s="3" customFormat="1" ht="19.5" customHeight="1">
      <c r="A244" s="135" t="s">
        <v>90</v>
      </c>
      <c r="B244" s="226"/>
      <c r="C244" s="210"/>
      <c r="D244" s="88"/>
      <c r="E244" s="88"/>
      <c r="F244" s="88"/>
      <c r="G244" s="88"/>
      <c r="H244" s="89"/>
      <c r="I244" s="774"/>
      <c r="J244" s="778"/>
      <c r="K244" s="531"/>
      <c r="L244" s="778"/>
      <c r="M244" s="778"/>
      <c r="N244" s="88"/>
      <c r="O244" s="88"/>
      <c r="P244" s="88"/>
      <c r="Q244" s="88"/>
      <c r="R244" s="88"/>
      <c r="S244" s="88"/>
      <c r="T244" s="88"/>
      <c r="U244" s="88"/>
      <c r="V244" s="89"/>
      <c r="W244" s="89"/>
    </row>
    <row r="245" spans="1:23" s="3" customFormat="1" ht="19.5" customHeight="1">
      <c r="A245" s="190" t="s">
        <v>375</v>
      </c>
      <c r="B245" s="226"/>
      <c r="C245" s="210"/>
      <c r="D245" s="88"/>
      <c r="E245" s="88"/>
      <c r="F245" s="88"/>
      <c r="G245" s="88"/>
      <c r="H245" s="25">
        <f>H247+H248</f>
        <v>707000</v>
      </c>
      <c r="I245" s="774"/>
      <c r="J245" s="778"/>
      <c r="K245" s="531"/>
      <c r="L245" s="778"/>
      <c r="M245" s="778"/>
      <c r="N245" s="88"/>
      <c r="O245" s="88"/>
      <c r="P245" s="88"/>
      <c r="Q245" s="88"/>
      <c r="R245" s="88"/>
      <c r="S245" s="88"/>
      <c r="T245" s="88"/>
      <c r="U245" s="88"/>
      <c r="V245" s="89"/>
      <c r="W245" s="89"/>
    </row>
    <row r="246" spans="1:23" s="3" customFormat="1" ht="19.5" customHeight="1">
      <c r="A246" s="135" t="s">
        <v>90</v>
      </c>
      <c r="B246" s="226"/>
      <c r="C246" s="210"/>
      <c r="D246" s="88"/>
      <c r="E246" s="88"/>
      <c r="F246" s="88"/>
      <c r="G246" s="88"/>
      <c r="H246" s="89"/>
      <c r="I246" s="774"/>
      <c r="J246" s="778"/>
      <c r="K246" s="531"/>
      <c r="L246" s="778"/>
      <c r="M246" s="778"/>
      <c r="N246" s="88"/>
      <c r="O246" s="88"/>
      <c r="P246" s="88"/>
      <c r="Q246" s="88"/>
      <c r="R246" s="88"/>
      <c r="S246" s="88"/>
      <c r="T246" s="88"/>
      <c r="U246" s="88"/>
      <c r="V246" s="89"/>
      <c r="W246" s="89"/>
    </row>
    <row r="247" spans="1:23" s="3" customFormat="1" ht="19.5" customHeight="1">
      <c r="A247" s="135"/>
      <c r="B247" s="226" t="s">
        <v>204</v>
      </c>
      <c r="C247" s="210"/>
      <c r="D247" s="88"/>
      <c r="E247" s="88"/>
      <c r="F247" s="88"/>
      <c r="G247" s="88"/>
      <c r="H247" s="89">
        <v>700000</v>
      </c>
      <c r="I247" s="774"/>
      <c r="J247" s="778"/>
      <c r="K247" s="531"/>
      <c r="L247" s="778"/>
      <c r="M247" s="778"/>
      <c r="N247" s="88"/>
      <c r="O247" s="88"/>
      <c r="P247" s="88"/>
      <c r="Q247" s="88"/>
      <c r="R247" s="88"/>
      <c r="S247" s="88"/>
      <c r="T247" s="88"/>
      <c r="U247" s="88"/>
      <c r="V247" s="89"/>
      <c r="W247" s="89"/>
    </row>
    <row r="248" spans="1:23" s="3" customFormat="1" ht="19.5" customHeight="1">
      <c r="A248" s="135"/>
      <c r="B248" s="226" t="s">
        <v>205</v>
      </c>
      <c r="C248" s="210"/>
      <c r="D248" s="88"/>
      <c r="E248" s="88"/>
      <c r="F248" s="88"/>
      <c r="G248" s="88"/>
      <c r="H248" s="89">
        <v>7000</v>
      </c>
      <c r="I248" s="774"/>
      <c r="J248" s="778"/>
      <c r="K248" s="531"/>
      <c r="L248" s="778"/>
      <c r="M248" s="778"/>
      <c r="N248" s="88"/>
      <c r="O248" s="88"/>
      <c r="P248" s="88"/>
      <c r="Q248" s="88"/>
      <c r="R248" s="88"/>
      <c r="S248" s="88"/>
      <c r="T248" s="88"/>
      <c r="U248" s="88"/>
      <c r="V248" s="89"/>
      <c r="W248" s="89"/>
    </row>
    <row r="249" spans="1:23" s="3" customFormat="1" ht="19.5" customHeight="1">
      <c r="A249" s="135"/>
      <c r="B249" s="226"/>
      <c r="C249" s="210"/>
      <c r="D249" s="88"/>
      <c r="E249" s="88"/>
      <c r="F249" s="88"/>
      <c r="G249" s="88"/>
      <c r="H249" s="89"/>
      <c r="I249" s="774"/>
      <c r="J249" s="778"/>
      <c r="K249" s="531"/>
      <c r="L249" s="778"/>
      <c r="M249" s="778"/>
      <c r="N249" s="88"/>
      <c r="O249" s="88"/>
      <c r="P249" s="88"/>
      <c r="Q249" s="88"/>
      <c r="R249" s="88"/>
      <c r="S249" s="88"/>
      <c r="T249" s="88"/>
      <c r="U249" s="88"/>
      <c r="V249" s="89"/>
      <c r="W249" s="89"/>
    </row>
    <row r="250" spans="1:23" s="3" customFormat="1" ht="19.5" customHeight="1">
      <c r="A250" s="190" t="s">
        <v>2</v>
      </c>
      <c r="B250" s="221"/>
      <c r="C250" s="210"/>
      <c r="D250" s="88"/>
      <c r="E250" s="88"/>
      <c r="F250" s="88"/>
      <c r="G250" s="88"/>
      <c r="H250" s="25">
        <f>H252</f>
        <v>12122</v>
      </c>
      <c r="I250" s="774"/>
      <c r="J250" s="778"/>
      <c r="K250" s="531"/>
      <c r="L250" s="778"/>
      <c r="M250" s="778"/>
      <c r="N250" s="88"/>
      <c r="O250" s="88"/>
      <c r="P250" s="88"/>
      <c r="Q250" s="88"/>
      <c r="R250" s="88"/>
      <c r="S250" s="88"/>
      <c r="T250" s="88"/>
      <c r="U250" s="88"/>
      <c r="V250" s="89"/>
      <c r="W250" s="89"/>
    </row>
    <row r="251" spans="1:23" s="3" customFormat="1" ht="19.5" customHeight="1">
      <c r="A251" s="190" t="s">
        <v>90</v>
      </c>
      <c r="B251" s="221"/>
      <c r="C251" s="210"/>
      <c r="D251" s="88"/>
      <c r="E251" s="88"/>
      <c r="F251" s="88"/>
      <c r="G251" s="88"/>
      <c r="H251" s="89"/>
      <c r="I251" s="774"/>
      <c r="J251" s="778"/>
      <c r="K251" s="531"/>
      <c r="L251" s="778"/>
      <c r="M251" s="778"/>
      <c r="N251" s="88"/>
      <c r="O251" s="88"/>
      <c r="P251" s="88"/>
      <c r="Q251" s="88"/>
      <c r="R251" s="88"/>
      <c r="S251" s="88"/>
      <c r="T251" s="88"/>
      <c r="U251" s="88"/>
      <c r="V251" s="89"/>
      <c r="W251" s="89"/>
    </row>
    <row r="252" spans="1:23" s="3" customFormat="1" ht="19.5" customHeight="1">
      <c r="A252" s="135"/>
      <c r="B252" s="229" t="s">
        <v>120</v>
      </c>
      <c r="C252" s="230"/>
      <c r="D252" s="22"/>
      <c r="E252" s="16"/>
      <c r="F252" s="88"/>
      <c r="G252" s="88"/>
      <c r="H252" s="89">
        <v>12122</v>
      </c>
      <c r="I252" s="774"/>
      <c r="J252" s="778"/>
      <c r="K252" s="531"/>
      <c r="L252" s="778"/>
      <c r="M252" s="778"/>
      <c r="N252" s="88"/>
      <c r="O252" s="88"/>
      <c r="P252" s="88"/>
      <c r="Q252" s="88"/>
      <c r="R252" s="88"/>
      <c r="S252" s="88"/>
      <c r="T252" s="88"/>
      <c r="U252" s="88"/>
      <c r="V252" s="89"/>
      <c r="W252" s="89"/>
    </row>
    <row r="253" spans="1:23" s="3" customFormat="1" ht="19.5" customHeight="1">
      <c r="A253" s="135"/>
      <c r="B253" s="226"/>
      <c r="C253" s="210"/>
      <c r="D253" s="88"/>
      <c r="E253" s="88"/>
      <c r="F253" s="88"/>
      <c r="G253" s="88"/>
      <c r="H253" s="89"/>
      <c r="I253" s="774"/>
      <c r="J253" s="778"/>
      <c r="K253" s="531"/>
      <c r="L253" s="778"/>
      <c r="M253" s="778"/>
      <c r="N253" s="88"/>
      <c r="O253" s="88"/>
      <c r="P253" s="88"/>
      <c r="Q253" s="88"/>
      <c r="R253" s="88"/>
      <c r="S253" s="88"/>
      <c r="T253" s="88"/>
      <c r="U253" s="88"/>
      <c r="V253" s="89"/>
      <c r="W253" s="89"/>
    </row>
    <row r="254" spans="1:23" s="3" customFormat="1" ht="19.5" customHeight="1">
      <c r="A254" s="190" t="s">
        <v>374</v>
      </c>
      <c r="B254" s="226"/>
      <c r="C254" s="210"/>
      <c r="D254" s="88"/>
      <c r="E254" s="88"/>
      <c r="F254" s="88"/>
      <c r="G254" s="88"/>
      <c r="H254" s="25">
        <f>H256</f>
        <v>13000</v>
      </c>
      <c r="I254" s="774"/>
      <c r="J254" s="778"/>
      <c r="K254" s="531"/>
      <c r="L254" s="778"/>
      <c r="M254" s="778"/>
      <c r="N254" s="88"/>
      <c r="O254" s="88"/>
      <c r="P254" s="88"/>
      <c r="Q254" s="88"/>
      <c r="R254" s="88"/>
      <c r="S254" s="88"/>
      <c r="T254" s="88"/>
      <c r="U254" s="88"/>
      <c r="V254" s="89"/>
      <c r="W254" s="89"/>
    </row>
    <row r="255" spans="1:23" s="3" customFormat="1" ht="19.5" customHeight="1">
      <c r="A255" s="135" t="s">
        <v>90</v>
      </c>
      <c r="B255" s="226"/>
      <c r="C255" s="210"/>
      <c r="D255" s="88"/>
      <c r="E255" s="88"/>
      <c r="F255" s="88"/>
      <c r="G255" s="88"/>
      <c r="H255" s="89"/>
      <c r="I255" s="774"/>
      <c r="J255" s="778"/>
      <c r="K255" s="531"/>
      <c r="L255" s="778"/>
      <c r="M255" s="778"/>
      <c r="N255" s="88"/>
      <c r="O255" s="88"/>
      <c r="P255" s="88"/>
      <c r="Q255" s="88"/>
      <c r="R255" s="88"/>
      <c r="S255" s="88"/>
      <c r="T255" s="88"/>
      <c r="U255" s="88"/>
      <c r="V255" s="89"/>
      <c r="W255" s="89"/>
    </row>
    <row r="256" spans="1:23" s="3" customFormat="1" ht="19.5" customHeight="1">
      <c r="A256" s="135"/>
      <c r="B256" s="226" t="s">
        <v>225</v>
      </c>
      <c r="C256" s="210"/>
      <c r="D256" s="88"/>
      <c r="E256" s="88"/>
      <c r="F256" s="88"/>
      <c r="G256" s="88"/>
      <c r="H256" s="89">
        <v>13000</v>
      </c>
      <c r="I256" s="774"/>
      <c r="J256" s="778"/>
      <c r="K256" s="531"/>
      <c r="L256" s="778"/>
      <c r="M256" s="778"/>
      <c r="N256" s="88"/>
      <c r="O256" s="88"/>
      <c r="P256" s="88"/>
      <c r="Q256" s="88"/>
      <c r="R256" s="88"/>
      <c r="S256" s="88"/>
      <c r="T256" s="88"/>
      <c r="U256" s="88"/>
      <c r="V256" s="89"/>
      <c r="W256" s="89"/>
    </row>
    <row r="257" spans="1:23" s="3" customFormat="1" ht="19.5" customHeight="1">
      <c r="A257" s="135"/>
      <c r="B257" s="226"/>
      <c r="C257" s="210"/>
      <c r="D257" s="88"/>
      <c r="E257" s="88"/>
      <c r="F257" s="88"/>
      <c r="G257" s="88"/>
      <c r="H257" s="89"/>
      <c r="I257" s="774"/>
      <c r="J257" s="778"/>
      <c r="K257" s="531"/>
      <c r="L257" s="778"/>
      <c r="M257" s="778"/>
      <c r="N257" s="88"/>
      <c r="O257" s="88"/>
      <c r="P257" s="88"/>
      <c r="Q257" s="88"/>
      <c r="R257" s="88"/>
      <c r="S257" s="88"/>
      <c r="T257" s="88"/>
      <c r="U257" s="88"/>
      <c r="V257" s="89"/>
      <c r="W257" s="89"/>
    </row>
    <row r="258" spans="1:23" s="3" customFormat="1" ht="19.5" customHeight="1">
      <c r="A258" s="135"/>
      <c r="B258" s="210"/>
      <c r="C258" s="210"/>
      <c r="D258" s="88"/>
      <c r="E258" s="88"/>
      <c r="F258" s="88"/>
      <c r="G258" s="88"/>
      <c r="H258" s="89"/>
      <c r="I258" s="774"/>
      <c r="J258" s="778"/>
      <c r="K258" s="531"/>
      <c r="L258" s="778"/>
      <c r="M258" s="778"/>
      <c r="N258" s="88"/>
      <c r="O258" s="88"/>
      <c r="P258" s="88"/>
      <c r="Q258" s="88"/>
      <c r="R258" s="88"/>
      <c r="S258" s="88"/>
      <c r="T258" s="88"/>
      <c r="U258" s="88"/>
      <c r="V258" s="89"/>
      <c r="W258" s="89"/>
    </row>
    <row r="259" spans="1:23" s="3" customFormat="1" ht="19.5" customHeight="1">
      <c r="A259" s="227" t="s">
        <v>131</v>
      </c>
      <c r="B259" s="226"/>
      <c r="C259" s="228"/>
      <c r="D259" s="88"/>
      <c r="E259" s="88"/>
      <c r="F259" s="88"/>
      <c r="G259" s="88"/>
      <c r="H259" s="90">
        <f>H261+H275+H279</f>
        <v>62700</v>
      </c>
      <c r="I259" s="774"/>
      <c r="J259" s="778"/>
      <c r="K259" s="531"/>
      <c r="L259" s="778"/>
      <c r="M259" s="778"/>
      <c r="N259" s="88"/>
      <c r="O259" s="88"/>
      <c r="P259" s="88"/>
      <c r="Q259" s="88"/>
      <c r="R259" s="88"/>
      <c r="S259" s="88"/>
      <c r="T259" s="88"/>
      <c r="U259" s="88"/>
      <c r="V259" s="89"/>
      <c r="W259" s="89"/>
    </row>
    <row r="260" spans="1:23" s="3" customFormat="1" ht="19.5" customHeight="1">
      <c r="A260" s="135" t="s">
        <v>90</v>
      </c>
      <c r="B260" s="229"/>
      <c r="C260" s="230"/>
      <c r="D260" s="22"/>
      <c r="E260" s="16"/>
      <c r="F260" s="27"/>
      <c r="G260" s="27"/>
      <c r="H260" s="89"/>
      <c r="I260" s="774"/>
      <c r="J260" s="775"/>
      <c r="K260" s="531"/>
      <c r="L260" s="775"/>
      <c r="M260" s="775"/>
      <c r="N260" s="27"/>
      <c r="O260" s="27"/>
      <c r="P260" s="27"/>
      <c r="Q260" s="27"/>
      <c r="R260" s="27"/>
      <c r="S260" s="27"/>
      <c r="T260" s="27"/>
      <c r="U260" s="27"/>
      <c r="V260" s="25"/>
      <c r="W260" s="25"/>
    </row>
    <row r="261" spans="1:23" s="3" customFormat="1" ht="19.5" customHeight="1">
      <c r="A261" s="190" t="s">
        <v>449</v>
      </c>
      <c r="B261" s="221"/>
      <c r="C261" s="230"/>
      <c r="D261" s="22"/>
      <c r="E261" s="16"/>
      <c r="F261" s="27"/>
      <c r="G261" s="27"/>
      <c r="H261" s="25">
        <f>H263+H267</f>
        <v>29600</v>
      </c>
      <c r="I261" s="774"/>
      <c r="J261" s="775"/>
      <c r="K261" s="531"/>
      <c r="L261" s="775"/>
      <c r="M261" s="775"/>
      <c r="N261" s="27"/>
      <c r="O261" s="27"/>
      <c r="P261" s="27"/>
      <c r="Q261" s="27"/>
      <c r="R261" s="27"/>
      <c r="S261" s="27"/>
      <c r="T261" s="27"/>
      <c r="U261" s="27"/>
      <c r="V261" s="25"/>
      <c r="W261" s="25"/>
    </row>
    <row r="262" spans="1:23" s="3" customFormat="1" ht="19.5" customHeight="1">
      <c r="A262" s="135" t="s">
        <v>90</v>
      </c>
      <c r="B262" s="221"/>
      <c r="C262" s="230"/>
      <c r="D262" s="22"/>
      <c r="E262" s="16"/>
      <c r="F262" s="27"/>
      <c r="G262" s="27"/>
      <c r="H262" s="25"/>
      <c r="I262" s="774"/>
      <c r="J262" s="775"/>
      <c r="K262" s="531"/>
      <c r="L262" s="775"/>
      <c r="M262" s="775"/>
      <c r="N262" s="27"/>
      <c r="O262" s="27"/>
      <c r="P262" s="27"/>
      <c r="Q262" s="27"/>
      <c r="R262" s="27"/>
      <c r="S262" s="27"/>
      <c r="T262" s="27"/>
      <c r="U262" s="27"/>
      <c r="V262" s="25"/>
      <c r="W262" s="25"/>
    </row>
    <row r="263" spans="1:23" s="675" customFormat="1" ht="19.5" customHeight="1">
      <c r="A263" s="671" t="s">
        <v>447</v>
      </c>
      <c r="B263" s="672"/>
      <c r="C263" s="673"/>
      <c r="D263" s="396"/>
      <c r="E263" s="232"/>
      <c r="F263" s="674"/>
      <c r="G263" s="674"/>
      <c r="H263" s="90">
        <f>H265</f>
        <v>17600</v>
      </c>
      <c r="I263" s="788"/>
      <c r="J263" s="789"/>
      <c r="K263" s="790"/>
      <c r="L263" s="789"/>
      <c r="M263" s="789"/>
      <c r="N263" s="674"/>
      <c r="O263" s="674"/>
      <c r="P263" s="674"/>
      <c r="Q263" s="674"/>
      <c r="R263" s="674"/>
      <c r="S263" s="674"/>
      <c r="T263" s="674"/>
      <c r="U263" s="674"/>
      <c r="V263" s="90"/>
      <c r="W263" s="90"/>
    </row>
    <row r="264" spans="1:23" s="3" customFormat="1" ht="19.5" customHeight="1">
      <c r="A264" s="190"/>
      <c r="B264" s="221" t="s">
        <v>90</v>
      </c>
      <c r="C264" s="230"/>
      <c r="D264" s="22"/>
      <c r="E264" s="16"/>
      <c r="F264" s="27"/>
      <c r="G264" s="27"/>
      <c r="H264" s="25"/>
      <c r="I264" s="774"/>
      <c r="J264" s="775"/>
      <c r="K264" s="531"/>
      <c r="L264" s="775"/>
      <c r="M264" s="775"/>
      <c r="N264" s="27"/>
      <c r="O264" s="27"/>
      <c r="P264" s="27"/>
      <c r="Q264" s="27"/>
      <c r="R264" s="27"/>
      <c r="S264" s="27"/>
      <c r="T264" s="27"/>
      <c r="U264" s="27"/>
      <c r="V264" s="25"/>
      <c r="W264" s="25"/>
    </row>
    <row r="265" spans="1:23" s="3" customFormat="1" ht="19.5" customHeight="1">
      <c r="A265" s="190"/>
      <c r="B265" s="221" t="s">
        <v>448</v>
      </c>
      <c r="C265" s="230"/>
      <c r="D265" s="22"/>
      <c r="E265" s="16"/>
      <c r="F265" s="27"/>
      <c r="G265" s="27"/>
      <c r="H265" s="89">
        <v>17600</v>
      </c>
      <c r="I265" s="774"/>
      <c r="J265" s="775"/>
      <c r="K265" s="531"/>
      <c r="L265" s="775"/>
      <c r="M265" s="775"/>
      <c r="N265" s="27"/>
      <c r="O265" s="27"/>
      <c r="P265" s="27"/>
      <c r="Q265" s="27"/>
      <c r="R265" s="27"/>
      <c r="S265" s="27"/>
      <c r="T265" s="27"/>
      <c r="U265" s="27"/>
      <c r="V265" s="25"/>
      <c r="W265" s="25"/>
    </row>
    <row r="266" spans="1:23" s="3" customFormat="1" ht="19.5" customHeight="1">
      <c r="A266" s="190"/>
      <c r="B266" s="221"/>
      <c r="C266" s="230"/>
      <c r="D266" s="22"/>
      <c r="E266" s="16"/>
      <c r="F266" s="27"/>
      <c r="G266" s="27"/>
      <c r="H266" s="25"/>
      <c r="I266" s="774"/>
      <c r="J266" s="775"/>
      <c r="K266" s="531"/>
      <c r="L266" s="775"/>
      <c r="M266" s="775"/>
      <c r="N266" s="27"/>
      <c r="O266" s="27"/>
      <c r="P266" s="27"/>
      <c r="Q266" s="27"/>
      <c r="R266" s="27"/>
      <c r="S266" s="27"/>
      <c r="T266" s="27"/>
      <c r="U266" s="27"/>
      <c r="V266" s="25"/>
      <c r="W266" s="25"/>
    </row>
    <row r="267" spans="1:23" s="675" customFormat="1" ht="19.5" customHeight="1">
      <c r="A267" s="671" t="s">
        <v>445</v>
      </c>
      <c r="B267" s="672"/>
      <c r="C267" s="673"/>
      <c r="D267" s="396"/>
      <c r="E267" s="232"/>
      <c r="F267" s="674"/>
      <c r="G267" s="674"/>
      <c r="H267" s="90">
        <f>H271+H273</f>
        <v>12000</v>
      </c>
      <c r="I267" s="788"/>
      <c r="J267" s="789"/>
      <c r="K267" s="790"/>
      <c r="L267" s="789"/>
      <c r="M267" s="789"/>
      <c r="N267" s="674"/>
      <c r="O267" s="674"/>
      <c r="P267" s="674"/>
      <c r="Q267" s="674"/>
      <c r="R267" s="674"/>
      <c r="S267" s="674"/>
      <c r="T267" s="674"/>
      <c r="U267" s="674"/>
      <c r="V267" s="90"/>
      <c r="W267" s="90"/>
    </row>
    <row r="268" spans="1:23" s="3" customFormat="1" ht="19.5" customHeight="1">
      <c r="A268" s="190" t="s">
        <v>446</v>
      </c>
      <c r="B268" s="221"/>
      <c r="C268" s="230"/>
      <c r="D268" s="22"/>
      <c r="E268" s="16"/>
      <c r="F268" s="27"/>
      <c r="G268" s="27"/>
      <c r="H268" s="25"/>
      <c r="I268" s="774"/>
      <c r="J268" s="775"/>
      <c r="K268" s="531"/>
      <c r="L268" s="775"/>
      <c r="M268" s="775"/>
      <c r="N268" s="27"/>
      <c r="O268" s="27"/>
      <c r="P268" s="27"/>
      <c r="Q268" s="27"/>
      <c r="R268" s="27"/>
      <c r="S268" s="27"/>
      <c r="T268" s="27"/>
      <c r="U268" s="27"/>
      <c r="V268" s="25"/>
      <c r="W268" s="25"/>
    </row>
    <row r="269" spans="1:23" s="3" customFormat="1" ht="19.5" customHeight="1">
      <c r="A269" s="190"/>
      <c r="B269" s="221" t="s">
        <v>443</v>
      </c>
      <c r="C269" s="230"/>
      <c r="D269" s="22"/>
      <c r="E269" s="16"/>
      <c r="F269" s="27"/>
      <c r="G269" s="27"/>
      <c r="H269" s="89"/>
      <c r="I269" s="774"/>
      <c r="J269" s="775"/>
      <c r="K269" s="531"/>
      <c r="L269" s="775"/>
      <c r="M269" s="775"/>
      <c r="N269" s="27"/>
      <c r="O269" s="27"/>
      <c r="P269" s="27"/>
      <c r="Q269" s="27"/>
      <c r="R269" s="27"/>
      <c r="S269" s="27"/>
      <c r="T269" s="27"/>
      <c r="U269" s="27"/>
      <c r="V269" s="25"/>
      <c r="W269" s="25"/>
    </row>
    <row r="270" spans="1:23" s="3" customFormat="1" ht="19.5" customHeight="1">
      <c r="A270" s="190"/>
      <c r="B270" s="221" t="s">
        <v>444</v>
      </c>
      <c r="C270" s="230"/>
      <c r="D270" s="22"/>
      <c r="E270" s="16"/>
      <c r="F270" s="27"/>
      <c r="G270" s="27"/>
      <c r="H270" s="89"/>
      <c r="I270" s="774"/>
      <c r="J270" s="775"/>
      <c r="K270" s="531"/>
      <c r="L270" s="775"/>
      <c r="M270" s="775"/>
      <c r="N270" s="27"/>
      <c r="O270" s="27"/>
      <c r="P270" s="27"/>
      <c r="Q270" s="27"/>
      <c r="R270" s="27"/>
      <c r="S270" s="27"/>
      <c r="T270" s="27"/>
      <c r="U270" s="27"/>
      <c r="V270" s="25"/>
      <c r="W270" s="25"/>
    </row>
    <row r="271" spans="1:23" s="3" customFormat="1" ht="19.5" customHeight="1">
      <c r="A271" s="135"/>
      <c r="B271" s="221" t="s">
        <v>490</v>
      </c>
      <c r="C271" s="210"/>
      <c r="D271" s="88"/>
      <c r="E271" s="88"/>
      <c r="F271" s="88"/>
      <c r="G271" s="88"/>
      <c r="H271" s="89">
        <v>5000</v>
      </c>
      <c r="I271" s="774"/>
      <c r="J271" s="775"/>
      <c r="K271" s="531"/>
      <c r="L271" s="775"/>
      <c r="M271" s="775"/>
      <c r="N271" s="27"/>
      <c r="O271" s="27"/>
      <c r="P271" s="27"/>
      <c r="Q271" s="27"/>
      <c r="R271" s="27"/>
      <c r="S271" s="27"/>
      <c r="T271" s="27"/>
      <c r="U271" s="27"/>
      <c r="V271" s="25"/>
      <c r="W271" s="25"/>
    </row>
    <row r="272" spans="1:23" s="3" customFormat="1" ht="19.5" customHeight="1">
      <c r="A272" s="135"/>
      <c r="B272" s="221" t="s">
        <v>441</v>
      </c>
      <c r="C272" s="230"/>
      <c r="D272" s="22"/>
      <c r="E272" s="16"/>
      <c r="F272" s="88"/>
      <c r="G272" s="88"/>
      <c r="H272" s="89"/>
      <c r="I272" s="774"/>
      <c r="J272" s="775"/>
      <c r="K272" s="531"/>
      <c r="L272" s="775"/>
      <c r="M272" s="775"/>
      <c r="N272" s="27"/>
      <c r="O272" s="27"/>
      <c r="P272" s="27"/>
      <c r="Q272" s="27"/>
      <c r="R272" s="27"/>
      <c r="S272" s="27"/>
      <c r="T272" s="27"/>
      <c r="U272" s="27"/>
      <c r="V272" s="25"/>
      <c r="W272" s="25"/>
    </row>
    <row r="273" spans="1:23" s="3" customFormat="1" ht="19.5" customHeight="1">
      <c r="A273" s="135"/>
      <c r="B273" s="221" t="s">
        <v>442</v>
      </c>
      <c r="C273" s="230"/>
      <c r="D273" s="22"/>
      <c r="E273" s="16"/>
      <c r="F273" s="88"/>
      <c r="G273" s="88"/>
      <c r="H273" s="89">
        <v>7000</v>
      </c>
      <c r="I273" s="774"/>
      <c r="J273" s="775"/>
      <c r="K273" s="531"/>
      <c r="L273" s="775"/>
      <c r="M273" s="775"/>
      <c r="N273" s="27"/>
      <c r="O273" s="27"/>
      <c r="P273" s="27"/>
      <c r="Q273" s="27"/>
      <c r="R273" s="27"/>
      <c r="S273" s="27"/>
      <c r="T273" s="27"/>
      <c r="U273" s="27"/>
      <c r="V273" s="25"/>
      <c r="W273" s="25"/>
    </row>
    <row r="274" spans="1:23" s="3" customFormat="1" ht="19.5" customHeight="1">
      <c r="A274" s="135"/>
      <c r="B274" s="221"/>
      <c r="C274" s="210"/>
      <c r="D274" s="88"/>
      <c r="E274" s="88"/>
      <c r="F274" s="88"/>
      <c r="G274" s="88"/>
      <c r="H274" s="89"/>
      <c r="I274" s="774"/>
      <c r="J274" s="775"/>
      <c r="K274" s="531"/>
      <c r="L274" s="775"/>
      <c r="M274" s="775"/>
      <c r="N274" s="27"/>
      <c r="O274" s="27"/>
      <c r="P274" s="27"/>
      <c r="Q274" s="27"/>
      <c r="R274" s="27"/>
      <c r="S274" s="27"/>
      <c r="T274" s="27"/>
      <c r="U274" s="27"/>
      <c r="V274" s="25"/>
      <c r="W274" s="25"/>
    </row>
    <row r="275" spans="1:23" s="3" customFormat="1" ht="19.5" customHeight="1">
      <c r="A275" s="190" t="s">
        <v>377</v>
      </c>
      <c r="B275" s="221"/>
      <c r="C275" s="210"/>
      <c r="D275" s="88"/>
      <c r="E275" s="88"/>
      <c r="F275" s="88"/>
      <c r="G275" s="88"/>
      <c r="H275" s="25">
        <f>H277</f>
        <v>8100</v>
      </c>
      <c r="I275" s="774"/>
      <c r="J275" s="775"/>
      <c r="K275" s="531"/>
      <c r="L275" s="775"/>
      <c r="M275" s="775"/>
      <c r="N275" s="27"/>
      <c r="O275" s="27"/>
      <c r="P275" s="27"/>
      <c r="Q275" s="27"/>
      <c r="R275" s="27"/>
      <c r="S275" s="27"/>
      <c r="T275" s="27"/>
      <c r="U275" s="27"/>
      <c r="V275" s="25"/>
      <c r="W275" s="25"/>
    </row>
    <row r="276" spans="1:23" s="3" customFormat="1" ht="19.5" customHeight="1">
      <c r="A276" s="135" t="s">
        <v>90</v>
      </c>
      <c r="B276" s="229"/>
      <c r="C276" s="230"/>
      <c r="D276" s="22"/>
      <c r="E276" s="16"/>
      <c r="F276" s="88"/>
      <c r="G276" s="88"/>
      <c r="H276" s="89"/>
      <c r="I276" s="774"/>
      <c r="J276" s="775"/>
      <c r="K276" s="531"/>
      <c r="L276" s="775"/>
      <c r="M276" s="775"/>
      <c r="N276" s="27"/>
      <c r="O276" s="27"/>
      <c r="P276" s="27"/>
      <c r="Q276" s="27"/>
      <c r="R276" s="27"/>
      <c r="S276" s="27"/>
      <c r="T276" s="27"/>
      <c r="U276" s="27"/>
      <c r="V276" s="25"/>
      <c r="W276" s="25"/>
    </row>
    <row r="277" spans="1:23" s="3" customFormat="1" ht="19.5" customHeight="1">
      <c r="A277" s="135"/>
      <c r="B277" s="221" t="s">
        <v>457</v>
      </c>
      <c r="C277" s="210"/>
      <c r="D277" s="88"/>
      <c r="E277" s="88"/>
      <c r="F277" s="88"/>
      <c r="G277" s="88"/>
      <c r="H277" s="89">
        <v>8100</v>
      </c>
      <c r="I277" s="774"/>
      <c r="J277" s="775"/>
      <c r="K277" s="531"/>
      <c r="L277" s="775"/>
      <c r="M277" s="775"/>
      <c r="N277" s="27"/>
      <c r="O277" s="27"/>
      <c r="P277" s="27"/>
      <c r="Q277" s="27"/>
      <c r="R277" s="27"/>
      <c r="S277" s="27"/>
      <c r="T277" s="27"/>
      <c r="U277" s="27"/>
      <c r="V277" s="25"/>
      <c r="W277" s="25"/>
    </row>
    <row r="278" spans="1:23" s="3" customFormat="1" ht="19.5" customHeight="1">
      <c r="A278" s="135"/>
      <c r="B278" s="221"/>
      <c r="C278" s="210"/>
      <c r="D278" s="88"/>
      <c r="E278" s="88"/>
      <c r="F278" s="88"/>
      <c r="G278" s="88"/>
      <c r="H278" s="89"/>
      <c r="I278" s="774"/>
      <c r="J278" s="775"/>
      <c r="K278" s="531"/>
      <c r="L278" s="775"/>
      <c r="M278" s="775"/>
      <c r="N278" s="27"/>
      <c r="O278" s="27"/>
      <c r="P278" s="27"/>
      <c r="Q278" s="27"/>
      <c r="R278" s="27"/>
      <c r="S278" s="27"/>
      <c r="T278" s="27"/>
      <c r="U278" s="27"/>
      <c r="V278" s="25"/>
      <c r="W278" s="25"/>
    </row>
    <row r="279" spans="1:23" s="3" customFormat="1" ht="19.5" customHeight="1">
      <c r="A279" s="190" t="s">
        <v>458</v>
      </c>
      <c r="B279" s="221"/>
      <c r="C279" s="210"/>
      <c r="D279" s="88"/>
      <c r="E279" s="88"/>
      <c r="F279" s="88"/>
      <c r="G279" s="88"/>
      <c r="H279" s="25">
        <f>H281</f>
        <v>25000</v>
      </c>
      <c r="I279" s="774"/>
      <c r="J279" s="775"/>
      <c r="K279" s="531"/>
      <c r="L279" s="775"/>
      <c r="M279" s="775"/>
      <c r="N279" s="27"/>
      <c r="O279" s="27"/>
      <c r="P279" s="27"/>
      <c r="Q279" s="27"/>
      <c r="R279" s="27"/>
      <c r="S279" s="27"/>
      <c r="T279" s="27"/>
      <c r="U279" s="27"/>
      <c r="V279" s="25"/>
      <c r="W279" s="25"/>
    </row>
    <row r="280" spans="1:23" s="3" customFormat="1" ht="19.5" customHeight="1">
      <c r="A280" s="190" t="s">
        <v>90</v>
      </c>
      <c r="B280" s="221"/>
      <c r="C280" s="210"/>
      <c r="D280" s="88"/>
      <c r="E280" s="88"/>
      <c r="F280" s="88"/>
      <c r="G280" s="88"/>
      <c r="H280" s="89"/>
      <c r="I280" s="774"/>
      <c r="J280" s="775"/>
      <c r="K280" s="531"/>
      <c r="L280" s="775"/>
      <c r="M280" s="775"/>
      <c r="N280" s="27"/>
      <c r="O280" s="27"/>
      <c r="P280" s="27"/>
      <c r="Q280" s="27"/>
      <c r="R280" s="27"/>
      <c r="S280" s="27"/>
      <c r="T280" s="27"/>
      <c r="U280" s="27"/>
      <c r="V280" s="25"/>
      <c r="W280" s="25"/>
    </row>
    <row r="281" spans="1:23" s="3" customFormat="1" ht="19.5" customHeight="1">
      <c r="A281" s="135"/>
      <c r="B281" s="221" t="s">
        <v>499</v>
      </c>
      <c r="C281" s="210"/>
      <c r="D281" s="88"/>
      <c r="E281" s="88"/>
      <c r="F281" s="88"/>
      <c r="G281" s="88"/>
      <c r="H281" s="89">
        <v>25000</v>
      </c>
      <c r="I281" s="774"/>
      <c r="J281" s="775"/>
      <c r="K281" s="531"/>
      <c r="L281" s="775"/>
      <c r="M281" s="775"/>
      <c r="N281" s="27"/>
      <c r="O281" s="27"/>
      <c r="P281" s="27"/>
      <c r="Q281" s="27"/>
      <c r="R281" s="27"/>
      <c r="S281" s="27"/>
      <c r="T281" s="27"/>
      <c r="U281" s="27"/>
      <c r="V281" s="25"/>
      <c r="W281" s="25"/>
    </row>
    <row r="282" spans="1:23" s="3" customFormat="1" ht="19.5" customHeight="1">
      <c r="A282" s="225" t="s">
        <v>269</v>
      </c>
      <c r="B282" s="221"/>
      <c r="C282" s="210"/>
      <c r="D282" s="88"/>
      <c r="E282" s="88"/>
      <c r="F282" s="88"/>
      <c r="G282" s="88"/>
      <c r="H282" s="89"/>
      <c r="I282" s="774"/>
      <c r="J282" s="775"/>
      <c r="K282" s="531"/>
      <c r="L282" s="775"/>
      <c r="M282" s="775"/>
      <c r="N282" s="27"/>
      <c r="O282" s="27"/>
      <c r="P282" s="27"/>
      <c r="Q282" s="27"/>
      <c r="R282" s="27"/>
      <c r="S282" s="27"/>
      <c r="T282" s="27"/>
      <c r="U282" s="27"/>
      <c r="V282" s="25"/>
      <c r="W282" s="25"/>
    </row>
    <row r="283" spans="1:23" s="3" customFormat="1" ht="19.5" customHeight="1">
      <c r="A283" s="225"/>
      <c r="B283" s="221"/>
      <c r="C283" s="210"/>
      <c r="D283" s="88"/>
      <c r="E283" s="88"/>
      <c r="F283" s="88"/>
      <c r="G283" s="88"/>
      <c r="H283" s="89"/>
      <c r="I283" s="774"/>
      <c r="J283" s="775"/>
      <c r="K283" s="531"/>
      <c r="L283" s="775"/>
      <c r="M283" s="775"/>
      <c r="N283" s="27"/>
      <c r="O283" s="27"/>
      <c r="P283" s="27"/>
      <c r="Q283" s="27"/>
      <c r="R283" s="27"/>
      <c r="S283" s="27"/>
      <c r="T283" s="27"/>
      <c r="U283" s="27"/>
      <c r="V283" s="25"/>
      <c r="W283" s="25"/>
    </row>
    <row r="284" spans="1:23" s="3" customFormat="1" ht="19.5" customHeight="1">
      <c r="A284" s="225"/>
      <c r="B284" s="221"/>
      <c r="C284" s="210"/>
      <c r="D284" s="88"/>
      <c r="E284" s="88"/>
      <c r="F284" s="88"/>
      <c r="G284" s="88"/>
      <c r="H284" s="89"/>
      <c r="I284" s="774"/>
      <c r="J284" s="775"/>
      <c r="K284" s="531"/>
      <c r="L284" s="775"/>
      <c r="M284" s="775"/>
      <c r="N284" s="27"/>
      <c r="O284" s="27"/>
      <c r="P284" s="27"/>
      <c r="Q284" s="27"/>
      <c r="R284" s="27"/>
      <c r="S284" s="27"/>
      <c r="T284" s="27"/>
      <c r="U284" s="27"/>
      <c r="V284" s="25"/>
      <c r="W284" s="25"/>
    </row>
    <row r="285" spans="1:23" s="3" customFormat="1" ht="19.5" customHeight="1">
      <c r="A285" s="227" t="s">
        <v>287</v>
      </c>
      <c r="B285" s="226"/>
      <c r="C285" s="210"/>
      <c r="D285" s="88"/>
      <c r="E285" s="88"/>
      <c r="F285" s="88"/>
      <c r="G285" s="88"/>
      <c r="H285" s="25">
        <f>H287</f>
        <v>8100</v>
      </c>
      <c r="I285" s="774"/>
      <c r="J285" s="775"/>
      <c r="K285" s="531"/>
      <c r="L285" s="775"/>
      <c r="M285" s="775"/>
      <c r="N285" s="27"/>
      <c r="O285" s="27"/>
      <c r="P285" s="27"/>
      <c r="Q285" s="27"/>
      <c r="R285" s="27"/>
      <c r="S285" s="27"/>
      <c r="T285" s="27"/>
      <c r="U285" s="27"/>
      <c r="V285" s="25"/>
      <c r="W285" s="25"/>
    </row>
    <row r="286" spans="1:23" s="3" customFormat="1" ht="19.5" customHeight="1">
      <c r="A286" s="135" t="s">
        <v>90</v>
      </c>
      <c r="B286" s="229"/>
      <c r="C286" s="210"/>
      <c r="D286" s="88"/>
      <c r="E286" s="88"/>
      <c r="F286" s="88"/>
      <c r="G286" s="88"/>
      <c r="H286" s="25"/>
      <c r="I286" s="774"/>
      <c r="J286" s="775"/>
      <c r="K286" s="531"/>
      <c r="L286" s="775"/>
      <c r="M286" s="775"/>
      <c r="N286" s="27"/>
      <c r="O286" s="27"/>
      <c r="P286" s="27"/>
      <c r="Q286" s="27"/>
      <c r="R286" s="27"/>
      <c r="S286" s="27"/>
      <c r="T286" s="27"/>
      <c r="U286" s="27"/>
      <c r="V286" s="25"/>
      <c r="W286" s="25"/>
    </row>
    <row r="287" spans="1:23" s="3" customFormat="1" ht="19.5" customHeight="1">
      <c r="A287" s="190" t="s">
        <v>2</v>
      </c>
      <c r="B287" s="221"/>
      <c r="C287" s="210"/>
      <c r="D287" s="88"/>
      <c r="E287" s="88"/>
      <c r="F287" s="88"/>
      <c r="G287" s="88"/>
      <c r="H287" s="25">
        <f>H289</f>
        <v>8100</v>
      </c>
      <c r="I287" s="774"/>
      <c r="J287" s="775"/>
      <c r="K287" s="531"/>
      <c r="L287" s="775"/>
      <c r="M287" s="775"/>
      <c r="N287" s="27"/>
      <c r="O287" s="27"/>
      <c r="P287" s="27"/>
      <c r="Q287" s="27"/>
      <c r="R287" s="27"/>
      <c r="S287" s="27"/>
      <c r="T287" s="27"/>
      <c r="U287" s="27"/>
      <c r="V287" s="25"/>
      <c r="W287" s="25"/>
    </row>
    <row r="288" spans="1:23" s="3" customFormat="1" ht="19.5" customHeight="1">
      <c r="A288" s="190" t="s">
        <v>90</v>
      </c>
      <c r="B288" s="221"/>
      <c r="C288" s="210"/>
      <c r="D288" s="88"/>
      <c r="E288" s="88"/>
      <c r="F288" s="88"/>
      <c r="G288" s="88"/>
      <c r="H288" s="89"/>
      <c r="I288" s="774"/>
      <c r="J288" s="775"/>
      <c r="K288" s="531"/>
      <c r="L288" s="775"/>
      <c r="M288" s="775"/>
      <c r="N288" s="27"/>
      <c r="O288" s="27"/>
      <c r="P288" s="27"/>
      <c r="Q288" s="27"/>
      <c r="R288" s="27"/>
      <c r="S288" s="27"/>
      <c r="T288" s="27"/>
      <c r="U288" s="27"/>
      <c r="V288" s="25"/>
      <c r="W288" s="25"/>
    </row>
    <row r="289" spans="1:23" s="3" customFormat="1" ht="19.5" customHeight="1">
      <c r="A289" s="135"/>
      <c r="B289" s="229" t="s">
        <v>120</v>
      </c>
      <c r="C289" s="230"/>
      <c r="D289" s="22"/>
      <c r="E289" s="16"/>
      <c r="F289" s="88"/>
      <c r="G289" s="88"/>
      <c r="H289" s="89">
        <v>8100</v>
      </c>
      <c r="I289" s="774"/>
      <c r="J289" s="775"/>
      <c r="K289" s="531"/>
      <c r="L289" s="775"/>
      <c r="M289" s="775"/>
      <c r="N289" s="27"/>
      <c r="O289" s="27"/>
      <c r="P289" s="27"/>
      <c r="Q289" s="27"/>
      <c r="R289" s="27"/>
      <c r="S289" s="27"/>
      <c r="T289" s="27"/>
      <c r="U289" s="27"/>
      <c r="V289" s="25"/>
      <c r="W289" s="25"/>
    </row>
    <row r="290" spans="1:23" s="3" customFormat="1" ht="19.5" customHeight="1">
      <c r="A290" s="135"/>
      <c r="B290" s="229"/>
      <c r="C290" s="230"/>
      <c r="D290" s="22"/>
      <c r="E290" s="16"/>
      <c r="F290" s="88"/>
      <c r="G290" s="88"/>
      <c r="H290" s="89"/>
      <c r="I290" s="774"/>
      <c r="J290" s="775"/>
      <c r="K290" s="531"/>
      <c r="L290" s="775"/>
      <c r="M290" s="775"/>
      <c r="N290" s="27"/>
      <c r="O290" s="27"/>
      <c r="P290" s="27"/>
      <c r="Q290" s="27"/>
      <c r="R290" s="27"/>
      <c r="S290" s="27"/>
      <c r="T290" s="27"/>
      <c r="U290" s="27"/>
      <c r="V290" s="25"/>
      <c r="W290" s="25"/>
    </row>
    <row r="291" spans="1:23" s="3" customFormat="1" ht="19.5" customHeight="1">
      <c r="A291" s="135"/>
      <c r="B291" s="229"/>
      <c r="C291" s="230"/>
      <c r="D291" s="22"/>
      <c r="E291" s="16"/>
      <c r="F291" s="27"/>
      <c r="G291" s="88"/>
      <c r="H291" s="89"/>
      <c r="I291" s="774"/>
      <c r="J291" s="775"/>
      <c r="K291" s="531"/>
      <c r="L291" s="775"/>
      <c r="M291" s="775"/>
      <c r="N291" s="27"/>
      <c r="O291" s="27"/>
      <c r="P291" s="27"/>
      <c r="Q291" s="27"/>
      <c r="R291" s="27"/>
      <c r="S291" s="27"/>
      <c r="T291" s="27"/>
      <c r="U291" s="27"/>
      <c r="V291" s="25"/>
      <c r="W291" s="25"/>
    </row>
    <row r="292" spans="1:23" s="3" customFormat="1" ht="19.5" customHeight="1">
      <c r="A292" s="231" t="s">
        <v>161</v>
      </c>
      <c r="B292" s="231"/>
      <c r="C292" s="224"/>
      <c r="D292" s="22"/>
      <c r="E292" s="16"/>
      <c r="F292" s="88"/>
      <c r="G292" s="88"/>
      <c r="H292" s="89"/>
      <c r="I292" s="774"/>
      <c r="J292" s="778"/>
      <c r="K292" s="531"/>
      <c r="L292" s="778"/>
      <c r="M292" s="778"/>
      <c r="N292" s="88"/>
      <c r="O292" s="88"/>
      <c r="P292" s="88"/>
      <c r="Q292" s="88"/>
      <c r="R292" s="88"/>
      <c r="S292" s="88"/>
      <c r="T292" s="88"/>
      <c r="U292" s="88"/>
      <c r="V292" s="89"/>
      <c r="W292" s="89"/>
    </row>
    <row r="293" spans="1:23" s="3" customFormat="1" ht="19.5" customHeight="1">
      <c r="A293" s="231" t="s">
        <v>162</v>
      </c>
      <c r="B293" s="231"/>
      <c r="C293" s="224"/>
      <c r="D293" s="22"/>
      <c r="E293" s="16"/>
      <c r="F293" s="88"/>
      <c r="G293" s="88"/>
      <c r="H293" s="89"/>
      <c r="I293" s="774"/>
      <c r="J293" s="778"/>
      <c r="K293" s="531"/>
      <c r="L293" s="778"/>
      <c r="M293" s="778"/>
      <c r="N293" s="88"/>
      <c r="O293" s="88"/>
      <c r="P293" s="88"/>
      <c r="Q293" s="88"/>
      <c r="R293" s="88"/>
      <c r="S293" s="88"/>
      <c r="T293" s="88"/>
      <c r="U293" s="88"/>
      <c r="V293" s="89"/>
      <c r="W293" s="89"/>
    </row>
    <row r="294" spans="1:23" s="3" customFormat="1" ht="19.5" customHeight="1">
      <c r="A294" s="231"/>
      <c r="B294" s="231"/>
      <c r="C294" s="224"/>
      <c r="D294" s="22"/>
      <c r="E294" s="16"/>
      <c r="F294" s="88"/>
      <c r="G294" s="88"/>
      <c r="H294" s="89"/>
      <c r="I294" s="774"/>
      <c r="J294" s="778"/>
      <c r="K294" s="531"/>
      <c r="L294" s="778"/>
      <c r="M294" s="778"/>
      <c r="N294" s="88"/>
      <c r="O294" s="88"/>
      <c r="P294" s="88"/>
      <c r="Q294" s="88"/>
      <c r="R294" s="88"/>
      <c r="S294" s="88"/>
      <c r="T294" s="88"/>
      <c r="U294" s="88"/>
      <c r="V294" s="89"/>
      <c r="W294" s="89"/>
    </row>
    <row r="295" spans="1:23" s="3" customFormat="1" ht="19.5" customHeight="1">
      <c r="A295" s="231"/>
      <c r="B295" s="231"/>
      <c r="C295" s="224"/>
      <c r="D295" s="22"/>
      <c r="E295" s="16"/>
      <c r="F295" s="88"/>
      <c r="G295" s="88"/>
      <c r="H295" s="89"/>
      <c r="I295" s="774"/>
      <c r="J295" s="778"/>
      <c r="K295" s="531"/>
      <c r="L295" s="778"/>
      <c r="M295" s="778"/>
      <c r="N295" s="88"/>
      <c r="O295" s="88"/>
      <c r="P295" s="88"/>
      <c r="Q295" s="88"/>
      <c r="R295" s="88"/>
      <c r="S295" s="88"/>
      <c r="T295" s="88"/>
      <c r="U295" s="88"/>
      <c r="V295" s="89"/>
      <c r="W295" s="89"/>
    </row>
    <row r="296" spans="1:23" s="3" customFormat="1" ht="19.5" customHeight="1">
      <c r="A296" s="231" t="s">
        <v>477</v>
      </c>
      <c r="B296" s="231"/>
      <c r="C296" s="224"/>
      <c r="D296" s="22"/>
      <c r="E296" s="16"/>
      <c r="F296" s="88"/>
      <c r="G296" s="88"/>
      <c r="H296" s="89"/>
      <c r="I296" s="774"/>
      <c r="J296" s="778"/>
      <c r="K296" s="531"/>
      <c r="L296" s="778"/>
      <c r="M296" s="778"/>
      <c r="N296" s="88"/>
      <c r="O296" s="88"/>
      <c r="P296" s="88"/>
      <c r="Q296" s="88"/>
      <c r="R296" s="88"/>
      <c r="S296" s="88"/>
      <c r="T296" s="88"/>
      <c r="U296" s="88"/>
      <c r="V296" s="89"/>
      <c r="W296" s="89"/>
    </row>
    <row r="297" spans="1:23" s="3" customFormat="1" ht="19.5" customHeight="1">
      <c r="A297" s="513" t="s">
        <v>9</v>
      </c>
      <c r="B297" s="513"/>
      <c r="C297" s="514"/>
      <c r="D297" s="396"/>
      <c r="E297" s="232"/>
      <c r="F297" s="515"/>
      <c r="G297" s="88"/>
      <c r="H297" s="89"/>
      <c r="I297" s="774"/>
      <c r="J297" s="778"/>
      <c r="K297" s="531"/>
      <c r="L297" s="778"/>
      <c r="M297" s="778"/>
      <c r="N297" s="88"/>
      <c r="O297" s="88"/>
      <c r="P297" s="88"/>
      <c r="Q297" s="88"/>
      <c r="R297" s="88"/>
      <c r="S297" s="88"/>
      <c r="T297" s="88"/>
      <c r="U297" s="88"/>
      <c r="V297" s="89"/>
      <c r="W297" s="89"/>
    </row>
    <row r="298" spans="1:23" s="3" customFormat="1" ht="19.5" customHeight="1">
      <c r="A298" s="513" t="s">
        <v>10</v>
      </c>
      <c r="B298" s="513"/>
      <c r="C298" s="514"/>
      <c r="D298" s="396"/>
      <c r="E298" s="232"/>
      <c r="F298" s="515"/>
      <c r="G298" s="88"/>
      <c r="H298" s="89"/>
      <c r="I298" s="774"/>
      <c r="J298" s="778"/>
      <c r="K298" s="531"/>
      <c r="L298" s="778"/>
      <c r="M298" s="778"/>
      <c r="N298" s="88"/>
      <c r="O298" s="88"/>
      <c r="P298" s="88"/>
      <c r="Q298" s="88"/>
      <c r="R298" s="88"/>
      <c r="S298" s="88"/>
      <c r="T298" s="88"/>
      <c r="U298" s="88"/>
      <c r="V298" s="89"/>
      <c r="W298" s="89"/>
    </row>
    <row r="299" spans="1:23" s="3" customFormat="1" ht="19.5" customHeight="1">
      <c r="A299" s="231" t="s">
        <v>11</v>
      </c>
      <c r="B299" s="231"/>
      <c r="C299" s="224"/>
      <c r="D299" s="22"/>
      <c r="E299" s="16"/>
      <c r="F299" s="88"/>
      <c r="G299" s="88"/>
      <c r="H299" s="89"/>
      <c r="I299" s="774"/>
      <c r="J299" s="778"/>
      <c r="K299" s="531"/>
      <c r="L299" s="778"/>
      <c r="M299" s="778"/>
      <c r="N299" s="88"/>
      <c r="O299" s="88"/>
      <c r="P299" s="88"/>
      <c r="Q299" s="88"/>
      <c r="R299" s="88"/>
      <c r="S299" s="88"/>
      <c r="T299" s="88"/>
      <c r="U299" s="88"/>
      <c r="V299" s="89"/>
      <c r="W299" s="89"/>
    </row>
    <row r="300" spans="1:23" s="3" customFormat="1" ht="19.5" customHeight="1">
      <c r="A300" s="231"/>
      <c r="B300" s="231"/>
      <c r="C300" s="224"/>
      <c r="D300" s="22"/>
      <c r="E300" s="16"/>
      <c r="F300" s="88"/>
      <c r="G300" s="88"/>
      <c r="H300" s="89"/>
      <c r="I300" s="774"/>
      <c r="J300" s="778"/>
      <c r="K300" s="531"/>
      <c r="L300" s="778"/>
      <c r="M300" s="778"/>
      <c r="N300" s="88"/>
      <c r="O300" s="88"/>
      <c r="P300" s="88"/>
      <c r="Q300" s="88"/>
      <c r="R300" s="88"/>
      <c r="S300" s="88"/>
      <c r="T300" s="88"/>
      <c r="U300" s="88"/>
      <c r="V300" s="89"/>
      <c r="W300" s="89"/>
    </row>
    <row r="301" spans="1:23" s="3" customFormat="1" ht="19.5" customHeight="1">
      <c r="A301" s="231"/>
      <c r="B301" s="231"/>
      <c r="C301" s="224"/>
      <c r="D301" s="22"/>
      <c r="E301" s="16"/>
      <c r="F301" s="88"/>
      <c r="G301" s="88"/>
      <c r="H301" s="89"/>
      <c r="I301" s="774"/>
      <c r="J301" s="778"/>
      <c r="K301" s="531"/>
      <c r="L301" s="778"/>
      <c r="M301" s="778"/>
      <c r="N301" s="88"/>
      <c r="O301" s="88"/>
      <c r="P301" s="88"/>
      <c r="Q301" s="88"/>
      <c r="R301" s="88"/>
      <c r="S301" s="88"/>
      <c r="T301" s="88"/>
      <c r="U301" s="88"/>
      <c r="V301" s="89"/>
      <c r="W301" s="89"/>
    </row>
    <row r="302" spans="1:23" s="3" customFormat="1" ht="19.5" customHeight="1">
      <c r="A302" s="716" t="s">
        <v>494</v>
      </c>
      <c r="B302" s="360"/>
      <c r="C302" s="360"/>
      <c r="D302" s="232"/>
      <c r="E302" s="232"/>
      <c r="F302" s="88"/>
      <c r="G302" s="88"/>
      <c r="H302" s="89"/>
      <c r="I302" s="774"/>
      <c r="J302" s="778"/>
      <c r="K302" s="531"/>
      <c r="L302" s="778"/>
      <c r="M302" s="778"/>
      <c r="N302" s="88"/>
      <c r="O302" s="88"/>
      <c r="P302" s="88"/>
      <c r="Q302" s="88"/>
      <c r="R302" s="88"/>
      <c r="S302" s="88"/>
      <c r="T302" s="88"/>
      <c r="U302" s="88"/>
      <c r="V302" s="89"/>
      <c r="W302" s="89"/>
    </row>
    <row r="303" spans="1:23" s="3" customFormat="1" ht="19.5" customHeight="1">
      <c r="A303" s="717" t="s">
        <v>495</v>
      </c>
      <c r="B303" s="360"/>
      <c r="C303" s="360"/>
      <c r="D303" s="232"/>
      <c r="E303" s="232"/>
      <c r="F303" s="88"/>
      <c r="G303" s="88"/>
      <c r="H303" s="89"/>
      <c r="I303" s="774"/>
      <c r="J303" s="778"/>
      <c r="K303" s="531"/>
      <c r="L303" s="778"/>
      <c r="M303" s="778"/>
      <c r="N303" s="88"/>
      <c r="O303" s="88"/>
      <c r="P303" s="88"/>
      <c r="Q303" s="88"/>
      <c r="R303" s="88"/>
      <c r="S303" s="88"/>
      <c r="T303" s="88"/>
      <c r="U303" s="88"/>
      <c r="V303" s="89"/>
      <c r="W303" s="89"/>
    </row>
    <row r="304" spans="1:23" s="3" customFormat="1" ht="19.5" customHeight="1">
      <c r="A304" s="717" t="s">
        <v>496</v>
      </c>
      <c r="B304" s="186"/>
      <c r="C304" s="132"/>
      <c r="D304" s="16"/>
      <c r="E304" s="16"/>
      <c r="F304" s="88"/>
      <c r="G304" s="88"/>
      <c r="H304" s="89"/>
      <c r="I304" s="774"/>
      <c r="J304" s="778"/>
      <c r="K304" s="531"/>
      <c r="L304" s="778"/>
      <c r="M304" s="778"/>
      <c r="N304" s="88"/>
      <c r="O304" s="88"/>
      <c r="P304" s="88"/>
      <c r="Q304" s="88"/>
      <c r="R304" s="88"/>
      <c r="S304" s="88"/>
      <c r="T304" s="88"/>
      <c r="U304" s="88"/>
      <c r="V304" s="89"/>
      <c r="W304" s="89"/>
    </row>
    <row r="305" spans="1:23" s="3" customFormat="1" ht="19.5" customHeight="1">
      <c r="A305" s="716"/>
      <c r="B305" s="132"/>
      <c r="C305" s="132"/>
      <c r="D305" s="16"/>
      <c r="E305" s="16"/>
      <c r="F305" s="88"/>
      <c r="G305" s="88"/>
      <c r="H305" s="89"/>
      <c r="I305" s="774"/>
      <c r="J305" s="778"/>
      <c r="K305" s="531"/>
      <c r="L305" s="778"/>
      <c r="M305" s="778"/>
      <c r="N305" s="88"/>
      <c r="O305" s="88"/>
      <c r="P305" s="88"/>
      <c r="Q305" s="88"/>
      <c r="R305" s="88"/>
      <c r="S305" s="88"/>
      <c r="T305" s="88"/>
      <c r="U305" s="88"/>
      <c r="V305" s="89"/>
      <c r="W305" s="89"/>
    </row>
    <row r="306" spans="1:23" s="3" customFormat="1" ht="19.5" customHeight="1">
      <c r="A306" s="231"/>
      <c r="B306" s="231"/>
      <c r="C306" s="224"/>
      <c r="D306" s="22"/>
      <c r="E306" s="16"/>
      <c r="F306" s="88"/>
      <c r="G306" s="88"/>
      <c r="H306" s="89"/>
      <c r="I306" s="774"/>
      <c r="J306" s="778"/>
      <c r="K306" s="531"/>
      <c r="L306" s="778"/>
      <c r="M306" s="778"/>
      <c r="N306" s="88"/>
      <c r="O306" s="88"/>
      <c r="P306" s="88"/>
      <c r="Q306" s="88"/>
      <c r="R306" s="88"/>
      <c r="S306" s="88"/>
      <c r="T306" s="88"/>
      <c r="U306" s="88"/>
      <c r="V306" s="89"/>
      <c r="W306" s="89"/>
    </row>
    <row r="307" spans="1:23" ht="19.5" customHeight="1">
      <c r="A307" s="361" t="s">
        <v>497</v>
      </c>
      <c r="B307" s="132"/>
      <c r="C307" s="132"/>
      <c r="D307" s="16"/>
      <c r="E307" s="16"/>
      <c r="F307" s="16"/>
      <c r="G307" s="200"/>
      <c r="H307" s="17"/>
      <c r="I307" s="758"/>
      <c r="J307" s="712"/>
      <c r="K307" s="752"/>
      <c r="L307" s="753"/>
      <c r="M307" s="753"/>
      <c r="N307" s="754"/>
      <c r="O307" s="754"/>
      <c r="P307" s="12"/>
      <c r="Q307" s="755"/>
      <c r="R307" s="755"/>
      <c r="S307" s="755"/>
      <c r="T307" s="755"/>
      <c r="U307" s="755"/>
      <c r="V307" s="189"/>
      <c r="W307" s="189"/>
    </row>
    <row r="308" spans="1:23" ht="19.5" customHeight="1">
      <c r="A308" s="233"/>
      <c r="B308" s="132"/>
      <c r="C308" s="132"/>
      <c r="D308" s="16"/>
      <c r="E308" s="16"/>
      <c r="F308" s="16"/>
      <c r="G308" s="200"/>
      <c r="H308" s="194"/>
      <c r="I308" s="758"/>
      <c r="J308" s="712"/>
      <c r="K308" s="752"/>
      <c r="L308" s="753"/>
      <c r="M308" s="753"/>
      <c r="N308" s="754"/>
      <c r="O308" s="754"/>
      <c r="P308" s="12"/>
      <c r="Q308" s="755"/>
      <c r="R308" s="755"/>
      <c r="S308" s="755"/>
      <c r="T308" s="755"/>
      <c r="U308" s="755"/>
      <c r="V308" s="189"/>
      <c r="W308" s="189"/>
    </row>
    <row r="309" spans="1:23" ht="19.5" customHeight="1">
      <c r="A309" s="204" t="s">
        <v>481</v>
      </c>
      <c r="B309" s="204"/>
      <c r="C309" s="205"/>
      <c r="D309" s="19"/>
      <c r="E309" s="16"/>
      <c r="F309" s="16"/>
      <c r="G309" s="200"/>
      <c r="H309" s="194">
        <f>112436.53+160000</f>
        <v>272436.53</v>
      </c>
      <c r="I309" s="758"/>
      <c r="J309" s="712"/>
      <c r="K309" s="752"/>
      <c r="L309" s="753"/>
      <c r="M309" s="753"/>
      <c r="N309" s="754"/>
      <c r="O309" s="754"/>
      <c r="P309" s="12"/>
      <c r="Q309" s="755"/>
      <c r="R309" s="755"/>
      <c r="S309" s="755"/>
      <c r="T309" s="755"/>
      <c r="U309" s="755"/>
      <c r="V309" s="189"/>
      <c r="W309" s="189"/>
    </row>
    <row r="310" spans="1:23" ht="19.5" customHeight="1">
      <c r="A310" s="204" t="s">
        <v>163</v>
      </c>
      <c r="B310" s="204"/>
      <c r="C310" s="205"/>
      <c r="D310" s="19"/>
      <c r="E310" s="16"/>
      <c r="F310" s="16"/>
      <c r="G310" s="200"/>
      <c r="H310" s="194">
        <f>H313+H316</f>
        <v>175096.16999999998</v>
      </c>
      <c r="I310" s="758"/>
      <c r="J310" s="712"/>
      <c r="K310" s="752"/>
      <c r="L310" s="753"/>
      <c r="M310" s="753"/>
      <c r="N310" s="754"/>
      <c r="O310" s="754"/>
      <c r="P310" s="12"/>
      <c r="Q310" s="755"/>
      <c r="R310" s="755"/>
      <c r="S310" s="755"/>
      <c r="T310" s="755"/>
      <c r="U310" s="755"/>
      <c r="V310" s="189"/>
      <c r="W310" s="189"/>
    </row>
    <row r="311" spans="1:23" ht="19.5" customHeight="1">
      <c r="A311" s="204" t="s">
        <v>482</v>
      </c>
      <c r="B311" s="204"/>
      <c r="C311" s="205"/>
      <c r="D311" s="19"/>
      <c r="E311" s="16"/>
      <c r="F311" s="16"/>
      <c r="G311" s="200"/>
      <c r="H311" s="194"/>
      <c r="I311" s="758"/>
      <c r="J311" s="712"/>
      <c r="K311" s="752"/>
      <c r="L311" s="753"/>
      <c r="M311" s="753"/>
      <c r="N311" s="754"/>
      <c r="O311" s="754"/>
      <c r="P311" s="12"/>
      <c r="Q311" s="755"/>
      <c r="R311" s="755"/>
      <c r="S311" s="755"/>
      <c r="T311" s="755"/>
      <c r="U311" s="755"/>
      <c r="V311" s="189"/>
      <c r="W311" s="189"/>
    </row>
    <row r="312" spans="1:23" ht="19.5" customHeight="1">
      <c r="A312" s="204"/>
      <c r="B312" s="204" t="s">
        <v>165</v>
      </c>
      <c r="C312" s="368"/>
      <c r="D312" s="369"/>
      <c r="E312" s="16"/>
      <c r="F312" s="16"/>
      <c r="G312" s="200"/>
      <c r="H312" s="194">
        <v>112436.53</v>
      </c>
      <c r="I312" s="758"/>
      <c r="J312" s="713"/>
      <c r="K312" s="752"/>
      <c r="L312" s="753"/>
      <c r="M312" s="753"/>
      <c r="N312" s="754"/>
      <c r="O312" s="754"/>
      <c r="P312" s="12"/>
      <c r="Q312" s="755"/>
      <c r="R312" s="755"/>
      <c r="S312" s="755"/>
      <c r="T312" s="755"/>
      <c r="U312" s="755"/>
      <c r="V312" s="189"/>
      <c r="W312" s="189"/>
    </row>
    <row r="313" spans="1:23" ht="19.5" customHeight="1">
      <c r="A313" s="204"/>
      <c r="B313" s="204" t="s">
        <v>166</v>
      </c>
      <c r="C313" s="368"/>
      <c r="D313" s="369"/>
      <c r="E313" s="16"/>
      <c r="F313" s="16"/>
      <c r="G313" s="200"/>
      <c r="H313" s="194">
        <f>H312-27340.36</f>
        <v>85096.17</v>
      </c>
      <c r="I313" s="758"/>
      <c r="J313" s="712"/>
      <c r="K313" s="752"/>
      <c r="L313" s="753"/>
      <c r="M313" s="753"/>
      <c r="N313" s="754"/>
      <c r="O313" s="754"/>
      <c r="P313" s="12"/>
      <c r="Q313" s="755"/>
      <c r="R313" s="755"/>
      <c r="S313" s="755"/>
      <c r="T313" s="755"/>
      <c r="U313" s="755"/>
      <c r="V313" s="189"/>
      <c r="W313" s="189"/>
    </row>
    <row r="314" spans="1:23" ht="19.5" customHeight="1">
      <c r="A314" s="204"/>
      <c r="B314" s="204"/>
      <c r="C314" s="368"/>
      <c r="D314" s="369"/>
      <c r="E314" s="16"/>
      <c r="F314" s="16"/>
      <c r="G314" s="200"/>
      <c r="H314" s="194"/>
      <c r="I314" s="758"/>
      <c r="J314" s="712"/>
      <c r="K314" s="752"/>
      <c r="L314" s="753"/>
      <c r="M314" s="753"/>
      <c r="N314" s="754"/>
      <c r="O314" s="754"/>
      <c r="P314" s="12"/>
      <c r="Q314" s="755"/>
      <c r="R314" s="755"/>
      <c r="S314" s="755"/>
      <c r="T314" s="755"/>
      <c r="U314" s="755"/>
      <c r="V314" s="189"/>
      <c r="W314" s="189"/>
    </row>
    <row r="315" spans="1:23" ht="19.5" customHeight="1">
      <c r="A315" s="204"/>
      <c r="B315" s="204" t="s">
        <v>270</v>
      </c>
      <c r="C315" s="368"/>
      <c r="D315" s="234"/>
      <c r="E315" s="16"/>
      <c r="F315" s="16"/>
      <c r="G315" s="200"/>
      <c r="H315" s="194">
        <v>160000</v>
      </c>
      <c r="I315" s="758"/>
      <c r="J315" s="712"/>
      <c r="K315" s="752"/>
      <c r="L315" s="753"/>
      <c r="M315" s="753"/>
      <c r="N315" s="754"/>
      <c r="O315" s="754"/>
      <c r="P315" s="12"/>
      <c r="Q315" s="755"/>
      <c r="R315" s="755"/>
      <c r="S315" s="755"/>
      <c r="T315" s="755"/>
      <c r="U315" s="755"/>
      <c r="V315" s="189"/>
      <c r="W315" s="189"/>
    </row>
    <row r="316" spans="1:23" ht="19.5" customHeight="1">
      <c r="A316" s="204"/>
      <c r="B316" s="204" t="s">
        <v>166</v>
      </c>
      <c r="C316" s="368"/>
      <c r="D316" s="234"/>
      <c r="E316" s="16"/>
      <c r="F316" s="16"/>
      <c r="G316" s="200"/>
      <c r="H316" s="194">
        <f>H315-70000</f>
        <v>90000</v>
      </c>
      <c r="I316" s="758"/>
      <c r="J316" s="712"/>
      <c r="K316" s="752"/>
      <c r="L316" s="753"/>
      <c r="M316" s="753"/>
      <c r="N316" s="754"/>
      <c r="O316" s="754"/>
      <c r="P316" s="12"/>
      <c r="Q316" s="755"/>
      <c r="R316" s="755"/>
      <c r="S316" s="755"/>
      <c r="T316" s="755"/>
      <c r="U316" s="755"/>
      <c r="V316" s="189"/>
      <c r="W316" s="189"/>
    </row>
    <row r="317" spans="1:23" ht="19.5" customHeight="1">
      <c r="A317" s="233"/>
      <c r="B317" s="132"/>
      <c r="C317" s="132"/>
      <c r="D317" s="16"/>
      <c r="E317" s="16"/>
      <c r="F317" s="16"/>
      <c r="G317" s="200"/>
      <c r="H317" s="194"/>
      <c r="I317" s="758"/>
      <c r="J317" s="712"/>
      <c r="K317" s="752"/>
      <c r="L317" s="753"/>
      <c r="M317" s="753"/>
      <c r="N317" s="754"/>
      <c r="O317" s="754"/>
      <c r="P317" s="12"/>
      <c r="Q317" s="755"/>
      <c r="R317" s="755"/>
      <c r="S317" s="755"/>
      <c r="T317" s="755"/>
      <c r="U317" s="755"/>
      <c r="V317" s="189"/>
      <c r="W317" s="189"/>
    </row>
    <row r="318" spans="1:23" ht="19.5" customHeight="1">
      <c r="A318" s="367" t="s">
        <v>167</v>
      </c>
      <c r="B318" s="204"/>
      <c r="C318" s="368"/>
      <c r="D318" s="369"/>
      <c r="E318" s="16"/>
      <c r="F318" s="16"/>
      <c r="G318" s="194"/>
      <c r="H318" s="194">
        <f>H321+H324</f>
        <v>1219451.33</v>
      </c>
      <c r="I318" s="758"/>
      <c r="J318" s="771"/>
      <c r="K318" s="752"/>
      <c r="L318" s="753"/>
      <c r="M318" s="753"/>
      <c r="N318" s="754"/>
      <c r="O318" s="754"/>
      <c r="P318" s="12"/>
      <c r="Q318" s="755"/>
      <c r="R318" s="755"/>
      <c r="S318" s="755"/>
      <c r="T318" s="755"/>
      <c r="U318" s="755"/>
      <c r="V318" s="189"/>
      <c r="W318" s="189"/>
    </row>
    <row r="319" spans="1:23" ht="19.5" customHeight="1">
      <c r="A319" s="367" t="s">
        <v>163</v>
      </c>
      <c r="B319" s="204"/>
      <c r="C319" s="368"/>
      <c r="D319" s="369"/>
      <c r="E319" s="16"/>
      <c r="F319" s="16"/>
      <c r="G319" s="194"/>
      <c r="H319" s="194">
        <f>H322+H325</f>
        <v>1058086.33</v>
      </c>
      <c r="I319" s="758"/>
      <c r="J319" s="712"/>
      <c r="K319" s="752"/>
      <c r="L319" s="753"/>
      <c r="M319" s="753"/>
      <c r="N319" s="754"/>
      <c r="O319" s="754"/>
      <c r="P319" s="12"/>
      <c r="Q319" s="755"/>
      <c r="R319" s="755"/>
      <c r="S319" s="755"/>
      <c r="T319" s="755"/>
      <c r="U319" s="755"/>
      <c r="V319" s="189"/>
      <c r="W319" s="189"/>
    </row>
    <row r="320" spans="1:23" ht="19.5" customHeight="1">
      <c r="A320" s="204" t="s">
        <v>164</v>
      </c>
      <c r="B320" s="204"/>
      <c r="C320" s="368"/>
      <c r="D320" s="369"/>
      <c r="E320" s="16"/>
      <c r="F320" s="16"/>
      <c r="G320" s="194"/>
      <c r="H320" s="194"/>
      <c r="I320" s="758"/>
      <c r="J320" s="712"/>
      <c r="K320" s="752"/>
      <c r="L320" s="753"/>
      <c r="M320" s="753"/>
      <c r="N320" s="754"/>
      <c r="O320" s="754"/>
      <c r="P320" s="12"/>
      <c r="Q320" s="755"/>
      <c r="R320" s="755"/>
      <c r="S320" s="755"/>
      <c r="T320" s="755"/>
      <c r="U320" s="755"/>
      <c r="V320" s="189"/>
      <c r="W320" s="189"/>
    </row>
    <row r="321" spans="1:23" ht="19.5" customHeight="1">
      <c r="A321" s="204"/>
      <c r="B321" s="204" t="s">
        <v>165</v>
      </c>
      <c r="C321" s="368"/>
      <c r="D321" s="369"/>
      <c r="E321" s="16"/>
      <c r="F321" s="16"/>
      <c r="G321" s="194"/>
      <c r="H321" s="194">
        <v>263389.82</v>
      </c>
      <c r="I321" s="758"/>
      <c r="J321" s="712"/>
      <c r="K321" s="752"/>
      <c r="L321" s="753"/>
      <c r="M321" s="753"/>
      <c r="N321" s="754"/>
      <c r="O321" s="754"/>
      <c r="P321" s="12"/>
      <c r="Q321" s="755"/>
      <c r="R321" s="755"/>
      <c r="S321" s="755"/>
      <c r="T321" s="755"/>
      <c r="U321" s="755"/>
      <c r="V321" s="189"/>
      <c r="W321" s="189"/>
    </row>
    <row r="322" spans="1:23" ht="19.5" customHeight="1">
      <c r="A322" s="204"/>
      <c r="B322" s="204" t="s">
        <v>166</v>
      </c>
      <c r="C322" s="368"/>
      <c r="D322" s="369"/>
      <c r="E322" s="16"/>
      <c r="F322" s="16"/>
      <c r="G322" s="194"/>
      <c r="H322" s="194">
        <f>H321-158865</f>
        <v>104524.82</v>
      </c>
      <c r="I322" s="758"/>
      <c r="J322" s="713"/>
      <c r="K322" s="752"/>
      <c r="L322" s="753"/>
      <c r="M322" s="753"/>
      <c r="N322" s="754"/>
      <c r="O322" s="754"/>
      <c r="P322" s="12"/>
      <c r="Q322" s="755"/>
      <c r="R322" s="755"/>
      <c r="S322" s="755"/>
      <c r="T322" s="755"/>
      <c r="U322" s="755"/>
      <c r="V322" s="189"/>
      <c r="W322" s="189"/>
    </row>
    <row r="323" spans="1:23" ht="19.5" customHeight="1">
      <c r="A323" s="135"/>
      <c r="B323" s="135"/>
      <c r="C323" s="203"/>
      <c r="D323" s="18"/>
      <c r="E323" s="16"/>
      <c r="F323" s="16"/>
      <c r="G323" s="194"/>
      <c r="H323" s="194"/>
      <c r="I323" s="758"/>
      <c r="J323" s="712"/>
      <c r="K323" s="752"/>
      <c r="L323" s="753"/>
      <c r="M323" s="753"/>
      <c r="N323" s="754"/>
      <c r="O323" s="754"/>
      <c r="P323" s="12"/>
      <c r="Q323" s="755"/>
      <c r="R323" s="755"/>
      <c r="S323" s="755"/>
      <c r="T323" s="755"/>
      <c r="U323" s="755"/>
      <c r="V323" s="189"/>
      <c r="W323" s="189"/>
    </row>
    <row r="324" spans="1:23" ht="19.5" customHeight="1">
      <c r="A324" s="204"/>
      <c r="B324" s="204" t="s">
        <v>270</v>
      </c>
      <c r="C324" s="368"/>
      <c r="D324" s="234"/>
      <c r="E324" s="16"/>
      <c r="F324" s="16"/>
      <c r="G324" s="194"/>
      <c r="H324" s="194">
        <v>956061.51</v>
      </c>
      <c r="I324" s="758"/>
      <c r="J324" s="712"/>
      <c r="K324" s="752"/>
      <c r="L324" s="753"/>
      <c r="M324" s="753"/>
      <c r="N324" s="754"/>
      <c r="O324" s="754"/>
      <c r="P324" s="12"/>
      <c r="Q324" s="755"/>
      <c r="R324" s="755"/>
      <c r="S324" s="755"/>
      <c r="T324" s="755"/>
      <c r="U324" s="755"/>
      <c r="V324" s="189"/>
      <c r="W324" s="189"/>
    </row>
    <row r="325" spans="1:23" ht="19.5" customHeight="1">
      <c r="A325" s="204"/>
      <c r="B325" s="204" t="s">
        <v>166</v>
      </c>
      <c r="C325" s="368"/>
      <c r="D325" s="234"/>
      <c r="E325" s="16"/>
      <c r="F325" s="16"/>
      <c r="G325" s="194"/>
      <c r="H325" s="194">
        <f>H324-2500</f>
        <v>953561.51</v>
      </c>
      <c r="I325" s="758"/>
      <c r="J325" s="712"/>
      <c r="K325" s="752"/>
      <c r="L325" s="753"/>
      <c r="M325" s="753"/>
      <c r="N325" s="754"/>
      <c r="O325" s="754"/>
      <c r="P325" s="12"/>
      <c r="Q325" s="755"/>
      <c r="R325" s="755"/>
      <c r="S325" s="755"/>
      <c r="T325" s="755"/>
      <c r="U325" s="755"/>
      <c r="V325" s="189"/>
      <c r="W325" s="189"/>
    </row>
    <row r="326" spans="1:23" ht="19.5" customHeight="1">
      <c r="A326" s="204"/>
      <c r="B326" s="204"/>
      <c r="C326" s="368"/>
      <c r="D326" s="234"/>
      <c r="E326" s="16"/>
      <c r="F326" s="16"/>
      <c r="G326" s="194"/>
      <c r="H326" s="194"/>
      <c r="I326" s="758"/>
      <c r="J326" s="712"/>
      <c r="K326" s="752"/>
      <c r="L326" s="753"/>
      <c r="M326" s="753"/>
      <c r="N326" s="754"/>
      <c r="O326" s="754"/>
      <c r="P326" s="12"/>
      <c r="Q326" s="755"/>
      <c r="R326" s="755"/>
      <c r="S326" s="755"/>
      <c r="T326" s="755"/>
      <c r="U326" s="755"/>
      <c r="V326" s="189"/>
      <c r="W326" s="189"/>
    </row>
    <row r="327" spans="1:23" ht="19.5" customHeight="1">
      <c r="A327" s="204"/>
      <c r="B327" s="204"/>
      <c r="C327" s="368"/>
      <c r="D327" s="234"/>
      <c r="E327" s="16"/>
      <c r="F327" s="16"/>
      <c r="G327" s="194"/>
      <c r="H327" s="194"/>
      <c r="I327" s="758"/>
      <c r="J327" s="712"/>
      <c r="K327" s="752"/>
      <c r="L327" s="753"/>
      <c r="M327" s="753"/>
      <c r="N327" s="754"/>
      <c r="O327" s="754"/>
      <c r="P327" s="12"/>
      <c r="Q327" s="755"/>
      <c r="R327" s="755"/>
      <c r="S327" s="755"/>
      <c r="T327" s="755"/>
      <c r="U327" s="755"/>
      <c r="V327" s="189"/>
      <c r="W327" s="189"/>
    </row>
    <row r="328" spans="1:23" ht="19.5" customHeight="1">
      <c r="A328" s="367" t="s">
        <v>329</v>
      </c>
      <c r="B328" s="204"/>
      <c r="C328" s="368"/>
      <c r="D328" s="19"/>
      <c r="E328" s="19"/>
      <c r="F328" s="19"/>
      <c r="G328" s="194"/>
      <c r="H328" s="194">
        <f>H331+H334</f>
        <v>431439</v>
      </c>
      <c r="I328" s="758"/>
      <c r="J328" s="713"/>
      <c r="K328" s="752"/>
      <c r="L328" s="753"/>
      <c r="M328" s="753"/>
      <c r="N328" s="754"/>
      <c r="O328" s="754"/>
      <c r="P328" s="12"/>
      <c r="Q328" s="755"/>
      <c r="R328" s="755"/>
      <c r="S328" s="755"/>
      <c r="T328" s="755"/>
      <c r="U328" s="755"/>
      <c r="V328" s="189"/>
      <c r="W328" s="189"/>
    </row>
    <row r="329" spans="1:23" ht="19.5" customHeight="1">
      <c r="A329" s="204" t="s">
        <v>163</v>
      </c>
      <c r="B329" s="204"/>
      <c r="C329" s="368"/>
      <c r="D329" s="19"/>
      <c r="E329" s="16"/>
      <c r="F329" s="16"/>
      <c r="G329" s="194"/>
      <c r="H329" s="194">
        <f>H332+H335</f>
        <v>411217</v>
      </c>
      <c r="I329" s="758"/>
      <c r="J329" s="713"/>
      <c r="K329" s="752"/>
      <c r="L329" s="753"/>
      <c r="M329" s="753"/>
      <c r="N329" s="754"/>
      <c r="O329" s="754"/>
      <c r="P329" s="12"/>
      <c r="Q329" s="755"/>
      <c r="R329" s="755"/>
      <c r="S329" s="755"/>
      <c r="T329" s="755"/>
      <c r="U329" s="755"/>
      <c r="V329" s="189"/>
      <c r="W329" s="189"/>
    </row>
    <row r="330" spans="1:23" ht="19.5" customHeight="1">
      <c r="A330" s="204"/>
      <c r="B330" s="204" t="s">
        <v>90</v>
      </c>
      <c r="C330" s="368"/>
      <c r="D330" s="19"/>
      <c r="E330" s="16"/>
      <c r="F330" s="16"/>
      <c r="G330" s="194"/>
      <c r="H330" s="194"/>
      <c r="I330" s="758"/>
      <c r="J330" s="712"/>
      <c r="K330" s="752"/>
      <c r="L330" s="753"/>
      <c r="M330" s="753"/>
      <c r="N330" s="754"/>
      <c r="O330" s="754"/>
      <c r="P330" s="12"/>
      <c r="Q330" s="755"/>
      <c r="R330" s="755"/>
      <c r="S330" s="755"/>
      <c r="T330" s="755"/>
      <c r="U330" s="755"/>
      <c r="V330" s="189"/>
      <c r="W330" s="189"/>
    </row>
    <row r="331" spans="1:23" ht="19.5" customHeight="1">
      <c r="A331" s="204"/>
      <c r="B331" s="204" t="s">
        <v>165</v>
      </c>
      <c r="C331" s="368"/>
      <c r="D331" s="369"/>
      <c r="E331" s="16"/>
      <c r="F331" s="16"/>
      <c r="G331" s="194"/>
      <c r="H331" s="194">
        <v>209139</v>
      </c>
      <c r="I331" s="758"/>
      <c r="J331" s="712"/>
      <c r="K331" s="752"/>
      <c r="L331" s="753"/>
      <c r="M331" s="753"/>
      <c r="N331" s="754"/>
      <c r="O331" s="754"/>
      <c r="P331" s="12"/>
      <c r="Q331" s="755"/>
      <c r="R331" s="755"/>
      <c r="S331" s="755"/>
      <c r="T331" s="755"/>
      <c r="U331" s="755"/>
      <c r="V331" s="189"/>
      <c r="W331" s="189"/>
    </row>
    <row r="332" spans="1:23" ht="19.5" customHeight="1">
      <c r="A332" s="204"/>
      <c r="B332" s="204" t="s">
        <v>166</v>
      </c>
      <c r="C332" s="368"/>
      <c r="D332" s="369"/>
      <c r="E332" s="16"/>
      <c r="F332" s="16"/>
      <c r="G332" s="194"/>
      <c r="H332" s="194">
        <f>H331-12122</f>
        <v>197017</v>
      </c>
      <c r="I332" s="758"/>
      <c r="J332" s="712"/>
      <c r="K332" s="752"/>
      <c r="L332" s="753"/>
      <c r="M332" s="753"/>
      <c r="N332" s="754"/>
      <c r="O332" s="754"/>
      <c r="P332" s="12"/>
      <c r="Q332" s="755"/>
      <c r="R332" s="755"/>
      <c r="S332" s="755"/>
      <c r="T332" s="755"/>
      <c r="U332" s="755"/>
      <c r="V332" s="189"/>
      <c r="W332" s="189"/>
    </row>
    <row r="333" spans="1:23" ht="19.5" customHeight="1">
      <c r="A333" s="204"/>
      <c r="B333" s="204"/>
      <c r="C333" s="205"/>
      <c r="D333" s="19"/>
      <c r="E333" s="16"/>
      <c r="F333" s="16"/>
      <c r="G333" s="194"/>
      <c r="H333" s="194"/>
      <c r="I333" s="758"/>
      <c r="J333" s="712"/>
      <c r="K333" s="752"/>
      <c r="L333" s="753"/>
      <c r="M333" s="753"/>
      <c r="N333" s="754"/>
      <c r="O333" s="754"/>
      <c r="P333" s="12"/>
      <c r="Q333" s="755"/>
      <c r="R333" s="755"/>
      <c r="S333" s="755"/>
      <c r="T333" s="755"/>
      <c r="U333" s="755"/>
      <c r="V333" s="189"/>
      <c r="W333" s="189"/>
    </row>
    <row r="334" spans="1:23" ht="19.5" customHeight="1">
      <c r="A334" s="204"/>
      <c r="B334" s="204" t="s">
        <v>270</v>
      </c>
      <c r="C334" s="368"/>
      <c r="D334" s="19"/>
      <c r="E334" s="16"/>
      <c r="F334" s="16"/>
      <c r="G334" s="194"/>
      <c r="H334" s="194">
        <v>222300</v>
      </c>
      <c r="I334" s="758"/>
      <c r="J334" s="712"/>
      <c r="K334" s="752"/>
      <c r="L334" s="753"/>
      <c r="M334" s="753"/>
      <c r="N334" s="754"/>
      <c r="O334" s="754"/>
      <c r="P334" s="12"/>
      <c r="Q334" s="755"/>
      <c r="R334" s="755"/>
      <c r="S334" s="755"/>
      <c r="T334" s="755"/>
      <c r="U334" s="755"/>
      <c r="V334" s="189"/>
      <c r="W334" s="189"/>
    </row>
    <row r="335" spans="1:23" ht="19.5" customHeight="1">
      <c r="A335" s="204"/>
      <c r="B335" s="204" t="s">
        <v>166</v>
      </c>
      <c r="C335" s="368"/>
      <c r="D335" s="19"/>
      <c r="E335" s="16"/>
      <c r="F335" s="16"/>
      <c r="G335" s="194"/>
      <c r="H335" s="194">
        <f>H334-8100</f>
        <v>214200</v>
      </c>
      <c r="I335" s="758"/>
      <c r="J335" s="712"/>
      <c r="K335" s="752"/>
      <c r="L335" s="753"/>
      <c r="M335" s="753"/>
      <c r="N335" s="754"/>
      <c r="O335" s="754"/>
      <c r="P335" s="12"/>
      <c r="Q335" s="755"/>
      <c r="R335" s="755"/>
      <c r="S335" s="755"/>
      <c r="T335" s="755"/>
      <c r="U335" s="755"/>
      <c r="V335" s="189"/>
      <c r="W335" s="189"/>
    </row>
    <row r="336" spans="1:23" ht="19.5" customHeight="1">
      <c r="A336" s="204"/>
      <c r="B336" s="204"/>
      <c r="C336" s="205"/>
      <c r="D336" s="19"/>
      <c r="E336" s="16"/>
      <c r="F336" s="16"/>
      <c r="G336" s="194"/>
      <c r="H336" s="194"/>
      <c r="I336" s="758"/>
      <c r="J336" s="712"/>
      <c r="K336" s="752"/>
      <c r="L336" s="753"/>
      <c r="M336" s="753"/>
      <c r="N336" s="754"/>
      <c r="O336" s="754"/>
      <c r="P336" s="12"/>
      <c r="Q336" s="755"/>
      <c r="R336" s="755"/>
      <c r="S336" s="755"/>
      <c r="T336" s="755"/>
      <c r="U336" s="755"/>
      <c r="V336" s="189"/>
      <c r="W336" s="189"/>
    </row>
    <row r="337" spans="1:23" ht="19.5" customHeight="1">
      <c r="A337" s="204"/>
      <c r="B337" s="204"/>
      <c r="C337" s="205"/>
      <c r="D337" s="19"/>
      <c r="E337" s="16"/>
      <c r="F337" s="16"/>
      <c r="G337" s="194"/>
      <c r="H337" s="194"/>
      <c r="I337" s="758"/>
      <c r="J337" s="712"/>
      <c r="K337" s="752"/>
      <c r="L337" s="753"/>
      <c r="M337" s="753"/>
      <c r="N337" s="754"/>
      <c r="O337" s="754"/>
      <c r="P337" s="12"/>
      <c r="Q337" s="755"/>
      <c r="R337" s="755"/>
      <c r="S337" s="755"/>
      <c r="T337" s="755"/>
      <c r="U337" s="755"/>
      <c r="V337" s="189"/>
      <c r="W337" s="189"/>
    </row>
    <row r="338" spans="1:23" ht="19.5" customHeight="1">
      <c r="A338" s="156" t="s">
        <v>168</v>
      </c>
      <c r="B338" s="204"/>
      <c r="C338" s="205"/>
      <c r="D338" s="19"/>
      <c r="E338" s="16"/>
      <c r="F338" s="16"/>
      <c r="G338" s="194"/>
      <c r="H338" s="194"/>
      <c r="I338" s="758"/>
      <c r="J338" s="712"/>
      <c r="K338" s="752"/>
      <c r="L338" s="753"/>
      <c r="M338" s="753"/>
      <c r="N338" s="754"/>
      <c r="O338" s="754"/>
      <c r="P338" s="12"/>
      <c r="Q338" s="755"/>
      <c r="R338" s="755"/>
      <c r="S338" s="755"/>
      <c r="T338" s="755"/>
      <c r="U338" s="755"/>
      <c r="V338" s="189"/>
      <c r="W338" s="189"/>
    </row>
    <row r="339" spans="1:23" ht="19.5" customHeight="1">
      <c r="A339" s="156"/>
      <c r="B339" s="204"/>
      <c r="C339" s="205"/>
      <c r="D339" s="19"/>
      <c r="E339" s="16"/>
      <c r="F339" s="16"/>
      <c r="G339" s="194"/>
      <c r="H339" s="194"/>
      <c r="I339" s="758"/>
      <c r="J339" s="712"/>
      <c r="K339" s="752"/>
      <c r="L339" s="753"/>
      <c r="M339" s="753"/>
      <c r="N339" s="754"/>
      <c r="O339" s="754"/>
      <c r="P339" s="12"/>
      <c r="Q339" s="755"/>
      <c r="R339" s="755"/>
      <c r="S339" s="755"/>
      <c r="T339" s="755"/>
      <c r="U339" s="755"/>
      <c r="V339" s="189"/>
      <c r="W339" s="189"/>
    </row>
    <row r="340" spans="1:23" ht="19.5" customHeight="1">
      <c r="A340" s="204"/>
      <c r="B340" s="204"/>
      <c r="C340" s="205"/>
      <c r="D340" s="19"/>
      <c r="E340" s="16"/>
      <c r="F340" s="16"/>
      <c r="G340" s="194"/>
      <c r="H340" s="194"/>
      <c r="I340" s="758"/>
      <c r="J340" s="712"/>
      <c r="K340" s="752"/>
      <c r="L340" s="753"/>
      <c r="M340" s="753"/>
      <c r="N340" s="754"/>
      <c r="O340" s="754"/>
      <c r="P340" s="12"/>
      <c r="Q340" s="755"/>
      <c r="R340" s="755"/>
      <c r="S340" s="755"/>
      <c r="T340" s="755"/>
      <c r="U340" s="755"/>
      <c r="V340" s="189"/>
      <c r="W340" s="189"/>
    </row>
    <row r="341" spans="1:23" ht="19.5" customHeight="1">
      <c r="A341" s="238" t="s">
        <v>500</v>
      </c>
      <c r="B341" s="156"/>
      <c r="C341" s="235"/>
      <c r="D341" s="236"/>
      <c r="E341" s="236"/>
      <c r="F341" s="237"/>
      <c r="G341" s="194"/>
      <c r="H341" s="194"/>
      <c r="I341" s="758"/>
      <c r="J341" s="712"/>
      <c r="K341" s="752"/>
      <c r="L341" s="753"/>
      <c r="M341" s="753"/>
      <c r="N341" s="754"/>
      <c r="O341" s="754"/>
      <c r="P341" s="12"/>
      <c r="Q341" s="755"/>
      <c r="R341" s="755"/>
      <c r="S341" s="755"/>
      <c r="T341" s="755"/>
      <c r="U341" s="755"/>
      <c r="V341" s="189"/>
      <c r="W341" s="189"/>
    </row>
    <row r="342" spans="1:23" ht="19.5" customHeight="1">
      <c r="A342" s="714" t="s">
        <v>501</v>
      </c>
      <c r="B342" s="5"/>
      <c r="C342" s="6"/>
      <c r="D342" s="5"/>
      <c r="E342" s="236"/>
      <c r="F342" s="237"/>
      <c r="G342" s="194"/>
      <c r="H342" s="194"/>
      <c r="I342" s="758"/>
      <c r="J342" s="712"/>
      <c r="K342" s="752"/>
      <c r="L342" s="753"/>
      <c r="M342" s="753"/>
      <c r="N342" s="754"/>
      <c r="O342" s="754"/>
      <c r="P342" s="12"/>
      <c r="Q342" s="755"/>
      <c r="R342" s="755"/>
      <c r="S342" s="755"/>
      <c r="T342" s="755"/>
      <c r="U342" s="755"/>
      <c r="V342" s="189"/>
      <c r="W342" s="189"/>
    </row>
    <row r="343" spans="1:23" ht="19.5" customHeight="1">
      <c r="A343" s="714" t="s">
        <v>502</v>
      </c>
      <c r="B343" s="5"/>
      <c r="C343" s="6"/>
      <c r="D343" s="5"/>
      <c r="E343" s="236"/>
      <c r="F343" s="237"/>
      <c r="G343" s="194"/>
      <c r="H343" s="194"/>
      <c r="I343" s="758"/>
      <c r="J343" s="712"/>
      <c r="K343" s="752"/>
      <c r="L343" s="753"/>
      <c r="M343" s="753"/>
      <c r="N343" s="754"/>
      <c r="O343" s="754"/>
      <c r="P343" s="12"/>
      <c r="Q343" s="755"/>
      <c r="R343" s="755"/>
      <c r="S343" s="755"/>
      <c r="T343" s="755"/>
      <c r="U343" s="755"/>
      <c r="V343" s="189"/>
      <c r="W343" s="189"/>
    </row>
    <row r="344" spans="1:23" ht="19.5" customHeight="1">
      <c r="A344" s="204"/>
      <c r="B344" s="204"/>
      <c r="C344" s="205"/>
      <c r="D344" s="19"/>
      <c r="E344" s="16"/>
      <c r="F344" s="15" t="s">
        <v>498</v>
      </c>
      <c r="G344" s="194" t="s">
        <v>484</v>
      </c>
      <c r="H344" s="194"/>
      <c r="I344" s="758"/>
      <c r="J344" s="712"/>
      <c r="K344" s="752"/>
      <c r="L344" s="753"/>
      <c r="M344" s="753"/>
      <c r="N344" s="754"/>
      <c r="O344" s="754"/>
      <c r="P344" s="12"/>
      <c r="Q344" s="755"/>
      <c r="R344" s="755"/>
      <c r="S344" s="755"/>
      <c r="T344" s="755"/>
      <c r="U344" s="755"/>
      <c r="V344" s="189"/>
      <c r="W344" s="189"/>
    </row>
    <row r="345" spans="1:23" ht="19.5" customHeight="1">
      <c r="A345" s="367" t="s">
        <v>167</v>
      </c>
      <c r="B345" s="204"/>
      <c r="C345" s="368"/>
      <c r="D345" s="369"/>
      <c r="E345" s="16"/>
      <c r="F345" s="194">
        <f>F348+936101.51</f>
        <v>1208901.33</v>
      </c>
      <c r="G345" s="194">
        <f>272799.82+936101.51</f>
        <v>1208901.33</v>
      </c>
      <c r="H345" s="194"/>
      <c r="I345" s="758"/>
      <c r="J345" s="712"/>
      <c r="K345" s="752"/>
      <c r="L345" s="753"/>
      <c r="M345" s="753"/>
      <c r="N345" s="754"/>
      <c r="O345" s="754"/>
      <c r="P345" s="12"/>
      <c r="Q345" s="755"/>
      <c r="R345" s="755"/>
      <c r="S345" s="755"/>
      <c r="T345" s="755"/>
      <c r="U345" s="755"/>
      <c r="V345" s="189"/>
      <c r="W345" s="189"/>
    </row>
    <row r="346" spans="1:23" ht="19.5" customHeight="1">
      <c r="A346" s="367" t="s">
        <v>163</v>
      </c>
      <c r="B346" s="204"/>
      <c r="C346" s="368"/>
      <c r="D346" s="369"/>
      <c r="E346" s="16"/>
      <c r="F346" s="194">
        <v>1118378.33</v>
      </c>
      <c r="G346" s="194">
        <f>G349+956061.51</f>
        <v>1219451.33</v>
      </c>
      <c r="H346" s="194"/>
      <c r="I346" s="758"/>
      <c r="J346" s="712"/>
      <c r="K346" s="752"/>
      <c r="L346" s="753"/>
      <c r="M346" s="753"/>
      <c r="N346" s="754"/>
      <c r="O346" s="754"/>
      <c r="P346" s="12"/>
      <c r="Q346" s="755"/>
      <c r="R346" s="755"/>
      <c r="S346" s="755"/>
      <c r="T346" s="755"/>
      <c r="U346" s="755"/>
      <c r="V346" s="189"/>
      <c r="W346" s="189"/>
    </row>
    <row r="347" spans="1:23" ht="19.5" customHeight="1">
      <c r="A347" s="204" t="s">
        <v>164</v>
      </c>
      <c r="B347" s="204"/>
      <c r="C347" s="368"/>
      <c r="D347" s="369"/>
      <c r="E347" s="16"/>
      <c r="F347" s="194"/>
      <c r="G347" s="194"/>
      <c r="H347" s="194"/>
      <c r="I347" s="758"/>
      <c r="J347" s="712"/>
      <c r="K347" s="752"/>
      <c r="L347" s="753"/>
      <c r="M347" s="753"/>
      <c r="N347" s="754"/>
      <c r="O347" s="754"/>
      <c r="P347" s="12"/>
      <c r="Q347" s="755"/>
      <c r="R347" s="755"/>
      <c r="S347" s="755"/>
      <c r="T347" s="755"/>
      <c r="U347" s="755"/>
      <c r="V347" s="189"/>
      <c r="W347" s="189"/>
    </row>
    <row r="348" spans="1:23" ht="19.5" customHeight="1">
      <c r="A348" s="204"/>
      <c r="B348" s="204" t="s">
        <v>165</v>
      </c>
      <c r="C348" s="368"/>
      <c r="D348" s="369"/>
      <c r="E348" s="16"/>
      <c r="F348" s="194">
        <v>272799.82</v>
      </c>
      <c r="G348" s="194">
        <v>272799.82</v>
      </c>
      <c r="H348" s="194"/>
      <c r="I348" s="758"/>
      <c r="J348" s="712"/>
      <c r="K348" s="752"/>
      <c r="L348" s="753"/>
      <c r="M348" s="753"/>
      <c r="N348" s="754"/>
      <c r="O348" s="754"/>
      <c r="P348" s="12"/>
      <c r="Q348" s="755"/>
      <c r="R348" s="755"/>
      <c r="S348" s="755"/>
      <c r="T348" s="755"/>
      <c r="U348" s="755"/>
      <c r="V348" s="189"/>
      <c r="W348" s="189"/>
    </row>
    <row r="349" spans="1:23" ht="19.5" customHeight="1">
      <c r="A349" s="204"/>
      <c r="B349" s="204" t="s">
        <v>166</v>
      </c>
      <c r="C349" s="368"/>
      <c r="D349" s="369"/>
      <c r="E349" s="16"/>
      <c r="F349" s="194">
        <v>162316.82</v>
      </c>
      <c r="G349" s="194">
        <v>263389.82</v>
      </c>
      <c r="H349" s="194"/>
      <c r="I349" s="758"/>
      <c r="J349" s="712"/>
      <c r="K349" s="752"/>
      <c r="L349" s="753"/>
      <c r="M349" s="753"/>
      <c r="N349" s="754"/>
      <c r="O349" s="754"/>
      <c r="P349" s="12"/>
      <c r="Q349" s="755"/>
      <c r="R349" s="755"/>
      <c r="S349" s="755"/>
      <c r="T349" s="755"/>
      <c r="U349" s="755"/>
      <c r="V349" s="189"/>
      <c r="W349" s="189"/>
    </row>
    <row r="350" spans="1:23" ht="19.5" customHeight="1">
      <c r="A350" s="135"/>
      <c r="B350" s="135"/>
      <c r="C350" s="203"/>
      <c r="D350" s="18"/>
      <c r="E350" s="16"/>
      <c r="F350" s="194"/>
      <c r="G350" s="194"/>
      <c r="H350" s="194"/>
      <c r="I350" s="758"/>
      <c r="J350" s="712"/>
      <c r="K350" s="752"/>
      <c r="L350" s="753"/>
      <c r="M350" s="753"/>
      <c r="N350" s="754"/>
      <c r="O350" s="754"/>
      <c r="P350" s="12"/>
      <c r="Q350" s="755"/>
      <c r="R350" s="755"/>
      <c r="S350" s="755"/>
      <c r="T350" s="755"/>
      <c r="U350" s="755"/>
      <c r="V350" s="189"/>
      <c r="W350" s="189"/>
    </row>
    <row r="351" spans="1:23" ht="19.5" customHeight="1">
      <c r="A351" s="204"/>
      <c r="B351" s="204"/>
      <c r="C351" s="205"/>
      <c r="D351" s="19"/>
      <c r="E351" s="16"/>
      <c r="F351" s="16"/>
      <c r="G351" s="194"/>
      <c r="H351" s="194"/>
      <c r="I351" s="758"/>
      <c r="J351" s="712"/>
      <c r="K351" s="752"/>
      <c r="L351" s="753"/>
      <c r="M351" s="753"/>
      <c r="N351" s="754"/>
      <c r="O351" s="754"/>
      <c r="P351" s="12"/>
      <c r="Q351" s="755"/>
      <c r="R351" s="755"/>
      <c r="S351" s="755"/>
      <c r="T351" s="755"/>
      <c r="U351" s="755"/>
      <c r="V351" s="189"/>
      <c r="W351" s="189"/>
    </row>
    <row r="352" spans="1:23" ht="19.5" customHeight="1">
      <c r="A352" s="204"/>
      <c r="B352" s="204"/>
      <c r="C352" s="205"/>
      <c r="D352" s="19"/>
      <c r="E352" s="16"/>
      <c r="F352" s="16"/>
      <c r="G352" s="194"/>
      <c r="H352" s="194"/>
      <c r="I352" s="758"/>
      <c r="J352" s="712"/>
      <c r="K352" s="752"/>
      <c r="L352" s="753"/>
      <c r="M352" s="753"/>
      <c r="N352" s="754"/>
      <c r="O352" s="754"/>
      <c r="P352" s="12"/>
      <c r="Q352" s="755"/>
      <c r="R352" s="755"/>
      <c r="S352" s="755"/>
      <c r="T352" s="755"/>
      <c r="U352" s="755"/>
      <c r="V352" s="189"/>
      <c r="W352" s="189"/>
    </row>
    <row r="353" spans="1:13" ht="19.5" customHeight="1">
      <c r="A353" s="156" t="s">
        <v>170</v>
      </c>
      <c r="B353" s="156"/>
      <c r="C353" s="235"/>
      <c r="D353" s="236"/>
      <c r="E353" s="236"/>
      <c r="F353" s="237"/>
      <c r="G353" s="236"/>
      <c r="H353" s="194"/>
      <c r="I353" s="734"/>
      <c r="J353" s="728"/>
      <c r="K353" s="791"/>
      <c r="L353" s="502"/>
      <c r="M353" s="502"/>
    </row>
    <row r="354" spans="1:13" ht="19.5" customHeight="1">
      <c r="A354" s="156"/>
      <c r="B354" s="156"/>
      <c r="C354" s="235"/>
      <c r="D354" s="236"/>
      <c r="E354" s="236"/>
      <c r="F354" s="237"/>
      <c r="G354" s="236"/>
      <c r="H354" s="194"/>
      <c r="I354" s="734"/>
      <c r="J354" s="728"/>
      <c r="K354" s="791"/>
      <c r="L354" s="502"/>
      <c r="M354" s="502"/>
    </row>
    <row r="355" spans="1:13" ht="19.5" customHeight="1">
      <c r="A355" s="238" t="s">
        <v>169</v>
      </c>
      <c r="B355" s="238"/>
      <c r="C355" s="239"/>
      <c r="D355" s="240"/>
      <c r="E355" s="240"/>
      <c r="F355" s="241"/>
      <c r="G355" s="240"/>
      <c r="H355" s="17"/>
      <c r="I355" s="734"/>
      <c r="J355" s="728"/>
      <c r="K355" s="791"/>
      <c r="L355" s="502"/>
      <c r="M355" s="502"/>
    </row>
    <row r="356" spans="1:13" ht="19.5" customHeight="1">
      <c r="A356" s="238"/>
      <c r="B356" s="238"/>
      <c r="C356" s="239"/>
      <c r="D356" s="240"/>
      <c r="E356" s="240"/>
      <c r="F356" s="241"/>
      <c r="G356" s="240"/>
      <c r="H356" s="17"/>
      <c r="I356" s="734"/>
      <c r="J356" s="728"/>
      <c r="K356" s="791"/>
      <c r="L356" s="502"/>
      <c r="M356" s="502"/>
    </row>
    <row r="357" spans="1:13" ht="19.5" customHeight="1">
      <c r="A357" s="156" t="s">
        <v>483</v>
      </c>
      <c r="B357" s="156"/>
      <c r="C357" s="235"/>
      <c r="D357" s="236"/>
      <c r="E357" s="236"/>
      <c r="F357" s="237"/>
      <c r="G357" s="236"/>
      <c r="H357" s="194"/>
      <c r="I357" s="734"/>
      <c r="J357" s="728"/>
      <c r="K357" s="791"/>
      <c r="L357" s="502"/>
      <c r="M357" s="502"/>
    </row>
    <row r="358" spans="1:13" ht="19.5" customHeight="1">
      <c r="A358" s="156"/>
      <c r="B358" s="156"/>
      <c r="C358" s="235"/>
      <c r="D358" s="236"/>
      <c r="E358" s="236"/>
      <c r="F358" s="237"/>
      <c r="G358" s="236"/>
      <c r="H358" s="194"/>
      <c r="I358" s="734"/>
      <c r="J358" s="728"/>
      <c r="K358" s="791"/>
      <c r="L358" s="502"/>
      <c r="M358" s="502"/>
    </row>
    <row r="359" spans="1:13" ht="19.5" customHeight="1">
      <c r="A359" s="238"/>
      <c r="B359" s="238"/>
      <c r="C359" s="239"/>
      <c r="D359" s="240"/>
      <c r="E359" s="240"/>
      <c r="F359" s="241"/>
      <c r="G359" s="240"/>
      <c r="H359" s="17"/>
      <c r="I359" s="792"/>
      <c r="J359" s="728"/>
      <c r="K359" s="791"/>
      <c r="L359" s="399"/>
      <c r="M359" s="502"/>
    </row>
    <row r="360" spans="1:13" ht="19.5" customHeight="1">
      <c r="A360" s="238" t="s">
        <v>171</v>
      </c>
      <c r="B360" s="238"/>
      <c r="C360" s="239"/>
      <c r="D360" s="240"/>
      <c r="E360" s="240"/>
      <c r="F360" s="241"/>
      <c r="G360" s="240"/>
      <c r="I360" s="792"/>
      <c r="J360" s="728"/>
      <c r="K360" s="791"/>
      <c r="L360" s="399"/>
      <c r="M360" s="502"/>
    </row>
    <row r="361" spans="1:13" ht="19.5" customHeight="1">
      <c r="A361" s="238"/>
      <c r="B361" s="238"/>
      <c r="C361" s="239"/>
      <c r="D361" s="240"/>
      <c r="E361" s="240"/>
      <c r="F361" s="241"/>
      <c r="G361" s="240"/>
      <c r="I361" s="792"/>
      <c r="J361" s="728"/>
      <c r="K361" s="791"/>
      <c r="L361" s="399"/>
      <c r="M361" s="502"/>
    </row>
    <row r="362" spans="1:13" ht="19.5" customHeight="1">
      <c r="A362" s="238"/>
      <c r="B362" s="238"/>
      <c r="C362" s="239"/>
      <c r="D362" s="240"/>
      <c r="E362" s="240"/>
      <c r="F362" s="241"/>
      <c r="G362" s="240"/>
      <c r="I362" s="792"/>
      <c r="J362" s="728"/>
      <c r="K362" s="791"/>
      <c r="L362" s="399"/>
      <c r="M362" s="502"/>
    </row>
    <row r="363" spans="1:13" ht="19.5" customHeight="1">
      <c r="A363" s="238"/>
      <c r="B363" s="238"/>
      <c r="C363" s="239"/>
      <c r="D363" s="240"/>
      <c r="E363" s="240"/>
      <c r="F363" s="241"/>
      <c r="G363" s="240"/>
      <c r="I363" s="792"/>
      <c r="J363" s="728"/>
      <c r="K363" s="791"/>
      <c r="L363" s="399"/>
      <c r="M363" s="502"/>
    </row>
    <row r="364" spans="1:11" ht="19.5" customHeight="1">
      <c r="A364" s="153"/>
      <c r="B364" s="153"/>
      <c r="C364" s="154"/>
      <c r="D364" s="242"/>
      <c r="E364" s="242"/>
      <c r="F364" s="243" t="s">
        <v>172</v>
      </c>
      <c r="G364" s="242"/>
      <c r="I364" s="734"/>
      <c r="K364" s="733"/>
    </row>
    <row r="365" spans="1:11" ht="19.5" customHeight="1">
      <c r="A365" s="153"/>
      <c r="B365" s="153"/>
      <c r="C365" s="154"/>
      <c r="D365" s="242"/>
      <c r="E365" s="242"/>
      <c r="F365" s="243" t="s">
        <v>173</v>
      </c>
      <c r="G365" s="242"/>
      <c r="I365" s="734"/>
      <c r="K365" s="733"/>
    </row>
    <row r="366" spans="1:11" ht="19.5" customHeight="1">
      <c r="A366" s="153"/>
      <c r="B366" s="153"/>
      <c r="C366" s="154"/>
      <c r="D366" s="242"/>
      <c r="E366" s="242"/>
      <c r="F366" s="243"/>
      <c r="G366" s="242"/>
      <c r="I366" s="734"/>
      <c r="K366" s="733"/>
    </row>
    <row r="367" spans="1:11" ht="19.5" customHeight="1">
      <c r="A367" s="153"/>
      <c r="B367" s="153"/>
      <c r="C367" s="154"/>
      <c r="D367" s="242"/>
      <c r="E367" s="242"/>
      <c r="F367" s="244" t="s">
        <v>174</v>
      </c>
      <c r="G367" s="242"/>
      <c r="I367" s="734"/>
      <c r="K367" s="733"/>
    </row>
    <row r="368" spans="1:11" ht="19.5" customHeight="1">
      <c r="A368" s="132"/>
      <c r="B368" s="132"/>
      <c r="C368" s="132"/>
      <c r="I368" s="734"/>
      <c r="K368" s="733"/>
    </row>
    <row r="369" spans="1:11" ht="19.5" customHeight="1">
      <c r="A369" s="132"/>
      <c r="B369" s="132"/>
      <c r="C369" s="132"/>
      <c r="I369" s="734"/>
      <c r="K369" s="733"/>
    </row>
    <row r="370" spans="1:11" ht="19.5" customHeight="1">
      <c r="A370" s="132"/>
      <c r="B370" s="132"/>
      <c r="C370" s="132"/>
      <c r="H370" s="236"/>
      <c r="I370" s="734"/>
      <c r="K370" s="733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0"/>
  <sheetViews>
    <sheetView zoomScalePageLayoutView="0" workbookViewId="0" topLeftCell="A1">
      <selection activeCell="J129" sqref="J129"/>
    </sheetView>
  </sheetViews>
  <sheetFormatPr defaultColWidth="9.140625" defaultRowHeight="12.75"/>
  <cols>
    <col min="1" max="1" width="4.57421875" style="265" customWidth="1"/>
    <col min="2" max="2" width="5.140625" style="117" customWidth="1"/>
    <col min="3" max="3" width="6.57421875" style="117" customWidth="1"/>
    <col min="4" max="4" width="5.28125" style="355" customWidth="1"/>
    <col min="5" max="5" width="48.57421875" style="118" customWidth="1"/>
    <col min="6" max="6" width="14.8515625" style="265" customWidth="1"/>
    <col min="7" max="7" width="13.421875" style="265" customWidth="1"/>
    <col min="8" max="8" width="7.421875" style="117" customWidth="1"/>
    <col min="9" max="9" width="20.8515625" style="117" customWidth="1"/>
    <col min="10" max="10" width="14.7109375" style="117" customWidth="1"/>
    <col min="11" max="16384" width="9.140625" style="117" customWidth="1"/>
  </cols>
  <sheetData>
    <row r="1" spans="1:7" ht="20.25">
      <c r="A1" s="278"/>
      <c r="B1" s="35"/>
      <c r="C1" s="35"/>
      <c r="D1" s="278"/>
      <c r="E1" s="96"/>
      <c r="F1" s="264" t="s">
        <v>265</v>
      </c>
      <c r="G1" s="245"/>
    </row>
    <row r="2" spans="1:7" ht="18.75">
      <c r="A2" s="278"/>
      <c r="B2" s="35"/>
      <c r="C2" s="35"/>
      <c r="D2" s="278"/>
      <c r="E2" s="96"/>
      <c r="F2" s="152" t="s">
        <v>5</v>
      </c>
      <c r="G2" s="245"/>
    </row>
    <row r="3" spans="1:7" ht="18.75">
      <c r="A3" s="278"/>
      <c r="B3" s="35"/>
      <c r="C3" s="35"/>
      <c r="D3" s="278"/>
      <c r="E3" s="96"/>
      <c r="F3" s="152" t="s">
        <v>173</v>
      </c>
      <c r="G3" s="245"/>
    </row>
    <row r="4" spans="1:7" ht="15.75">
      <c r="A4" s="278"/>
      <c r="B4" s="35"/>
      <c r="C4" s="35"/>
      <c r="D4" s="278"/>
      <c r="E4" s="96"/>
      <c r="F4" s="1" t="s">
        <v>8</v>
      </c>
      <c r="G4" s="245"/>
    </row>
    <row r="5" spans="1:7" ht="12.75">
      <c r="A5" s="278"/>
      <c r="B5" s="35"/>
      <c r="C5" s="35"/>
      <c r="D5" s="278"/>
      <c r="E5" s="96"/>
      <c r="F5" s="245"/>
      <c r="G5" s="245"/>
    </row>
    <row r="6" spans="1:7" ht="12.75">
      <c r="A6" s="278"/>
      <c r="B6" s="35"/>
      <c r="C6" s="35"/>
      <c r="D6" s="278"/>
      <c r="E6" s="96"/>
      <c r="F6" s="245"/>
      <c r="G6" s="245"/>
    </row>
    <row r="7" spans="1:7" ht="19.5">
      <c r="A7" s="278"/>
      <c r="B7" s="37"/>
      <c r="C7" s="38" t="s">
        <v>201</v>
      </c>
      <c r="D7" s="279"/>
      <c r="E7" s="97"/>
      <c r="F7" s="280"/>
      <c r="G7" s="280"/>
    </row>
    <row r="8" spans="1:7" ht="19.5">
      <c r="A8" s="278"/>
      <c r="B8" s="37"/>
      <c r="C8" s="38" t="s">
        <v>202</v>
      </c>
      <c r="D8" s="279"/>
      <c r="E8" s="97"/>
      <c r="F8" s="280"/>
      <c r="G8" s="281"/>
    </row>
    <row r="9" spans="1:7" ht="18.75">
      <c r="A9" s="278"/>
      <c r="B9" s="37"/>
      <c r="C9" s="39"/>
      <c r="D9" s="279"/>
      <c r="E9" s="97"/>
      <c r="F9" s="280"/>
      <c r="G9" s="280"/>
    </row>
    <row r="10" spans="1:7" ht="12.75">
      <c r="A10" s="278"/>
      <c r="B10" s="37" t="s">
        <v>91</v>
      </c>
      <c r="C10" s="40"/>
      <c r="D10" s="282"/>
      <c r="E10" s="97"/>
      <c r="F10" s="283" t="s">
        <v>101</v>
      </c>
      <c r="G10" s="283"/>
    </row>
    <row r="11" spans="1:7" ht="18.75" customHeight="1">
      <c r="A11" s="284"/>
      <c r="B11" s="98"/>
      <c r="C11" s="41"/>
      <c r="D11" s="285"/>
      <c r="E11" s="99"/>
      <c r="F11" s="286" t="s">
        <v>203</v>
      </c>
      <c r="G11" s="287"/>
    </row>
    <row r="12" spans="1:7" ht="16.5" customHeight="1">
      <c r="A12" s="255" t="s">
        <v>132</v>
      </c>
      <c r="B12" s="100" t="s">
        <v>102</v>
      </c>
      <c r="C12" s="42" t="s">
        <v>99</v>
      </c>
      <c r="D12" s="42" t="s">
        <v>94</v>
      </c>
      <c r="E12" s="101" t="s">
        <v>103</v>
      </c>
      <c r="F12" s="288"/>
      <c r="G12" s="289" t="s">
        <v>90</v>
      </c>
    </row>
    <row r="13" spans="1:10" ht="46.5" customHeight="1">
      <c r="A13" s="290"/>
      <c r="B13" s="102"/>
      <c r="C13" s="43"/>
      <c r="D13" s="291"/>
      <c r="E13" s="103"/>
      <c r="F13" s="292" t="s">
        <v>104</v>
      </c>
      <c r="G13" s="293" t="s">
        <v>105</v>
      </c>
      <c r="I13" s="294"/>
      <c r="J13" s="294"/>
    </row>
    <row r="14" spans="1:10" ht="21" customHeight="1">
      <c r="A14" s="284"/>
      <c r="B14" s="44" t="s">
        <v>106</v>
      </c>
      <c r="C14" s="45"/>
      <c r="D14" s="295"/>
      <c r="E14" s="104"/>
      <c r="F14" s="296">
        <f>F15+F39+F49+F57+F62+F65+F98+F101+F105+F114+F141+F146</f>
        <v>40543322.88</v>
      </c>
      <c r="G14" s="296">
        <f>G15+G39+G49+G57+G62+G65+G98+G101+G105+G114+G141+G146</f>
        <v>5445793</v>
      </c>
      <c r="I14" s="297"/>
      <c r="J14" s="297"/>
    </row>
    <row r="15" spans="1:10" ht="19.5" customHeight="1">
      <c r="A15" s="246"/>
      <c r="B15" s="48">
        <v>600</v>
      </c>
      <c r="C15" s="48"/>
      <c r="D15" s="298"/>
      <c r="E15" s="105" t="s">
        <v>107</v>
      </c>
      <c r="F15" s="106">
        <f>F16+F18</f>
        <v>10668928.049999999</v>
      </c>
      <c r="G15" s="126">
        <f>G16+G18</f>
        <v>2500000</v>
      </c>
      <c r="I15" s="299"/>
      <c r="J15" s="299"/>
    </row>
    <row r="16" spans="1:10" s="317" customFormat="1" ht="19.5" customHeight="1">
      <c r="A16" s="290"/>
      <c r="B16" s="64"/>
      <c r="C16" s="57">
        <v>60004</v>
      </c>
      <c r="D16" s="250"/>
      <c r="E16" s="386" t="s">
        <v>278</v>
      </c>
      <c r="F16" s="119">
        <f>F17</f>
        <v>20000</v>
      </c>
      <c r="G16" s="120"/>
      <c r="I16" s="387"/>
      <c r="J16" s="387"/>
    </row>
    <row r="17" spans="1:10" s="317" customFormat="1" ht="19.5" customHeight="1">
      <c r="A17" s="290">
        <v>1</v>
      </c>
      <c r="B17" s="64"/>
      <c r="C17" s="57"/>
      <c r="D17" s="250">
        <v>6050</v>
      </c>
      <c r="E17" s="386" t="s">
        <v>277</v>
      </c>
      <c r="F17" s="119">
        <v>20000</v>
      </c>
      <c r="G17" s="120"/>
      <c r="I17" s="387"/>
      <c r="J17" s="387"/>
    </row>
    <row r="18" spans="1:7" ht="18" customHeight="1">
      <c r="A18" s="290"/>
      <c r="B18" s="85"/>
      <c r="C18" s="82">
        <v>60016</v>
      </c>
      <c r="D18" s="300"/>
      <c r="E18" s="76" t="s">
        <v>108</v>
      </c>
      <c r="F18" s="107">
        <f>SUM(F19:F38)</f>
        <v>10648928.049999999</v>
      </c>
      <c r="G18" s="114">
        <f>SUM(G19:G38)</f>
        <v>2500000</v>
      </c>
    </row>
    <row r="19" spans="1:9" s="252" customFormat="1" ht="26.25" customHeight="1">
      <c r="A19" s="246">
        <v>2</v>
      </c>
      <c r="B19" s="248"/>
      <c r="C19" s="371"/>
      <c r="D19" s="250">
        <v>6050</v>
      </c>
      <c r="E19" s="66" t="s">
        <v>179</v>
      </c>
      <c r="F19" s="120">
        <f>3013000-46563.41</f>
        <v>2966436.59</v>
      </c>
      <c r="G19" s="120">
        <v>2000000</v>
      </c>
      <c r="H19" s="251"/>
      <c r="I19" s="251"/>
    </row>
    <row r="20" spans="1:8" s="252" customFormat="1" ht="38.25" customHeight="1">
      <c r="A20" s="246">
        <v>3</v>
      </c>
      <c r="B20" s="248"/>
      <c r="C20" s="371"/>
      <c r="D20" s="250">
        <v>6050</v>
      </c>
      <c r="E20" s="253" t="s">
        <v>180</v>
      </c>
      <c r="F20" s="119">
        <v>1857.05</v>
      </c>
      <c r="G20" s="120">
        <v>0</v>
      </c>
      <c r="H20" s="251"/>
    </row>
    <row r="21" spans="1:9" s="252" customFormat="1" ht="29.25" customHeight="1">
      <c r="A21" s="246">
        <v>4</v>
      </c>
      <c r="B21" s="254"/>
      <c r="C21" s="372"/>
      <c r="D21" s="250">
        <v>6050</v>
      </c>
      <c r="E21" s="54" t="s">
        <v>204</v>
      </c>
      <c r="F21" s="549">
        <f>1500000-15444.76-5872.57-700000</f>
        <v>778682.6699999999</v>
      </c>
      <c r="G21" s="120">
        <v>0</v>
      </c>
      <c r="I21" s="251"/>
    </row>
    <row r="22" spans="1:7" s="252" customFormat="1" ht="31.5" customHeight="1">
      <c r="A22" s="246">
        <v>5</v>
      </c>
      <c r="B22" s="254"/>
      <c r="C22" s="372"/>
      <c r="D22" s="250">
        <v>6050</v>
      </c>
      <c r="E22" s="54" t="s">
        <v>205</v>
      </c>
      <c r="F22" s="549">
        <f>90000-7000</f>
        <v>83000</v>
      </c>
      <c r="G22" s="120">
        <v>0</v>
      </c>
    </row>
    <row r="23" spans="1:7" s="252" customFormat="1" ht="27" customHeight="1">
      <c r="A23" s="246">
        <v>6</v>
      </c>
      <c r="B23" s="254"/>
      <c r="C23" s="372"/>
      <c r="D23" s="250">
        <v>6050</v>
      </c>
      <c r="E23" s="54" t="s">
        <v>206</v>
      </c>
      <c r="F23" s="119">
        <f>2000000-78000</f>
        <v>1922000</v>
      </c>
      <c r="G23" s="120">
        <f>104918.45+100000</f>
        <v>204918.45</v>
      </c>
    </row>
    <row r="24" spans="1:7" s="252" customFormat="1" ht="23.25" customHeight="1">
      <c r="A24" s="246">
        <v>7</v>
      </c>
      <c r="B24" s="254"/>
      <c r="C24" s="372"/>
      <c r="D24" s="250">
        <v>6050</v>
      </c>
      <c r="E24" s="54" t="s">
        <v>207</v>
      </c>
      <c r="F24" s="119">
        <f>1200000+52435.98</f>
        <v>1252435.98</v>
      </c>
      <c r="G24" s="120">
        <f>400000-104918.45</f>
        <v>295081.55</v>
      </c>
    </row>
    <row r="25" spans="1:7" s="252" customFormat="1" ht="48.75" customHeight="1">
      <c r="A25" s="246">
        <v>9</v>
      </c>
      <c r="B25" s="254"/>
      <c r="C25" s="372"/>
      <c r="D25" s="250">
        <v>6050</v>
      </c>
      <c r="E25" s="54" t="s">
        <v>208</v>
      </c>
      <c r="F25" s="119">
        <f>148000-8000-41000</f>
        <v>99000</v>
      </c>
      <c r="G25" s="120">
        <v>0</v>
      </c>
    </row>
    <row r="26" spans="1:7" s="252" customFormat="1" ht="24.75" customHeight="1">
      <c r="A26" s="246">
        <v>9</v>
      </c>
      <c r="B26" s="254"/>
      <c r="C26" s="372"/>
      <c r="D26" s="250">
        <v>6050</v>
      </c>
      <c r="E26" s="54" t="s">
        <v>209</v>
      </c>
      <c r="F26" s="119">
        <f>45000+32121</f>
        <v>77121</v>
      </c>
      <c r="G26" s="120">
        <v>0</v>
      </c>
    </row>
    <row r="27" spans="1:7" s="252" customFormat="1" ht="32.25" customHeight="1">
      <c r="A27" s="290">
        <v>10</v>
      </c>
      <c r="B27" s="254"/>
      <c r="C27" s="372"/>
      <c r="D27" s="250">
        <v>6050</v>
      </c>
      <c r="E27" s="54" t="s">
        <v>210</v>
      </c>
      <c r="F27" s="119">
        <f>500+41000</f>
        <v>41500</v>
      </c>
      <c r="G27" s="120">
        <v>0</v>
      </c>
    </row>
    <row r="28" spans="1:7" s="252" customFormat="1" ht="29.25" customHeight="1">
      <c r="A28" s="290">
        <v>11</v>
      </c>
      <c r="B28" s="254"/>
      <c r="C28" s="372"/>
      <c r="D28" s="250">
        <v>6050</v>
      </c>
      <c r="E28" s="54" t="s">
        <v>211</v>
      </c>
      <c r="F28" s="119">
        <f>21000-5095.24</f>
        <v>15904.76</v>
      </c>
      <c r="G28" s="120">
        <v>0</v>
      </c>
    </row>
    <row r="29" spans="1:7" s="252" customFormat="1" ht="30.75" customHeight="1">
      <c r="A29" s="290">
        <v>12</v>
      </c>
      <c r="B29" s="254"/>
      <c r="C29" s="372"/>
      <c r="D29" s="250">
        <v>6050</v>
      </c>
      <c r="E29" s="54" t="s">
        <v>212</v>
      </c>
      <c r="F29" s="119">
        <v>30000</v>
      </c>
      <c r="G29" s="120">
        <v>0</v>
      </c>
    </row>
    <row r="30" spans="1:7" s="252" customFormat="1" ht="30.75" customHeight="1">
      <c r="A30" s="290">
        <v>13</v>
      </c>
      <c r="B30" s="254"/>
      <c r="C30" s="255"/>
      <c r="D30" s="250">
        <v>6050</v>
      </c>
      <c r="E30" s="54" t="s">
        <v>273</v>
      </c>
      <c r="F30" s="119">
        <f>3000+2500000</f>
        <v>2503000</v>
      </c>
      <c r="G30" s="120">
        <v>0</v>
      </c>
    </row>
    <row r="31" spans="1:7" s="252" customFormat="1" ht="30.75" customHeight="1">
      <c r="A31" s="290">
        <v>14</v>
      </c>
      <c r="B31" s="254"/>
      <c r="C31" s="255"/>
      <c r="D31" s="250">
        <v>6050</v>
      </c>
      <c r="E31" s="54" t="s">
        <v>290</v>
      </c>
      <c r="F31" s="119">
        <v>64000</v>
      </c>
      <c r="G31" s="120"/>
    </row>
    <row r="32" spans="1:7" s="252" customFormat="1" ht="30.75" customHeight="1">
      <c r="A32" s="290">
        <v>15</v>
      </c>
      <c r="B32" s="254"/>
      <c r="C32" s="255"/>
      <c r="D32" s="250">
        <v>6050</v>
      </c>
      <c r="E32" s="54" t="s">
        <v>40</v>
      </c>
      <c r="F32" s="119">
        <f>18995+23450-18995</f>
        <v>23450</v>
      </c>
      <c r="G32" s="120"/>
    </row>
    <row r="33" spans="1:7" s="252" customFormat="1" ht="30.75" customHeight="1">
      <c r="A33" s="290">
        <v>16</v>
      </c>
      <c r="B33" s="254"/>
      <c r="C33" s="255"/>
      <c r="D33" s="250">
        <v>6050</v>
      </c>
      <c r="E33" s="54" t="s">
        <v>60</v>
      </c>
      <c r="F33" s="119">
        <v>300000</v>
      </c>
      <c r="G33" s="120"/>
    </row>
    <row r="34" spans="1:7" s="252" customFormat="1" ht="30.75" customHeight="1">
      <c r="A34" s="290">
        <v>17</v>
      </c>
      <c r="B34" s="254"/>
      <c r="C34" s="255"/>
      <c r="D34" s="250">
        <v>6050</v>
      </c>
      <c r="E34" s="54" t="s">
        <v>339</v>
      </c>
      <c r="F34" s="119">
        <v>70000</v>
      </c>
      <c r="G34" s="120"/>
    </row>
    <row r="35" spans="1:7" s="252" customFormat="1" ht="30.75" customHeight="1">
      <c r="A35" s="290">
        <v>18</v>
      </c>
      <c r="B35" s="254"/>
      <c r="C35" s="255"/>
      <c r="D35" s="250">
        <v>6050</v>
      </c>
      <c r="E35" s="54" t="s">
        <v>61</v>
      </c>
      <c r="F35" s="119">
        <v>60000</v>
      </c>
      <c r="G35" s="120"/>
    </row>
    <row r="36" spans="1:7" s="252" customFormat="1" ht="30.75" customHeight="1">
      <c r="A36" s="290">
        <v>19</v>
      </c>
      <c r="B36" s="254"/>
      <c r="C36" s="255"/>
      <c r="D36" s="250">
        <v>6050</v>
      </c>
      <c r="E36" s="54" t="s">
        <v>62</v>
      </c>
      <c r="F36" s="119">
        <v>20000</v>
      </c>
      <c r="G36" s="120"/>
    </row>
    <row r="37" spans="1:7" s="252" customFormat="1" ht="30.75" customHeight="1">
      <c r="A37" s="290">
        <v>20</v>
      </c>
      <c r="B37" s="254"/>
      <c r="C37" s="255"/>
      <c r="D37" s="250">
        <v>6050</v>
      </c>
      <c r="E37" s="54" t="s">
        <v>69</v>
      </c>
      <c r="F37" s="119">
        <v>220000</v>
      </c>
      <c r="G37" s="120"/>
    </row>
    <row r="38" spans="1:7" s="252" customFormat="1" ht="28.5" customHeight="1">
      <c r="A38" s="290">
        <v>21</v>
      </c>
      <c r="B38" s="254"/>
      <c r="C38" s="255"/>
      <c r="D38" s="250">
        <v>6050</v>
      </c>
      <c r="E38" s="54" t="s">
        <v>213</v>
      </c>
      <c r="F38" s="119">
        <f>100000+20540</f>
        <v>120540</v>
      </c>
      <c r="G38" s="120">
        <v>0</v>
      </c>
    </row>
    <row r="39" spans="1:7" ht="27" customHeight="1">
      <c r="A39" s="301"/>
      <c r="B39" s="48">
        <v>700</v>
      </c>
      <c r="C39" s="48"/>
      <c r="D39" s="298"/>
      <c r="E39" s="108" t="s">
        <v>109</v>
      </c>
      <c r="F39" s="109">
        <f>F40+F43</f>
        <v>1827516</v>
      </c>
      <c r="G39" s="112">
        <f>G40+G43</f>
        <v>0</v>
      </c>
    </row>
    <row r="40" spans="1:7" ht="27" customHeight="1">
      <c r="A40" s="246"/>
      <c r="B40" s="53"/>
      <c r="C40" s="62">
        <v>70005</v>
      </c>
      <c r="D40" s="300"/>
      <c r="E40" s="76" t="s">
        <v>110</v>
      </c>
      <c r="F40" s="107">
        <f>SUM(F41:F42)</f>
        <v>939060</v>
      </c>
      <c r="G40" s="114">
        <f>SUM(G42:G42)</f>
        <v>0</v>
      </c>
    </row>
    <row r="41" spans="1:7" s="691" customFormat="1" ht="27" customHeight="1">
      <c r="A41" s="246"/>
      <c r="B41" s="63"/>
      <c r="C41" s="64"/>
      <c r="D41" s="555">
        <v>6050</v>
      </c>
      <c r="E41" s="692" t="s">
        <v>448</v>
      </c>
      <c r="F41" s="551">
        <v>17600</v>
      </c>
      <c r="G41" s="554"/>
    </row>
    <row r="42" spans="1:7" ht="30" customHeight="1">
      <c r="A42" s="246">
        <v>22</v>
      </c>
      <c r="B42" s="63"/>
      <c r="C42" s="373"/>
      <c r="D42" s="250">
        <v>6060</v>
      </c>
      <c r="E42" s="54" t="s">
        <v>111</v>
      </c>
      <c r="F42" s="80">
        <f>866460+45000+2500+7500</f>
        <v>921460</v>
      </c>
      <c r="G42" s="80">
        <v>0</v>
      </c>
    </row>
    <row r="43" spans="1:7" ht="24.75" customHeight="1">
      <c r="A43" s="246"/>
      <c r="B43" s="55"/>
      <c r="C43" s="65">
        <v>70095</v>
      </c>
      <c r="D43" s="302"/>
      <c r="E43" s="76" t="s">
        <v>112</v>
      </c>
      <c r="F43" s="107">
        <f>SUM(F44:F48)</f>
        <v>888456</v>
      </c>
      <c r="G43" s="114">
        <f>SUM(G44:G48)</f>
        <v>0</v>
      </c>
    </row>
    <row r="44" spans="1:7" ht="34.5" customHeight="1">
      <c r="A44" s="246">
        <v>23</v>
      </c>
      <c r="B44" s="55"/>
      <c r="C44" s="374"/>
      <c r="D44" s="246">
        <v>6050</v>
      </c>
      <c r="E44" s="66" t="s">
        <v>214</v>
      </c>
      <c r="F44" s="554">
        <f>574383+10000+156073+7000</f>
        <v>747456</v>
      </c>
      <c r="G44" s="80">
        <v>0</v>
      </c>
    </row>
    <row r="45" spans="1:7" ht="34.5" customHeight="1">
      <c r="A45" s="246">
        <v>24</v>
      </c>
      <c r="B45" s="55"/>
      <c r="C45" s="374"/>
      <c r="D45" s="246">
        <v>6050</v>
      </c>
      <c r="E45" s="66" t="s">
        <v>279</v>
      </c>
      <c r="F45" s="80">
        <v>75000</v>
      </c>
      <c r="G45" s="80"/>
    </row>
    <row r="46" spans="1:7" ht="28.5" customHeight="1">
      <c r="A46" s="246">
        <v>25</v>
      </c>
      <c r="B46" s="55"/>
      <c r="C46" s="526"/>
      <c r="D46" s="246">
        <v>6050</v>
      </c>
      <c r="E46" s="66" t="s">
        <v>266</v>
      </c>
      <c r="F46" s="80">
        <v>60000</v>
      </c>
      <c r="G46" s="80"/>
    </row>
    <row r="47" spans="1:7" ht="48.75" customHeight="1">
      <c r="A47" s="246"/>
      <c r="B47" s="55"/>
      <c r="C47" s="526"/>
      <c r="D47" s="552">
        <v>6050</v>
      </c>
      <c r="E47" s="553" t="s">
        <v>491</v>
      </c>
      <c r="F47" s="554">
        <v>5000</v>
      </c>
      <c r="G47" s="554"/>
    </row>
    <row r="48" spans="1:7" s="118" customFormat="1" ht="36.75" customHeight="1">
      <c r="A48" s="246">
        <v>26</v>
      </c>
      <c r="B48" s="63"/>
      <c r="C48" s="373"/>
      <c r="D48" s="246">
        <v>6050</v>
      </c>
      <c r="E48" s="66" t="s">
        <v>215</v>
      </c>
      <c r="F48" s="80">
        <f>11000-10000</f>
        <v>1000</v>
      </c>
      <c r="G48" s="80">
        <v>0</v>
      </c>
    </row>
    <row r="49" spans="1:7" ht="27" customHeight="1">
      <c r="A49" s="303"/>
      <c r="B49" s="48">
        <v>750</v>
      </c>
      <c r="C49" s="48"/>
      <c r="D49" s="298"/>
      <c r="E49" s="74" t="s">
        <v>114</v>
      </c>
      <c r="F49" s="110">
        <f>F50+F53+F55</f>
        <v>1171100</v>
      </c>
      <c r="G49" s="304">
        <f>G50+G55</f>
        <v>0</v>
      </c>
    </row>
    <row r="50" spans="1:7" ht="30.75" customHeight="1">
      <c r="A50" s="246"/>
      <c r="B50" s="305"/>
      <c r="C50" s="53">
        <v>75023</v>
      </c>
      <c r="D50" s="302"/>
      <c r="E50" s="77" t="s">
        <v>115</v>
      </c>
      <c r="F50" s="111">
        <f>SUM(F51:F52)</f>
        <v>568000</v>
      </c>
      <c r="G50" s="306">
        <f>SUM(G52:G52)</f>
        <v>0</v>
      </c>
    </row>
    <row r="51" spans="1:7" s="317" customFormat="1" ht="30.75" customHeight="1">
      <c r="A51" s="246">
        <v>27</v>
      </c>
      <c r="B51" s="56"/>
      <c r="C51" s="69"/>
      <c r="D51" s="246">
        <v>6050</v>
      </c>
      <c r="E51" s="346" t="s">
        <v>44</v>
      </c>
      <c r="F51" s="80">
        <v>18000</v>
      </c>
      <c r="G51" s="525"/>
    </row>
    <row r="52" spans="1:7" ht="28.5" customHeight="1">
      <c r="A52" s="246">
        <v>28</v>
      </c>
      <c r="B52" s="307"/>
      <c r="C52" s="308"/>
      <c r="D52" s="309">
        <v>6060</v>
      </c>
      <c r="E52" s="121" t="s">
        <v>216</v>
      </c>
      <c r="F52" s="538">
        <f>250000+300000</f>
        <v>550000</v>
      </c>
      <c r="G52" s="122">
        <v>0</v>
      </c>
    </row>
    <row r="53" spans="1:7" ht="28.5" customHeight="1">
      <c r="A53" s="246"/>
      <c r="B53" s="307"/>
      <c r="C53" s="308">
        <v>75075</v>
      </c>
      <c r="D53" s="310"/>
      <c r="E53" s="75" t="s">
        <v>376</v>
      </c>
      <c r="F53" s="538">
        <f>F54</f>
        <v>8100</v>
      </c>
      <c r="G53" s="525"/>
    </row>
    <row r="54" spans="1:7" ht="28.5" customHeight="1">
      <c r="A54" s="246"/>
      <c r="B54" s="307"/>
      <c r="C54" s="308"/>
      <c r="D54" s="555">
        <v>6060</v>
      </c>
      <c r="E54" s="556" t="s">
        <v>457</v>
      </c>
      <c r="F54" s="557">
        <v>8100</v>
      </c>
      <c r="G54" s="558"/>
    </row>
    <row r="55" spans="1:7" ht="21.75" customHeight="1">
      <c r="A55" s="246"/>
      <c r="B55" s="68"/>
      <c r="C55" s="82">
        <v>75095</v>
      </c>
      <c r="D55" s="302"/>
      <c r="E55" s="77" t="s">
        <v>112</v>
      </c>
      <c r="F55" s="111">
        <f>SUM(F56:F56)</f>
        <v>595000</v>
      </c>
      <c r="G55" s="306">
        <f>SUM(G56:G56)</f>
        <v>0</v>
      </c>
    </row>
    <row r="56" spans="1:7" ht="33" customHeight="1">
      <c r="A56" s="246">
        <v>29</v>
      </c>
      <c r="B56" s="68"/>
      <c r="C56" s="374"/>
      <c r="D56" s="310">
        <v>6050</v>
      </c>
      <c r="E56" s="66" t="s">
        <v>181</v>
      </c>
      <c r="F56" s="80">
        <f>950000-300000-55000</f>
        <v>595000</v>
      </c>
      <c r="G56" s="80">
        <v>0</v>
      </c>
    </row>
    <row r="57" spans="1:7" ht="30" customHeight="1">
      <c r="A57" s="303"/>
      <c r="B57" s="48">
        <v>754</v>
      </c>
      <c r="C57" s="48"/>
      <c r="D57" s="303"/>
      <c r="E57" s="91" t="s">
        <v>116</v>
      </c>
      <c r="F57" s="112">
        <f>F58+F60</f>
        <v>23000</v>
      </c>
      <c r="G57" s="112">
        <f>G58+G60</f>
        <v>0</v>
      </c>
    </row>
    <row r="58" spans="1:7" ht="21.75" customHeight="1">
      <c r="A58" s="246"/>
      <c r="B58" s="71"/>
      <c r="C58" s="53">
        <v>75412</v>
      </c>
      <c r="D58" s="259"/>
      <c r="E58" s="113" t="s">
        <v>182</v>
      </c>
      <c r="F58" s="114">
        <f>F59</f>
        <v>6000</v>
      </c>
      <c r="G58" s="114">
        <f>G59</f>
        <v>0</v>
      </c>
    </row>
    <row r="59" spans="1:7" ht="27.75" customHeight="1">
      <c r="A59" s="246">
        <v>31</v>
      </c>
      <c r="B59" s="115"/>
      <c r="C59" s="69"/>
      <c r="D59" s="250">
        <v>6060</v>
      </c>
      <c r="E59" s="54" t="s">
        <v>183</v>
      </c>
      <c r="F59" s="80">
        <v>6000</v>
      </c>
      <c r="G59" s="80"/>
    </row>
    <row r="60" spans="1:7" ht="22.5" customHeight="1">
      <c r="A60" s="246"/>
      <c r="B60" s="71"/>
      <c r="C60" s="65">
        <v>75414</v>
      </c>
      <c r="D60" s="259"/>
      <c r="E60" s="113" t="s">
        <v>117</v>
      </c>
      <c r="F60" s="111">
        <f>SUM(F61)</f>
        <v>17000</v>
      </c>
      <c r="G60" s="306">
        <f>SUM(G61)</f>
        <v>0</v>
      </c>
    </row>
    <row r="61" spans="1:7" ht="26.25" customHeight="1">
      <c r="A61" s="246">
        <v>32</v>
      </c>
      <c r="B61" s="63"/>
      <c r="C61" s="70"/>
      <c r="D61" s="310">
        <v>6060</v>
      </c>
      <c r="E61" s="54" t="s">
        <v>183</v>
      </c>
      <c r="F61" s="120">
        <v>17000</v>
      </c>
      <c r="G61" s="120">
        <v>0</v>
      </c>
    </row>
    <row r="62" spans="1:7" ht="21.75" customHeight="1">
      <c r="A62" s="311"/>
      <c r="B62" s="48">
        <v>758</v>
      </c>
      <c r="C62" s="48"/>
      <c r="D62" s="298"/>
      <c r="E62" s="108" t="s">
        <v>118</v>
      </c>
      <c r="F62" s="109">
        <f>F63</f>
        <v>197017</v>
      </c>
      <c r="G62" s="112">
        <f>G63</f>
        <v>0</v>
      </c>
    </row>
    <row r="63" spans="1:7" ht="22.5" customHeight="1">
      <c r="A63" s="255"/>
      <c r="B63" s="51"/>
      <c r="C63" s="59">
        <v>75818</v>
      </c>
      <c r="D63" s="302"/>
      <c r="E63" s="77" t="s">
        <v>119</v>
      </c>
      <c r="F63" s="111">
        <f>F64</f>
        <v>197017</v>
      </c>
      <c r="G63" s="306">
        <f>G64</f>
        <v>0</v>
      </c>
    </row>
    <row r="64" spans="1:7" ht="28.5" customHeight="1">
      <c r="A64" s="255"/>
      <c r="B64" s="72"/>
      <c r="C64" s="70"/>
      <c r="D64" s="310">
        <v>6800</v>
      </c>
      <c r="E64" s="67" t="s">
        <v>120</v>
      </c>
      <c r="F64" s="550">
        <f>400000-200000+24500-10000+174688-2498-40000-6000-101073-30478-12122</f>
        <v>197017</v>
      </c>
      <c r="G64" s="120">
        <f>500000-500000</f>
        <v>0</v>
      </c>
    </row>
    <row r="65" spans="1:7" ht="24.75" customHeight="1">
      <c r="A65" s="290"/>
      <c r="B65" s="47">
        <v>801</v>
      </c>
      <c r="C65" s="70"/>
      <c r="D65" s="310"/>
      <c r="E65" s="78" t="s">
        <v>121</v>
      </c>
      <c r="F65" s="110">
        <f>F66+F75+F88+F91</f>
        <v>1571406</v>
      </c>
      <c r="G65" s="304">
        <f>G66+G75+G88+G91</f>
        <v>0</v>
      </c>
    </row>
    <row r="66" spans="1:7" ht="24" customHeight="1">
      <c r="A66" s="310"/>
      <c r="B66" s="51"/>
      <c r="C66" s="85">
        <v>80101</v>
      </c>
      <c r="D66" s="302"/>
      <c r="E66" s="77" t="s">
        <v>122</v>
      </c>
      <c r="F66" s="111">
        <f>SUM(F67:F74)</f>
        <v>1040478</v>
      </c>
      <c r="G66" s="306">
        <f>SUM(G67:G74)</f>
        <v>0</v>
      </c>
    </row>
    <row r="67" spans="1:7" ht="34.5" customHeight="1">
      <c r="A67" s="310">
        <v>33</v>
      </c>
      <c r="B67" s="71"/>
      <c r="C67" s="312"/>
      <c r="D67" s="250">
        <v>6050</v>
      </c>
      <c r="E67" s="66" t="s">
        <v>217</v>
      </c>
      <c r="F67" s="81">
        <f>40000+30000</f>
        <v>70000</v>
      </c>
      <c r="G67" s="120">
        <v>0</v>
      </c>
    </row>
    <row r="68" spans="1:9" ht="27.75" customHeight="1">
      <c r="A68" s="310">
        <v>34</v>
      </c>
      <c r="B68" s="71"/>
      <c r="C68" s="85"/>
      <c r="D68" s="250">
        <v>6050</v>
      </c>
      <c r="E68" s="54" t="s">
        <v>220</v>
      </c>
      <c r="F68" s="81">
        <v>600000</v>
      </c>
      <c r="G68" s="120">
        <v>0</v>
      </c>
      <c r="I68" s="313"/>
    </row>
    <row r="69" spans="1:7" ht="23.25" customHeight="1">
      <c r="A69" s="310">
        <v>35</v>
      </c>
      <c r="B69" s="71"/>
      <c r="C69" s="85"/>
      <c r="D69" s="314">
        <v>6050</v>
      </c>
      <c r="E69" s="315" t="s">
        <v>221</v>
      </c>
      <c r="F69" s="80">
        <v>9000</v>
      </c>
      <c r="G69" s="120">
        <v>0</v>
      </c>
    </row>
    <row r="70" spans="1:7" ht="34.5" customHeight="1">
      <c r="A70" s="310">
        <v>36</v>
      </c>
      <c r="B70" s="72"/>
      <c r="C70" s="85"/>
      <c r="D70" s="314">
        <v>6050</v>
      </c>
      <c r="E70" s="315" t="s">
        <v>222</v>
      </c>
      <c r="F70" s="80">
        <v>50000</v>
      </c>
      <c r="G70" s="120">
        <v>0</v>
      </c>
    </row>
    <row r="71" spans="1:7" ht="34.5" customHeight="1">
      <c r="A71" s="310">
        <v>37</v>
      </c>
      <c r="B71" s="72"/>
      <c r="C71" s="85"/>
      <c r="D71" s="314">
        <v>6050</v>
      </c>
      <c r="E71" s="315" t="s">
        <v>271</v>
      </c>
      <c r="F71" s="80">
        <f>30478+200000</f>
        <v>230478</v>
      </c>
      <c r="G71" s="120">
        <v>0</v>
      </c>
    </row>
    <row r="72" spans="1:7" ht="27.75" customHeight="1">
      <c r="A72" s="310">
        <v>38</v>
      </c>
      <c r="B72" s="72"/>
      <c r="C72" s="85"/>
      <c r="D72" s="314">
        <v>6050</v>
      </c>
      <c r="E72" s="315" t="s">
        <v>66</v>
      </c>
      <c r="F72" s="80">
        <v>60000</v>
      </c>
      <c r="G72" s="120"/>
    </row>
    <row r="73" spans="1:7" ht="24.75" customHeight="1">
      <c r="A73" s="310">
        <v>39</v>
      </c>
      <c r="B73" s="72"/>
      <c r="C73" s="64"/>
      <c r="D73" s="314">
        <v>6060</v>
      </c>
      <c r="E73" s="316" t="s">
        <v>223</v>
      </c>
      <c r="F73" s="80">
        <v>15000</v>
      </c>
      <c r="G73" s="120">
        <v>0</v>
      </c>
    </row>
    <row r="74" spans="1:7" ht="34.5" customHeight="1">
      <c r="A74" s="310">
        <v>40</v>
      </c>
      <c r="B74" s="72"/>
      <c r="C74" s="70"/>
      <c r="D74" s="314">
        <v>6060</v>
      </c>
      <c r="E74" s="316" t="s">
        <v>224</v>
      </c>
      <c r="F74" s="80">
        <v>6000</v>
      </c>
      <c r="G74" s="120">
        <v>0</v>
      </c>
    </row>
    <row r="75" spans="1:7" ht="18.75" customHeight="1">
      <c r="A75" s="310"/>
      <c r="B75" s="71"/>
      <c r="C75" s="62">
        <v>80104</v>
      </c>
      <c r="D75" s="300"/>
      <c r="E75" s="76" t="s">
        <v>123</v>
      </c>
      <c r="F75" s="107">
        <f>SUM(F76:F87)</f>
        <v>238720</v>
      </c>
      <c r="G75" s="114">
        <f>SUM(G76:G87)</f>
        <v>0</v>
      </c>
    </row>
    <row r="76" spans="1:7" s="317" customFormat="1" ht="25.5" customHeight="1">
      <c r="A76" s="310">
        <v>41</v>
      </c>
      <c r="B76" s="72"/>
      <c r="C76" s="373"/>
      <c r="D76" s="314">
        <v>6050</v>
      </c>
      <c r="E76" s="54" t="s">
        <v>225</v>
      </c>
      <c r="F76" s="551">
        <f>26000+78000-13000</f>
        <v>91000</v>
      </c>
      <c r="G76" s="80">
        <v>0</v>
      </c>
    </row>
    <row r="77" spans="1:7" s="317" customFormat="1" ht="25.5" customHeight="1">
      <c r="A77" s="310">
        <v>42</v>
      </c>
      <c r="B77" s="72"/>
      <c r="C77" s="64"/>
      <c r="D77" s="314">
        <v>6050</v>
      </c>
      <c r="E77" s="54" t="s">
        <v>280</v>
      </c>
      <c r="F77" s="81">
        <v>40000</v>
      </c>
      <c r="G77" s="80"/>
    </row>
    <row r="78" spans="1:7" s="317" customFormat="1" ht="25.5" customHeight="1">
      <c r="A78" s="310">
        <v>43</v>
      </c>
      <c r="B78" s="72"/>
      <c r="C78" s="64"/>
      <c r="D78" s="314">
        <v>6050</v>
      </c>
      <c r="E78" s="54" t="s">
        <v>285</v>
      </c>
      <c r="F78" s="81">
        <v>11600</v>
      </c>
      <c r="G78" s="80"/>
    </row>
    <row r="79" spans="1:7" s="317" customFormat="1" ht="25.5" customHeight="1">
      <c r="A79" s="310">
        <v>44</v>
      </c>
      <c r="B79" s="72"/>
      <c r="C79" s="64"/>
      <c r="D79" s="314">
        <v>6060</v>
      </c>
      <c r="E79" s="54" t="s">
        <v>286</v>
      </c>
      <c r="F79" s="81">
        <v>7500</v>
      </c>
      <c r="G79" s="80"/>
    </row>
    <row r="80" spans="1:7" s="317" customFormat="1" ht="25.5" customHeight="1">
      <c r="A80" s="310">
        <v>45</v>
      </c>
      <c r="B80" s="72"/>
      <c r="C80" s="64"/>
      <c r="D80" s="314">
        <v>6060</v>
      </c>
      <c r="E80" s="54" t="s">
        <v>64</v>
      </c>
      <c r="F80" s="81">
        <v>20000</v>
      </c>
      <c r="G80" s="80"/>
    </row>
    <row r="81" spans="1:7" s="317" customFormat="1" ht="25.5" customHeight="1">
      <c r="A81" s="310">
        <v>46</v>
      </c>
      <c r="B81" s="72"/>
      <c r="C81" s="64"/>
      <c r="D81" s="314">
        <v>6060</v>
      </c>
      <c r="E81" s="54" t="s">
        <v>65</v>
      </c>
      <c r="F81" s="81">
        <v>20000</v>
      </c>
      <c r="G81" s="80"/>
    </row>
    <row r="82" spans="1:7" s="317" customFormat="1" ht="25.5" customHeight="1">
      <c r="A82" s="310">
        <v>47</v>
      </c>
      <c r="B82" s="72"/>
      <c r="C82" s="64"/>
      <c r="D82" s="314">
        <v>6060</v>
      </c>
      <c r="E82" s="54" t="s">
        <v>79</v>
      </c>
      <c r="F82" s="81">
        <v>5000</v>
      </c>
      <c r="G82" s="80"/>
    </row>
    <row r="83" spans="1:7" s="317" customFormat="1" ht="25.5" customHeight="1">
      <c r="A83" s="310">
        <v>48</v>
      </c>
      <c r="B83" s="72"/>
      <c r="C83" s="64"/>
      <c r="D83" s="314">
        <v>6060</v>
      </c>
      <c r="E83" s="54" t="s">
        <v>288</v>
      </c>
      <c r="F83" s="81">
        <v>7300</v>
      </c>
      <c r="G83" s="80"/>
    </row>
    <row r="84" spans="1:7" s="317" customFormat="1" ht="25.5" customHeight="1">
      <c r="A84" s="310">
        <v>49</v>
      </c>
      <c r="B84" s="72"/>
      <c r="C84" s="64"/>
      <c r="D84" s="314">
        <v>6060</v>
      </c>
      <c r="E84" s="54" t="s">
        <v>291</v>
      </c>
      <c r="F84" s="81">
        <v>10320</v>
      </c>
      <c r="G84" s="80"/>
    </row>
    <row r="85" spans="1:7" ht="30" customHeight="1">
      <c r="A85" s="310">
        <v>50</v>
      </c>
      <c r="B85" s="72"/>
      <c r="C85" s="64"/>
      <c r="D85" s="318">
        <v>6060</v>
      </c>
      <c r="E85" s="316" t="s">
        <v>226</v>
      </c>
      <c r="F85" s="80">
        <v>11000</v>
      </c>
      <c r="G85" s="120">
        <v>0</v>
      </c>
    </row>
    <row r="86" spans="1:7" ht="29.25" customHeight="1">
      <c r="A86" s="310">
        <v>51</v>
      </c>
      <c r="B86" s="72"/>
      <c r="C86" s="64"/>
      <c r="D86" s="318">
        <v>6060</v>
      </c>
      <c r="E86" s="316" t="s">
        <v>227</v>
      </c>
      <c r="F86" s="80">
        <v>7000</v>
      </c>
      <c r="G86" s="120">
        <v>0</v>
      </c>
    </row>
    <row r="87" spans="1:7" ht="30" customHeight="1">
      <c r="A87" s="310">
        <v>52</v>
      </c>
      <c r="B87" s="72"/>
      <c r="C87" s="64"/>
      <c r="D87" s="318">
        <v>6060</v>
      </c>
      <c r="E87" s="316" t="s">
        <v>228</v>
      </c>
      <c r="F87" s="80">
        <v>8000</v>
      </c>
      <c r="G87" s="120">
        <v>0</v>
      </c>
    </row>
    <row r="88" spans="1:7" ht="19.5" customHeight="1">
      <c r="A88" s="310"/>
      <c r="B88" s="72"/>
      <c r="C88" s="62">
        <v>80110</v>
      </c>
      <c r="D88" s="300"/>
      <c r="E88" s="76" t="s">
        <v>184</v>
      </c>
      <c r="F88" s="107">
        <f>F89+F90</f>
        <v>250000</v>
      </c>
      <c r="G88" s="114">
        <f>G90</f>
        <v>0</v>
      </c>
    </row>
    <row r="89" spans="1:7" s="317" customFormat="1" ht="23.25" customHeight="1">
      <c r="A89" s="310">
        <v>53</v>
      </c>
      <c r="B89" s="72"/>
      <c r="C89" s="373"/>
      <c r="D89" s="322">
        <v>6050</v>
      </c>
      <c r="E89" s="54" t="s">
        <v>80</v>
      </c>
      <c r="F89" s="81">
        <v>220000</v>
      </c>
      <c r="G89" s="80"/>
    </row>
    <row r="90" spans="1:7" ht="31.5" customHeight="1">
      <c r="A90" s="310">
        <v>54</v>
      </c>
      <c r="B90" s="72"/>
      <c r="C90" s="85"/>
      <c r="D90" s="125">
        <v>6050</v>
      </c>
      <c r="E90" s="66" t="s">
        <v>229</v>
      </c>
      <c r="F90" s="81">
        <v>30000</v>
      </c>
      <c r="G90" s="80">
        <v>0</v>
      </c>
    </row>
    <row r="91" spans="1:7" s="261" customFormat="1" ht="22.5" customHeight="1">
      <c r="A91" s="302"/>
      <c r="B91" s="71"/>
      <c r="C91" s="62">
        <v>80148</v>
      </c>
      <c r="D91" s="300"/>
      <c r="E91" s="76" t="s">
        <v>199</v>
      </c>
      <c r="F91" s="107">
        <f>SUM(F92:F97)</f>
        <v>42208</v>
      </c>
      <c r="G91" s="114">
        <f>SUM(G92:G97)</f>
        <v>0</v>
      </c>
    </row>
    <row r="92" spans="1:7" ht="27" customHeight="1">
      <c r="A92" s="310">
        <v>55</v>
      </c>
      <c r="B92" s="72"/>
      <c r="C92" s="85"/>
      <c r="D92" s="318">
        <v>6060</v>
      </c>
      <c r="E92" s="316" t="s">
        <v>230</v>
      </c>
      <c r="F92" s="81">
        <f>12000-5400</f>
        <v>6600</v>
      </c>
      <c r="G92" s="80">
        <v>0</v>
      </c>
    </row>
    <row r="93" spans="1:7" ht="27" customHeight="1">
      <c r="A93" s="310">
        <v>56</v>
      </c>
      <c r="B93" s="72"/>
      <c r="C93" s="85"/>
      <c r="D93" s="318">
        <v>6060</v>
      </c>
      <c r="E93" s="316" t="s">
        <v>272</v>
      </c>
      <c r="F93" s="81">
        <v>5400</v>
      </c>
      <c r="G93" s="80">
        <v>0</v>
      </c>
    </row>
    <row r="94" spans="1:7" ht="27" customHeight="1">
      <c r="A94" s="310">
        <v>57</v>
      </c>
      <c r="B94" s="72"/>
      <c r="C94" s="85"/>
      <c r="D94" s="318">
        <v>6060</v>
      </c>
      <c r="E94" s="316" t="s">
        <v>231</v>
      </c>
      <c r="F94" s="81">
        <f>12000-2442</f>
        <v>9558</v>
      </c>
      <c r="G94" s="80">
        <v>0</v>
      </c>
    </row>
    <row r="95" spans="1:7" ht="27" customHeight="1">
      <c r="A95" s="310">
        <v>58</v>
      </c>
      <c r="B95" s="72"/>
      <c r="C95" s="85"/>
      <c r="D95" s="318">
        <v>6060</v>
      </c>
      <c r="E95" s="316" t="s">
        <v>232</v>
      </c>
      <c r="F95" s="81">
        <v>7000</v>
      </c>
      <c r="G95" s="80">
        <v>0</v>
      </c>
    </row>
    <row r="96" spans="1:7" ht="27.75" customHeight="1">
      <c r="A96" s="310">
        <v>59</v>
      </c>
      <c r="B96" s="72"/>
      <c r="C96" s="64"/>
      <c r="D96" s="318">
        <v>6060</v>
      </c>
      <c r="E96" s="316" t="s">
        <v>233</v>
      </c>
      <c r="F96" s="81">
        <f>6200-550</f>
        <v>5650</v>
      </c>
      <c r="G96" s="120">
        <v>0</v>
      </c>
    </row>
    <row r="97" spans="1:7" ht="27.75" customHeight="1">
      <c r="A97" s="310">
        <v>60</v>
      </c>
      <c r="B97" s="73"/>
      <c r="C97" s="64"/>
      <c r="D97" s="318">
        <v>6060</v>
      </c>
      <c r="E97" s="316" t="s">
        <v>234</v>
      </c>
      <c r="F97" s="81">
        <v>8000</v>
      </c>
      <c r="G97" s="120">
        <v>0</v>
      </c>
    </row>
    <row r="98" spans="1:7" s="256" customFormat="1" ht="18.75" customHeight="1">
      <c r="A98" s="303"/>
      <c r="B98" s="319">
        <v>851</v>
      </c>
      <c r="C98" s="48"/>
      <c r="D98" s="320"/>
      <c r="E98" s="74" t="s">
        <v>124</v>
      </c>
      <c r="F98" s="109">
        <f>F99</f>
        <v>7500</v>
      </c>
      <c r="G98" s="112">
        <f>G99</f>
        <v>0</v>
      </c>
    </row>
    <row r="99" spans="1:7" s="261" customFormat="1" ht="19.5" customHeight="1">
      <c r="A99" s="259"/>
      <c r="B99" s="321"/>
      <c r="C99" s="65">
        <v>85154</v>
      </c>
      <c r="D99" s="259"/>
      <c r="E99" s="257" t="s">
        <v>235</v>
      </c>
      <c r="F99" s="107">
        <f>F100</f>
        <v>7500</v>
      </c>
      <c r="G99" s="127"/>
    </row>
    <row r="100" spans="1:7" ht="33.75" customHeight="1">
      <c r="A100" s="246">
        <v>61</v>
      </c>
      <c r="B100" s="115"/>
      <c r="C100" s="63"/>
      <c r="D100" s="250">
        <v>6220</v>
      </c>
      <c r="E100" s="54" t="s">
        <v>236</v>
      </c>
      <c r="F100" s="119">
        <v>7500</v>
      </c>
      <c r="G100" s="120">
        <v>0</v>
      </c>
    </row>
    <row r="101" spans="1:7" ht="20.25" customHeight="1">
      <c r="A101" s="246"/>
      <c r="B101" s="49">
        <v>852</v>
      </c>
      <c r="C101" s="48"/>
      <c r="D101" s="320"/>
      <c r="E101" s="74" t="s">
        <v>175</v>
      </c>
      <c r="F101" s="109">
        <f>F102</f>
        <v>55000</v>
      </c>
      <c r="G101" s="112">
        <f>G102</f>
        <v>0</v>
      </c>
    </row>
    <row r="102" spans="1:7" s="261" customFormat="1" ht="25.5" customHeight="1">
      <c r="A102" s="259"/>
      <c r="B102" s="52"/>
      <c r="C102" s="65">
        <v>85219</v>
      </c>
      <c r="D102" s="259"/>
      <c r="E102" s="257" t="s">
        <v>237</v>
      </c>
      <c r="F102" s="107">
        <f>F103+F104</f>
        <v>55000</v>
      </c>
      <c r="G102" s="127"/>
    </row>
    <row r="103" spans="1:7" ht="34.5" customHeight="1">
      <c r="A103" s="246">
        <v>62</v>
      </c>
      <c r="B103" s="115"/>
      <c r="C103" s="63"/>
      <c r="D103" s="250">
        <v>6050</v>
      </c>
      <c r="E103" s="54" t="s">
        <v>238</v>
      </c>
      <c r="F103" s="119">
        <v>15000</v>
      </c>
      <c r="G103" s="120">
        <v>0</v>
      </c>
    </row>
    <row r="104" spans="1:7" ht="34.5" customHeight="1">
      <c r="A104" s="246">
        <v>63</v>
      </c>
      <c r="B104" s="115"/>
      <c r="C104" s="63"/>
      <c r="D104" s="322">
        <v>6060</v>
      </c>
      <c r="E104" s="54" t="s">
        <v>12</v>
      </c>
      <c r="F104" s="119">
        <v>40000</v>
      </c>
      <c r="G104" s="120"/>
    </row>
    <row r="105" spans="1:7" ht="30" customHeight="1">
      <c r="A105" s="246"/>
      <c r="B105" s="47">
        <v>853</v>
      </c>
      <c r="C105" s="61"/>
      <c r="D105" s="322"/>
      <c r="E105" s="108" t="s">
        <v>135</v>
      </c>
      <c r="F105" s="109">
        <f>F106+F109</f>
        <v>908534.88</v>
      </c>
      <c r="G105" s="112">
        <f>G109</f>
        <v>0</v>
      </c>
    </row>
    <row r="106" spans="1:7" s="261" customFormat="1" ht="30" customHeight="1">
      <c r="A106" s="529"/>
      <c r="B106" s="53"/>
      <c r="C106" s="62">
        <v>85305</v>
      </c>
      <c r="D106" s="323"/>
      <c r="E106" s="76" t="s">
        <v>81</v>
      </c>
      <c r="F106" s="107">
        <f>F107+F108</f>
        <v>66553</v>
      </c>
      <c r="G106" s="114"/>
    </row>
    <row r="107" spans="1:7" ht="37.5" customHeight="1">
      <c r="A107" s="125">
        <v>65</v>
      </c>
      <c r="B107" s="47"/>
      <c r="C107" s="58"/>
      <c r="D107" s="322">
        <v>6050</v>
      </c>
      <c r="E107" s="539" t="s">
        <v>83</v>
      </c>
      <c r="F107" s="81">
        <v>2618</v>
      </c>
      <c r="G107" s="112"/>
    </row>
    <row r="108" spans="1:7" ht="38.25" customHeight="1">
      <c r="A108" s="125">
        <v>65</v>
      </c>
      <c r="B108" s="47"/>
      <c r="C108" s="58"/>
      <c r="D108" s="322">
        <v>6050</v>
      </c>
      <c r="E108" s="539" t="s">
        <v>82</v>
      </c>
      <c r="F108" s="81">
        <v>63935</v>
      </c>
      <c r="G108" s="112"/>
    </row>
    <row r="109" spans="1:7" ht="24" customHeight="1">
      <c r="A109" s="125"/>
      <c r="B109" s="47"/>
      <c r="C109" s="62">
        <v>85395</v>
      </c>
      <c r="D109" s="323"/>
      <c r="E109" s="76" t="s">
        <v>136</v>
      </c>
      <c r="F109" s="107">
        <f>SUM(F110:F113)</f>
        <v>841981.88</v>
      </c>
      <c r="G109" s="114">
        <f>SUM(G110:G113)</f>
        <v>0</v>
      </c>
    </row>
    <row r="110" spans="1:10" ht="34.5" customHeight="1">
      <c r="A110" s="793">
        <v>66</v>
      </c>
      <c r="B110" s="381"/>
      <c r="C110" s="85"/>
      <c r="D110" s="246">
        <v>6237</v>
      </c>
      <c r="E110" s="266" t="s">
        <v>87</v>
      </c>
      <c r="F110" s="81">
        <v>35684.6</v>
      </c>
      <c r="G110" s="114">
        <v>0</v>
      </c>
      <c r="J110" s="247"/>
    </row>
    <row r="111" spans="1:7" ht="34.5" customHeight="1">
      <c r="A111" s="794"/>
      <c r="B111" s="381"/>
      <c r="C111" s="85"/>
      <c r="D111" s="246">
        <v>6239</v>
      </c>
      <c r="E111" s="266" t="s">
        <v>87</v>
      </c>
      <c r="F111" s="81">
        <v>6297.28</v>
      </c>
      <c r="G111" s="114">
        <v>0</v>
      </c>
    </row>
    <row r="112" spans="1:7" ht="36.75" customHeight="1">
      <c r="A112" s="382">
        <v>67</v>
      </c>
      <c r="B112" s="72"/>
      <c r="C112" s="374"/>
      <c r="D112" s="322">
        <v>6237</v>
      </c>
      <c r="E112" s="54" t="s">
        <v>239</v>
      </c>
      <c r="F112" s="119">
        <v>680000</v>
      </c>
      <c r="G112" s="120">
        <v>0</v>
      </c>
    </row>
    <row r="113" spans="1:7" ht="31.5" customHeight="1">
      <c r="A113" s="324"/>
      <c r="B113" s="73"/>
      <c r="C113" s="373"/>
      <c r="D113" s="322">
        <v>6239</v>
      </c>
      <c r="E113" s="54" t="s">
        <v>239</v>
      </c>
      <c r="F113" s="119">
        <v>120000</v>
      </c>
      <c r="G113" s="120">
        <v>0</v>
      </c>
    </row>
    <row r="114" spans="1:7" ht="30" customHeight="1">
      <c r="A114" s="303"/>
      <c r="B114" s="73">
        <v>900</v>
      </c>
      <c r="C114" s="48"/>
      <c r="D114" s="298"/>
      <c r="E114" s="108" t="s">
        <v>125</v>
      </c>
      <c r="F114" s="109">
        <f>F115+F118+F120+F128</f>
        <v>22212390.950000003</v>
      </c>
      <c r="G114" s="109">
        <f>G115+G118+G120+G128</f>
        <v>2245793</v>
      </c>
    </row>
    <row r="115" spans="1:7" ht="21" customHeight="1">
      <c r="A115" s="303"/>
      <c r="B115" s="72"/>
      <c r="C115" s="55">
        <v>90002</v>
      </c>
      <c r="D115" s="302"/>
      <c r="E115" s="76" t="s">
        <v>137</v>
      </c>
      <c r="F115" s="107">
        <f>SUM(F116:F117)</f>
        <v>42000</v>
      </c>
      <c r="G115" s="114">
        <f>SUM(G116:G117)</f>
        <v>42000</v>
      </c>
    </row>
    <row r="116" spans="1:7" ht="36" customHeight="1">
      <c r="A116" s="246">
        <v>68</v>
      </c>
      <c r="B116" s="115"/>
      <c r="C116" s="47"/>
      <c r="D116" s="250">
        <v>6220</v>
      </c>
      <c r="E116" s="75" t="s">
        <v>138</v>
      </c>
      <c r="F116" s="277">
        <v>12000</v>
      </c>
      <c r="G116" s="325">
        <v>12000</v>
      </c>
    </row>
    <row r="117" spans="1:7" ht="36" customHeight="1">
      <c r="A117" s="246">
        <v>69</v>
      </c>
      <c r="B117" s="115"/>
      <c r="C117" s="73"/>
      <c r="D117" s="250">
        <v>6230</v>
      </c>
      <c r="E117" s="86" t="s">
        <v>138</v>
      </c>
      <c r="F117" s="277">
        <v>30000</v>
      </c>
      <c r="G117" s="325">
        <v>30000</v>
      </c>
    </row>
    <row r="118" spans="1:7" s="261" customFormat="1" ht="29.25" customHeight="1">
      <c r="A118" s="259"/>
      <c r="B118" s="52"/>
      <c r="C118" s="82">
        <v>90004</v>
      </c>
      <c r="D118" s="300"/>
      <c r="E118" s="334" t="s">
        <v>478</v>
      </c>
      <c r="F118" s="708">
        <f>F119</f>
        <v>25000</v>
      </c>
      <c r="G118" s="709"/>
    </row>
    <row r="119" spans="1:7" ht="36" customHeight="1">
      <c r="A119" s="246"/>
      <c r="B119" s="115"/>
      <c r="C119" s="73"/>
      <c r="D119" s="555">
        <v>6050</v>
      </c>
      <c r="E119" s="692" t="s">
        <v>499</v>
      </c>
      <c r="F119" s="710">
        <v>25000</v>
      </c>
      <c r="G119" s="711"/>
    </row>
    <row r="120" spans="1:7" ht="29.25" customHeight="1">
      <c r="A120" s="246"/>
      <c r="B120" s="55"/>
      <c r="C120" s="65">
        <v>90015</v>
      </c>
      <c r="D120" s="302"/>
      <c r="E120" s="76" t="s">
        <v>126</v>
      </c>
      <c r="F120" s="107">
        <f>SUM(F121:F127)</f>
        <v>3826912.78</v>
      </c>
      <c r="G120" s="114">
        <f>SUM(G121:G126)</f>
        <v>0</v>
      </c>
    </row>
    <row r="121" spans="1:7" ht="33" customHeight="1">
      <c r="A121" s="246">
        <v>70</v>
      </c>
      <c r="B121" s="56"/>
      <c r="C121" s="375"/>
      <c r="D121" s="309">
        <v>6050</v>
      </c>
      <c r="E121" s="326" t="s">
        <v>185</v>
      </c>
      <c r="F121" s="277">
        <v>1149.61</v>
      </c>
      <c r="G121" s="325">
        <v>0</v>
      </c>
    </row>
    <row r="122" spans="1:7" ht="24.75" customHeight="1">
      <c r="A122" s="246">
        <v>71</v>
      </c>
      <c r="B122" s="56"/>
      <c r="C122" s="375"/>
      <c r="D122" s="309">
        <v>6050</v>
      </c>
      <c r="E122" s="86" t="s">
        <v>186</v>
      </c>
      <c r="F122" s="277">
        <v>442.17</v>
      </c>
      <c r="G122" s="325">
        <v>0</v>
      </c>
    </row>
    <row r="123" spans="1:7" ht="28.5" customHeight="1">
      <c r="A123" s="246">
        <v>72</v>
      </c>
      <c r="B123" s="56"/>
      <c r="C123" s="63"/>
      <c r="D123" s="309">
        <v>6050</v>
      </c>
      <c r="E123" s="86" t="s">
        <v>295</v>
      </c>
      <c r="F123" s="277">
        <v>6000</v>
      </c>
      <c r="G123" s="325"/>
    </row>
    <row r="124" spans="1:7" ht="40.5" customHeight="1">
      <c r="A124" s="246">
        <v>73</v>
      </c>
      <c r="B124" s="56"/>
      <c r="C124" s="63"/>
      <c r="D124" s="309">
        <v>6050</v>
      </c>
      <c r="E124" s="86" t="s">
        <v>68</v>
      </c>
      <c r="F124" s="277">
        <v>20000</v>
      </c>
      <c r="G124" s="325"/>
    </row>
    <row r="125" spans="1:7" ht="36.75" customHeight="1">
      <c r="A125" s="246">
        <v>77</v>
      </c>
      <c r="B125" s="56"/>
      <c r="C125" s="63"/>
      <c r="D125" s="309">
        <v>6050</v>
      </c>
      <c r="E125" s="86" t="s">
        <v>0</v>
      </c>
      <c r="F125" s="277">
        <v>10000</v>
      </c>
      <c r="G125" s="325"/>
    </row>
    <row r="126" spans="1:10" ht="33.75" customHeight="1">
      <c r="A126" s="246">
        <v>78</v>
      </c>
      <c r="B126" s="56"/>
      <c r="C126" s="375"/>
      <c r="D126" s="309">
        <v>6050</v>
      </c>
      <c r="E126" s="86" t="s">
        <v>240</v>
      </c>
      <c r="F126" s="277">
        <f>3760327-2+1+10000</f>
        <v>3770326</v>
      </c>
      <c r="G126" s="325">
        <v>0</v>
      </c>
      <c r="J126" s="247"/>
    </row>
    <row r="127" spans="1:10" ht="33.75" customHeight="1">
      <c r="A127" s="246">
        <v>79</v>
      </c>
      <c r="B127" s="56"/>
      <c r="C127" s="63"/>
      <c r="D127" s="250">
        <v>6060</v>
      </c>
      <c r="E127" s="86" t="s">
        <v>74</v>
      </c>
      <c r="F127" s="277">
        <v>18995</v>
      </c>
      <c r="G127" s="325"/>
      <c r="J127" s="247"/>
    </row>
    <row r="128" spans="1:7" ht="30.75" customHeight="1">
      <c r="A128" s="246" t="s">
        <v>91</v>
      </c>
      <c r="B128" s="55"/>
      <c r="C128" s="65">
        <v>90095</v>
      </c>
      <c r="D128" s="302"/>
      <c r="E128" s="76" t="s">
        <v>112</v>
      </c>
      <c r="F128" s="107">
        <f>SUM(F129:F140)</f>
        <v>18318478.17</v>
      </c>
      <c r="G128" s="114">
        <f>SUM(G129:G140)</f>
        <v>2203793</v>
      </c>
    </row>
    <row r="129" spans="1:9" s="317" customFormat="1" ht="33" customHeight="1">
      <c r="A129" s="284">
        <v>80</v>
      </c>
      <c r="B129" s="79"/>
      <c r="C129" s="375"/>
      <c r="D129" s="250">
        <v>6010</v>
      </c>
      <c r="E129" s="54" t="s">
        <v>241</v>
      </c>
      <c r="F129" s="81">
        <f>182470-11590</f>
        <v>170880</v>
      </c>
      <c r="G129" s="80">
        <f>175999-11590</f>
        <v>164409</v>
      </c>
      <c r="I129" s="536"/>
    </row>
    <row r="130" spans="1:7" s="317" customFormat="1" ht="32.25" customHeight="1">
      <c r="A130" s="284">
        <v>81</v>
      </c>
      <c r="B130" s="79"/>
      <c r="C130" s="375"/>
      <c r="D130" s="310">
        <v>6010</v>
      </c>
      <c r="E130" s="54" t="s">
        <v>242</v>
      </c>
      <c r="F130" s="81">
        <f>328000+3892000</f>
        <v>4220000</v>
      </c>
      <c r="G130" s="80">
        <v>328000</v>
      </c>
    </row>
    <row r="131" spans="1:7" s="317" customFormat="1" ht="32.25" customHeight="1">
      <c r="A131" s="284">
        <v>82</v>
      </c>
      <c r="B131" s="79"/>
      <c r="C131" s="375"/>
      <c r="D131" s="250">
        <v>6010</v>
      </c>
      <c r="E131" s="66" t="s">
        <v>284</v>
      </c>
      <c r="F131" s="81">
        <v>72254</v>
      </c>
      <c r="G131" s="80"/>
    </row>
    <row r="132" spans="1:7" s="317" customFormat="1" ht="32.25" customHeight="1">
      <c r="A132" s="284">
        <v>83</v>
      </c>
      <c r="B132" s="79"/>
      <c r="C132" s="375"/>
      <c r="D132" s="250">
        <v>6010</v>
      </c>
      <c r="E132" s="66" t="s">
        <v>294</v>
      </c>
      <c r="F132" s="81">
        <v>107746</v>
      </c>
      <c r="G132" s="80"/>
    </row>
    <row r="133" spans="1:7" s="317" customFormat="1" ht="32.25" customHeight="1">
      <c r="A133" s="284">
        <v>84</v>
      </c>
      <c r="B133" s="79"/>
      <c r="C133" s="375"/>
      <c r="D133" s="250">
        <v>6010</v>
      </c>
      <c r="E133" s="517" t="s">
        <v>293</v>
      </c>
      <c r="F133" s="81">
        <v>48000</v>
      </c>
      <c r="G133" s="80">
        <v>11590</v>
      </c>
    </row>
    <row r="134" spans="1:7" s="317" customFormat="1" ht="27" customHeight="1">
      <c r="A134" s="284">
        <v>85</v>
      </c>
      <c r="B134" s="79"/>
      <c r="C134" s="63"/>
      <c r="D134" s="250">
        <v>6050</v>
      </c>
      <c r="E134" s="54" t="s">
        <v>243</v>
      </c>
      <c r="F134" s="81">
        <v>200000</v>
      </c>
      <c r="G134" s="80">
        <v>0</v>
      </c>
    </row>
    <row r="135" spans="1:7" ht="25.5" customHeight="1">
      <c r="A135" s="284">
        <v>86</v>
      </c>
      <c r="B135" s="123"/>
      <c r="C135" s="376"/>
      <c r="D135" s="250">
        <v>6050</v>
      </c>
      <c r="E135" s="66" t="s">
        <v>187</v>
      </c>
      <c r="F135" s="81">
        <f>500000+1476+3600000</f>
        <v>4101476</v>
      </c>
      <c r="G135" s="80">
        <v>500000</v>
      </c>
    </row>
    <row r="136" spans="1:7" ht="45.75" customHeight="1">
      <c r="A136" s="284">
        <v>87</v>
      </c>
      <c r="B136" s="123"/>
      <c r="C136" s="55"/>
      <c r="D136" s="250">
        <v>6050</v>
      </c>
      <c r="E136" s="54" t="s">
        <v>283</v>
      </c>
      <c r="F136" s="81">
        <v>15000</v>
      </c>
      <c r="G136" s="80">
        <v>15000</v>
      </c>
    </row>
    <row r="137" spans="1:7" ht="36.75" customHeight="1">
      <c r="A137" s="284">
        <v>88</v>
      </c>
      <c r="B137" s="123"/>
      <c r="C137" s="55"/>
      <c r="D137" s="250">
        <v>6050</v>
      </c>
      <c r="E137" s="54" t="s">
        <v>218</v>
      </c>
      <c r="F137" s="81">
        <v>180000</v>
      </c>
      <c r="G137" s="80"/>
    </row>
    <row r="138" spans="1:9" ht="29.25" customHeight="1">
      <c r="A138" s="795">
        <v>89</v>
      </c>
      <c r="B138" s="123"/>
      <c r="C138" s="376"/>
      <c r="D138" s="250">
        <v>6057</v>
      </c>
      <c r="E138" s="86" t="s">
        <v>244</v>
      </c>
      <c r="F138" s="277">
        <v>7482653.84</v>
      </c>
      <c r="G138" s="325"/>
      <c r="I138" s="247"/>
    </row>
    <row r="139" spans="1:9" ht="22.5" customHeight="1">
      <c r="A139" s="796"/>
      <c r="B139" s="124"/>
      <c r="C139" s="377"/>
      <c r="D139" s="250">
        <v>6059</v>
      </c>
      <c r="E139" s="86" t="s">
        <v>244</v>
      </c>
      <c r="F139" s="277">
        <v>1320468.33</v>
      </c>
      <c r="G139" s="325">
        <v>784794</v>
      </c>
      <c r="I139" s="247"/>
    </row>
    <row r="140" spans="1:9" ht="30.75" customHeight="1">
      <c r="A140" s="290">
        <v>90</v>
      </c>
      <c r="B140" s="124"/>
      <c r="C140" s="60"/>
      <c r="D140" s="250">
        <v>6230</v>
      </c>
      <c r="E140" s="86" t="s">
        <v>188</v>
      </c>
      <c r="F140" s="277">
        <f>600000-200000</f>
        <v>400000</v>
      </c>
      <c r="G140" s="325">
        <f>600000-200000</f>
        <v>400000</v>
      </c>
      <c r="I140" s="247"/>
    </row>
    <row r="141" spans="1:7" s="256" customFormat="1" ht="27.75" customHeight="1">
      <c r="A141" s="303"/>
      <c r="B141" s="327">
        <v>921</v>
      </c>
      <c r="C141" s="327"/>
      <c r="D141" s="303"/>
      <c r="E141" s="328" t="s">
        <v>245</v>
      </c>
      <c r="F141" s="329">
        <f>F142</f>
        <v>1438930</v>
      </c>
      <c r="G141" s="330">
        <f>G142</f>
        <v>700000</v>
      </c>
    </row>
    <row r="142" spans="1:7" s="261" customFormat="1" ht="27" customHeight="1">
      <c r="A142" s="249" t="s">
        <v>91</v>
      </c>
      <c r="B142" s="331"/>
      <c r="C142" s="332">
        <v>92109</v>
      </c>
      <c r="D142" s="333"/>
      <c r="E142" s="334" t="s">
        <v>246</v>
      </c>
      <c r="F142" s="335">
        <f>SUM(F143:F145)</f>
        <v>1438930</v>
      </c>
      <c r="G142" s="336">
        <f>SUM(G143:G145)</f>
        <v>700000</v>
      </c>
    </row>
    <row r="143" spans="1:7" ht="35.25" customHeight="1">
      <c r="A143" s="246">
        <v>91</v>
      </c>
      <c r="B143" s="124"/>
      <c r="C143" s="378"/>
      <c r="D143" s="310">
        <v>6050</v>
      </c>
      <c r="E143" s="86" t="s">
        <v>247</v>
      </c>
      <c r="F143" s="277">
        <f>1428930-574386.1</f>
        <v>854543.9</v>
      </c>
      <c r="G143" s="325">
        <f>700000-350000</f>
        <v>350000</v>
      </c>
    </row>
    <row r="144" spans="1:7" ht="34.5" customHeight="1">
      <c r="A144" s="246">
        <v>92</v>
      </c>
      <c r="B144" s="124"/>
      <c r="C144" s="60"/>
      <c r="D144" s="310">
        <v>6220</v>
      </c>
      <c r="E144" s="86" t="s">
        <v>71</v>
      </c>
      <c r="F144" s="277">
        <v>10000</v>
      </c>
      <c r="G144" s="325"/>
    </row>
    <row r="145" spans="1:7" ht="36" customHeight="1">
      <c r="A145" s="284">
        <v>93</v>
      </c>
      <c r="B145" s="124"/>
      <c r="C145" s="60"/>
      <c r="D145" s="284">
        <v>6220</v>
      </c>
      <c r="E145" s="75" t="s">
        <v>248</v>
      </c>
      <c r="F145" s="277">
        <v>574386.1</v>
      </c>
      <c r="G145" s="325">
        <v>350000</v>
      </c>
    </row>
    <row r="146" spans="1:7" s="256" customFormat="1" ht="30.75" customHeight="1">
      <c r="A146" s="303"/>
      <c r="B146" s="87">
        <v>926</v>
      </c>
      <c r="C146" s="327"/>
      <c r="D146" s="303"/>
      <c r="E146" s="540" t="s">
        <v>72</v>
      </c>
      <c r="F146" s="541">
        <f>F147</f>
        <v>462000</v>
      </c>
      <c r="G146" s="542"/>
    </row>
    <row r="147" spans="1:7" ht="29.25" customHeight="1">
      <c r="A147" s="290"/>
      <c r="B147" s="124"/>
      <c r="C147" s="528">
        <v>92604</v>
      </c>
      <c r="D147" s="246"/>
      <c r="E147" s="121" t="s">
        <v>73</v>
      </c>
      <c r="F147" s="277">
        <f>SUM(F148:F151)</f>
        <v>462000</v>
      </c>
      <c r="G147" s="325"/>
    </row>
    <row r="148" spans="1:7" ht="29.25" customHeight="1">
      <c r="A148" s="246">
        <v>94</v>
      </c>
      <c r="B148" s="124"/>
      <c r="C148" s="60"/>
      <c r="D148" s="310">
        <v>6050</v>
      </c>
      <c r="E148" s="75" t="s">
        <v>86</v>
      </c>
      <c r="F148" s="277">
        <v>60000</v>
      </c>
      <c r="G148" s="325"/>
    </row>
    <row r="149" spans="1:7" ht="26.25" customHeight="1">
      <c r="A149" s="246">
        <v>95</v>
      </c>
      <c r="B149" s="124"/>
      <c r="C149" s="60"/>
      <c r="D149" s="310">
        <v>6050</v>
      </c>
      <c r="E149" s="75" t="s">
        <v>77</v>
      </c>
      <c r="F149" s="277">
        <v>110000</v>
      </c>
      <c r="G149" s="325"/>
    </row>
    <row r="150" spans="1:7" ht="23.25" customHeight="1">
      <c r="A150" s="246">
        <v>96</v>
      </c>
      <c r="B150" s="124"/>
      <c r="C150" s="60"/>
      <c r="D150" s="310">
        <v>6050</v>
      </c>
      <c r="E150" s="75" t="s">
        <v>76</v>
      </c>
      <c r="F150" s="277">
        <v>180000</v>
      </c>
      <c r="G150" s="325"/>
    </row>
    <row r="151" spans="1:7" ht="24" customHeight="1">
      <c r="A151" s="246">
        <v>97</v>
      </c>
      <c r="B151" s="124"/>
      <c r="C151" s="60"/>
      <c r="D151" s="246">
        <v>6060</v>
      </c>
      <c r="E151" s="121" t="s">
        <v>78</v>
      </c>
      <c r="F151" s="277">
        <v>112000</v>
      </c>
      <c r="G151" s="325"/>
    </row>
    <row r="152" spans="1:10" ht="30" customHeight="1">
      <c r="A152" s="246"/>
      <c r="B152" s="83" t="s">
        <v>128</v>
      </c>
      <c r="C152" s="84"/>
      <c r="D152" s="310"/>
      <c r="E152" s="337"/>
      <c r="F152" s="126">
        <f>F153+F164+F172+F175+F178+F168+F188+F192</f>
        <v>14392150</v>
      </c>
      <c r="G152" s="126">
        <f>G153+G164+G172+G175+G178+G168+G188+G192</f>
        <v>0</v>
      </c>
      <c r="J152" s="294"/>
    </row>
    <row r="153" spans="1:10" ht="26.25" customHeight="1">
      <c r="A153" s="303"/>
      <c r="B153" s="47">
        <v>600</v>
      </c>
      <c r="C153" s="48"/>
      <c r="D153" s="298"/>
      <c r="E153" s="108" t="s">
        <v>107</v>
      </c>
      <c r="F153" s="109">
        <f>F154</f>
        <v>11915850</v>
      </c>
      <c r="G153" s="112">
        <f>G154</f>
        <v>0</v>
      </c>
      <c r="J153" s="299"/>
    </row>
    <row r="154" spans="1:7" ht="27" customHeight="1">
      <c r="A154" s="246"/>
      <c r="B154" s="53"/>
      <c r="C154" s="65">
        <v>60015</v>
      </c>
      <c r="D154" s="300"/>
      <c r="E154" s="76" t="s">
        <v>129</v>
      </c>
      <c r="F154" s="107">
        <f>SUM(F155:F163)</f>
        <v>11915850</v>
      </c>
      <c r="G154" s="114">
        <f>SUM(G155:G163)</f>
        <v>0</v>
      </c>
    </row>
    <row r="155" spans="1:10" s="118" customFormat="1" ht="23.25" customHeight="1">
      <c r="A155" s="246">
        <v>98</v>
      </c>
      <c r="B155" s="56"/>
      <c r="C155" s="375"/>
      <c r="D155" s="250">
        <v>6050</v>
      </c>
      <c r="E155" s="75" t="s">
        <v>189</v>
      </c>
      <c r="F155" s="384">
        <f>3700000-3650000</f>
        <v>50000</v>
      </c>
      <c r="G155" s="325">
        <v>0</v>
      </c>
      <c r="J155" s="338"/>
    </row>
    <row r="156" spans="1:7" s="118" customFormat="1" ht="27.75" customHeight="1">
      <c r="A156" s="246">
        <v>99</v>
      </c>
      <c r="B156" s="56"/>
      <c r="C156" s="375"/>
      <c r="D156" s="250">
        <v>6050</v>
      </c>
      <c r="E156" s="54" t="s">
        <v>274</v>
      </c>
      <c r="F156" s="119">
        <f>5000+500000</f>
        <v>505000</v>
      </c>
      <c r="G156" s="120">
        <v>0</v>
      </c>
    </row>
    <row r="157" spans="1:7" s="118" customFormat="1" ht="27.75" customHeight="1">
      <c r="A157" s="246">
        <v>100</v>
      </c>
      <c r="B157" s="56"/>
      <c r="C157" s="380"/>
      <c r="D157" s="250">
        <v>6050</v>
      </c>
      <c r="E157" s="54" t="s">
        <v>289</v>
      </c>
      <c r="F157" s="119">
        <v>64000</v>
      </c>
      <c r="G157" s="120"/>
    </row>
    <row r="158" spans="1:7" s="118" customFormat="1" ht="27.75" customHeight="1">
      <c r="A158" s="246">
        <v>101</v>
      </c>
      <c r="B158" s="56"/>
      <c r="C158" s="380"/>
      <c r="D158" s="250">
        <v>6050</v>
      </c>
      <c r="E158" s="54" t="s">
        <v>13</v>
      </c>
      <c r="F158" s="119">
        <v>18450</v>
      </c>
      <c r="G158" s="120"/>
    </row>
    <row r="159" spans="1:7" s="118" customFormat="1" ht="40.5" customHeight="1">
      <c r="A159" s="246">
        <v>102</v>
      </c>
      <c r="B159" s="56"/>
      <c r="C159" s="380"/>
      <c r="D159" s="250">
        <v>6050</v>
      </c>
      <c r="E159" s="54" t="s">
        <v>41</v>
      </c>
      <c r="F159" s="119">
        <v>3000</v>
      </c>
      <c r="G159" s="120"/>
    </row>
    <row r="160" spans="1:7" s="118" customFormat="1" ht="32.25" customHeight="1">
      <c r="A160" s="246">
        <v>103</v>
      </c>
      <c r="B160" s="56"/>
      <c r="C160" s="380"/>
      <c r="D160" s="250">
        <v>6050</v>
      </c>
      <c r="E160" s="54" t="s">
        <v>292</v>
      </c>
      <c r="F160" s="119">
        <v>103000</v>
      </c>
      <c r="G160" s="120"/>
    </row>
    <row r="161" spans="1:7" s="118" customFormat="1" ht="33.75" customHeight="1">
      <c r="A161" s="246">
        <v>104</v>
      </c>
      <c r="B161" s="56"/>
      <c r="C161" s="380"/>
      <c r="D161" s="250">
        <v>6050</v>
      </c>
      <c r="E161" s="54" t="s">
        <v>63</v>
      </c>
      <c r="F161" s="119">
        <v>25000</v>
      </c>
      <c r="G161" s="120"/>
    </row>
    <row r="162" spans="1:7" s="118" customFormat="1" ht="33.75" customHeight="1">
      <c r="A162" s="246">
        <v>105</v>
      </c>
      <c r="B162" s="56"/>
      <c r="C162" s="380"/>
      <c r="D162" s="250">
        <v>6050</v>
      </c>
      <c r="E162" s="54" t="s">
        <v>75</v>
      </c>
      <c r="F162" s="119">
        <v>119400</v>
      </c>
      <c r="G162" s="120"/>
    </row>
    <row r="163" spans="1:7" s="118" customFormat="1" ht="23.25" customHeight="1">
      <c r="A163" s="246">
        <v>106</v>
      </c>
      <c r="B163" s="56"/>
      <c r="C163" s="63"/>
      <c r="D163" s="250">
        <v>6050</v>
      </c>
      <c r="E163" s="339" t="s">
        <v>249</v>
      </c>
      <c r="F163" s="325">
        <f>5000000+6528000-500000</f>
        <v>11028000</v>
      </c>
      <c r="G163" s="325"/>
    </row>
    <row r="164" spans="1:7" s="341" customFormat="1" ht="22.5" customHeight="1">
      <c r="A164" s="303"/>
      <c r="B164" s="49">
        <v>630</v>
      </c>
      <c r="C164" s="48"/>
      <c r="D164" s="320"/>
      <c r="E164" s="340" t="s">
        <v>250</v>
      </c>
      <c r="F164" s="330">
        <f>F165</f>
        <v>221000</v>
      </c>
      <c r="G164" s="330">
        <f>G165</f>
        <v>0</v>
      </c>
    </row>
    <row r="165" spans="1:7" s="344" customFormat="1" ht="21" customHeight="1">
      <c r="A165" s="249"/>
      <c r="B165" s="321"/>
      <c r="C165" s="65">
        <v>63095</v>
      </c>
      <c r="D165" s="342"/>
      <c r="E165" s="343" t="s">
        <v>112</v>
      </c>
      <c r="F165" s="336">
        <f>SUM(F166:F167)</f>
        <v>221000</v>
      </c>
      <c r="G165" s="336">
        <f>SUM(G167:G167)</f>
        <v>0</v>
      </c>
    </row>
    <row r="166" spans="1:7" s="545" customFormat="1" ht="30" customHeight="1">
      <c r="A166" s="255"/>
      <c r="B166" s="56"/>
      <c r="C166" s="375"/>
      <c r="D166" s="389">
        <v>6050</v>
      </c>
      <c r="E166" s="75" t="s">
        <v>70</v>
      </c>
      <c r="F166" s="391">
        <v>220000</v>
      </c>
      <c r="G166" s="391"/>
    </row>
    <row r="167" spans="1:9" s="118" customFormat="1" ht="28.5" customHeight="1">
      <c r="A167" s="246">
        <v>107</v>
      </c>
      <c r="B167" s="56"/>
      <c r="C167" s="375"/>
      <c r="D167" s="250">
        <v>6050</v>
      </c>
      <c r="E167" s="75" t="s">
        <v>251</v>
      </c>
      <c r="F167" s="325">
        <v>1000</v>
      </c>
      <c r="G167" s="325">
        <v>0</v>
      </c>
      <c r="I167" s="338"/>
    </row>
    <row r="168" spans="1:9" s="118" customFormat="1" ht="22.5" customHeight="1">
      <c r="A168" s="246"/>
      <c r="B168" s="49">
        <v>710</v>
      </c>
      <c r="C168" s="48"/>
      <c r="D168" s="320"/>
      <c r="E168" s="340" t="s">
        <v>113</v>
      </c>
      <c r="F168" s="330">
        <f>F169</f>
        <v>105000</v>
      </c>
      <c r="G168" s="330">
        <f>G169</f>
        <v>0</v>
      </c>
      <c r="I168" s="338"/>
    </row>
    <row r="169" spans="1:9" s="118" customFormat="1" ht="27" customHeight="1">
      <c r="A169" s="246"/>
      <c r="B169" s="321"/>
      <c r="C169" s="65">
        <v>71012</v>
      </c>
      <c r="D169" s="342"/>
      <c r="E169" s="343" t="s">
        <v>134</v>
      </c>
      <c r="F169" s="336">
        <f>SUM(F170:F171)</f>
        <v>105000</v>
      </c>
      <c r="G169" s="336">
        <f>SUM(G171:G171)</f>
        <v>0</v>
      </c>
      <c r="I169" s="338"/>
    </row>
    <row r="170" spans="1:9" s="545" customFormat="1" ht="36" customHeight="1">
      <c r="A170" s="246">
        <v>108</v>
      </c>
      <c r="B170" s="56"/>
      <c r="C170" s="63"/>
      <c r="D170" s="389">
        <v>6050</v>
      </c>
      <c r="E170" s="390" t="s">
        <v>281</v>
      </c>
      <c r="F170" s="391">
        <v>60000</v>
      </c>
      <c r="G170" s="391"/>
      <c r="I170" s="546"/>
    </row>
    <row r="171" spans="1:9" s="118" customFormat="1" ht="24.75" customHeight="1">
      <c r="A171" s="246">
        <v>109</v>
      </c>
      <c r="B171" s="56"/>
      <c r="C171" s="63"/>
      <c r="D171" s="250">
        <v>6060</v>
      </c>
      <c r="E171" s="75" t="s">
        <v>252</v>
      </c>
      <c r="F171" s="325">
        <v>45000</v>
      </c>
      <c r="G171" s="325">
        <v>0</v>
      </c>
      <c r="I171" s="338"/>
    </row>
    <row r="172" spans="1:12" s="50" customFormat="1" ht="24" customHeight="1">
      <c r="A172" s="303"/>
      <c r="B172" s="48">
        <v>754</v>
      </c>
      <c r="C172" s="48"/>
      <c r="D172" s="303"/>
      <c r="E172" s="78" t="s">
        <v>116</v>
      </c>
      <c r="F172" s="112">
        <f>F173</f>
        <v>400000</v>
      </c>
      <c r="G172" s="112">
        <f>G173</f>
        <v>0</v>
      </c>
      <c r="J172" s="46"/>
      <c r="K172" s="46"/>
      <c r="L172" s="3"/>
    </row>
    <row r="173" spans="1:12" s="50" customFormat="1" ht="24" customHeight="1">
      <c r="A173" s="246"/>
      <c r="B173" s="55"/>
      <c r="C173" s="65">
        <v>75411</v>
      </c>
      <c r="D173" s="333"/>
      <c r="E173" s="77" t="s">
        <v>130</v>
      </c>
      <c r="F173" s="114">
        <f>SUM(F174:F174)</f>
        <v>400000</v>
      </c>
      <c r="G173" s="114">
        <f>SUM(G174:G174)</f>
        <v>0</v>
      </c>
      <c r="I173" s="46"/>
      <c r="J173" s="46"/>
      <c r="K173" s="46"/>
      <c r="L173" s="3"/>
    </row>
    <row r="174" spans="1:12" s="50" customFormat="1" ht="58.5" customHeight="1">
      <c r="A174" s="284">
        <v>110</v>
      </c>
      <c r="B174" s="63"/>
      <c r="C174" s="64"/>
      <c r="D174" s="125">
        <v>6050</v>
      </c>
      <c r="E174" s="54" t="s">
        <v>190</v>
      </c>
      <c r="F174" s="80">
        <v>400000</v>
      </c>
      <c r="G174" s="80">
        <v>0</v>
      </c>
      <c r="I174" s="46"/>
      <c r="J174" s="46"/>
      <c r="K174" s="46"/>
      <c r="L174" s="3"/>
    </row>
    <row r="175" spans="1:7" ht="21" customHeight="1">
      <c r="A175" s="303"/>
      <c r="B175" s="48">
        <v>758</v>
      </c>
      <c r="C175" s="48"/>
      <c r="D175" s="298"/>
      <c r="E175" s="108" t="s">
        <v>118</v>
      </c>
      <c r="F175" s="109">
        <f>F176</f>
        <v>214200</v>
      </c>
      <c r="G175" s="112">
        <f>G176</f>
        <v>0</v>
      </c>
    </row>
    <row r="176" spans="1:7" ht="22.5" customHeight="1">
      <c r="A176" s="255"/>
      <c r="B176" s="51"/>
      <c r="C176" s="59">
        <v>75818</v>
      </c>
      <c r="D176" s="302"/>
      <c r="E176" s="77" t="s">
        <v>119</v>
      </c>
      <c r="F176" s="111">
        <f>F177</f>
        <v>214200</v>
      </c>
      <c r="G176" s="306">
        <f>G177</f>
        <v>0</v>
      </c>
    </row>
    <row r="177" spans="1:9" ht="21.75" customHeight="1">
      <c r="A177" s="255"/>
      <c r="B177" s="72"/>
      <c r="C177" s="64"/>
      <c r="D177" s="310">
        <v>6800</v>
      </c>
      <c r="E177" s="67" t="s">
        <v>120</v>
      </c>
      <c r="F177" s="550">
        <f>658000-500000+80500-16200-8100</f>
        <v>214200</v>
      </c>
      <c r="G177" s="120">
        <f>500000-500000</f>
        <v>0</v>
      </c>
      <c r="I177" s="247"/>
    </row>
    <row r="178" spans="1:7" ht="24.75" customHeight="1">
      <c r="A178" s="284"/>
      <c r="B178" s="47">
        <v>801</v>
      </c>
      <c r="C178" s="48"/>
      <c r="D178" s="303"/>
      <c r="E178" s="91" t="s">
        <v>121</v>
      </c>
      <c r="F178" s="109">
        <f>F179+F184</f>
        <v>126000</v>
      </c>
      <c r="G178" s="112">
        <f>G179+G184</f>
        <v>0</v>
      </c>
    </row>
    <row r="179" spans="1:7" s="261" customFormat="1" ht="25.5" customHeight="1">
      <c r="A179" s="345"/>
      <c r="B179" s="53"/>
      <c r="C179" s="312">
        <v>80120</v>
      </c>
      <c r="D179" s="259"/>
      <c r="E179" s="113" t="s">
        <v>253</v>
      </c>
      <c r="F179" s="107">
        <f>SUM(F180:F183)</f>
        <v>101953</v>
      </c>
      <c r="G179" s="114">
        <f>SUM(G180:G183)</f>
        <v>0</v>
      </c>
    </row>
    <row r="180" spans="1:7" s="317" customFormat="1" ht="24.75" customHeight="1">
      <c r="A180" s="246">
        <v>111</v>
      </c>
      <c r="B180" s="56"/>
      <c r="C180" s="69"/>
      <c r="D180" s="309">
        <v>6050</v>
      </c>
      <c r="E180" s="346" t="s">
        <v>254</v>
      </c>
      <c r="F180" s="81">
        <v>45000</v>
      </c>
      <c r="G180" s="80">
        <v>0</v>
      </c>
    </row>
    <row r="181" spans="1:7" s="317" customFormat="1" ht="24" customHeight="1">
      <c r="A181" s="246">
        <v>112</v>
      </c>
      <c r="B181" s="56"/>
      <c r="C181" s="63"/>
      <c r="D181" s="314">
        <v>6050</v>
      </c>
      <c r="E181" s="316" t="s">
        <v>255</v>
      </c>
      <c r="F181" s="81">
        <v>50000</v>
      </c>
      <c r="G181" s="80">
        <v>0</v>
      </c>
    </row>
    <row r="182" spans="1:7" s="317" customFormat="1" ht="27.75" customHeight="1">
      <c r="A182" s="246">
        <v>113</v>
      </c>
      <c r="B182" s="56"/>
      <c r="C182" s="63"/>
      <c r="D182" s="314">
        <v>6060</v>
      </c>
      <c r="E182" s="316" t="s">
        <v>256</v>
      </c>
      <c r="F182" s="81">
        <v>1953</v>
      </c>
      <c r="G182" s="80">
        <v>0</v>
      </c>
    </row>
    <row r="183" spans="1:7" s="317" customFormat="1" ht="24.75" customHeight="1">
      <c r="A183" s="246">
        <v>114</v>
      </c>
      <c r="B183" s="56"/>
      <c r="C183" s="57"/>
      <c r="D183" s="309">
        <v>6060</v>
      </c>
      <c r="E183" s="346" t="s">
        <v>257</v>
      </c>
      <c r="F183" s="81">
        <v>5000</v>
      </c>
      <c r="G183" s="80">
        <v>0</v>
      </c>
    </row>
    <row r="184" spans="1:7" s="317" customFormat="1" ht="20.25" customHeight="1">
      <c r="A184" s="246"/>
      <c r="B184" s="64"/>
      <c r="C184" s="85">
        <v>80130</v>
      </c>
      <c r="D184" s="259"/>
      <c r="E184" s="113" t="s">
        <v>258</v>
      </c>
      <c r="F184" s="107">
        <f>SUM(F185:F187)</f>
        <v>24047</v>
      </c>
      <c r="G184" s="114">
        <f>SUM(G185:G187)</f>
        <v>0</v>
      </c>
    </row>
    <row r="185" spans="1:7" s="317" customFormat="1" ht="29.25" customHeight="1">
      <c r="A185" s="246">
        <v>115</v>
      </c>
      <c r="B185" s="79"/>
      <c r="C185" s="53"/>
      <c r="D185" s="314">
        <v>6060</v>
      </c>
      <c r="E185" s="316" t="s">
        <v>259</v>
      </c>
      <c r="F185" s="81">
        <v>6000</v>
      </c>
      <c r="G185" s="80">
        <v>0</v>
      </c>
    </row>
    <row r="186" spans="1:7" s="317" customFormat="1" ht="34.5" customHeight="1">
      <c r="A186" s="246">
        <v>116</v>
      </c>
      <c r="B186" s="79"/>
      <c r="C186" s="55"/>
      <c r="D186" s="314">
        <v>6060</v>
      </c>
      <c r="E186" s="316" t="s">
        <v>256</v>
      </c>
      <c r="F186" s="81">
        <v>8047</v>
      </c>
      <c r="G186" s="80">
        <v>0</v>
      </c>
    </row>
    <row r="187" spans="1:7" s="317" customFormat="1" ht="26.25" customHeight="1">
      <c r="A187" s="246">
        <v>117</v>
      </c>
      <c r="B187" s="79"/>
      <c r="C187" s="57"/>
      <c r="D187" s="314">
        <v>6060</v>
      </c>
      <c r="E187" s="316" t="s">
        <v>260</v>
      </c>
      <c r="F187" s="81">
        <v>10000</v>
      </c>
      <c r="G187" s="80">
        <v>0</v>
      </c>
    </row>
    <row r="188" spans="1:7" s="256" customFormat="1" ht="20.25" customHeight="1">
      <c r="A188" s="303"/>
      <c r="B188" s="48">
        <v>854</v>
      </c>
      <c r="C188" s="258"/>
      <c r="D188" s="347"/>
      <c r="E188" s="348" t="s">
        <v>261</v>
      </c>
      <c r="F188" s="109">
        <f>F189</f>
        <v>65300</v>
      </c>
      <c r="G188" s="112">
        <f>G189</f>
        <v>0</v>
      </c>
    </row>
    <row r="189" spans="1:7" s="261" customFormat="1" ht="24.75" customHeight="1">
      <c r="A189" s="259"/>
      <c r="B189" s="85"/>
      <c r="C189" s="62">
        <v>85403</v>
      </c>
      <c r="D189" s="349"/>
      <c r="E189" s="350" t="s">
        <v>262</v>
      </c>
      <c r="F189" s="107">
        <f>F190+F191</f>
        <v>65300</v>
      </c>
      <c r="G189" s="114">
        <f>G191</f>
        <v>0</v>
      </c>
    </row>
    <row r="190" spans="1:7" s="317" customFormat="1" ht="24.75" customHeight="1">
      <c r="A190" s="246">
        <v>118</v>
      </c>
      <c r="B190" s="64"/>
      <c r="C190" s="58"/>
      <c r="D190" s="543">
        <v>6060</v>
      </c>
      <c r="E190" s="544" t="s">
        <v>219</v>
      </c>
      <c r="F190" s="81">
        <v>53000</v>
      </c>
      <c r="G190" s="80"/>
    </row>
    <row r="191" spans="1:7" s="317" customFormat="1" ht="24" customHeight="1">
      <c r="A191" s="246">
        <v>119</v>
      </c>
      <c r="B191" s="64"/>
      <c r="C191" s="58"/>
      <c r="D191" s="318">
        <v>6060</v>
      </c>
      <c r="E191" s="316" t="s">
        <v>263</v>
      </c>
      <c r="F191" s="81">
        <v>12300</v>
      </c>
      <c r="G191" s="80">
        <v>0</v>
      </c>
    </row>
    <row r="192" spans="1:7" ht="20.25" customHeight="1">
      <c r="A192" s="303"/>
      <c r="B192" s="48">
        <v>926</v>
      </c>
      <c r="C192" s="48"/>
      <c r="D192" s="298"/>
      <c r="E192" s="108" t="s">
        <v>133</v>
      </c>
      <c r="F192" s="109">
        <f>F193</f>
        <v>1344800</v>
      </c>
      <c r="G192" s="112">
        <f>G193</f>
        <v>0</v>
      </c>
    </row>
    <row r="193" spans="1:7" ht="24" customHeight="1">
      <c r="A193" s="351"/>
      <c r="B193" s="51"/>
      <c r="C193" s="59">
        <v>92601</v>
      </c>
      <c r="D193" s="302"/>
      <c r="E193" s="76" t="s">
        <v>127</v>
      </c>
      <c r="F193" s="107">
        <f>SUM(F194:F194)</f>
        <v>1344800</v>
      </c>
      <c r="G193" s="114">
        <f>SUM(G194:G194)</f>
        <v>0</v>
      </c>
    </row>
    <row r="194" spans="1:7" ht="29.25" customHeight="1">
      <c r="A194" s="352">
        <v>120</v>
      </c>
      <c r="B194" s="71"/>
      <c r="C194" s="374"/>
      <c r="D194" s="125">
        <v>6050</v>
      </c>
      <c r="E194" s="66" t="s">
        <v>264</v>
      </c>
      <c r="F194" s="81">
        <v>1344800</v>
      </c>
      <c r="G194" s="80">
        <v>0</v>
      </c>
    </row>
    <row r="195" spans="1:10" ht="28.5" customHeight="1">
      <c r="A195" s="303"/>
      <c r="B195" s="116" t="s">
        <v>100</v>
      </c>
      <c r="C195" s="87"/>
      <c r="D195" s="353"/>
      <c r="E195" s="354"/>
      <c r="F195" s="126">
        <f>F14+F152</f>
        <v>54935472.88</v>
      </c>
      <c r="G195" s="126">
        <f>G14+G152</f>
        <v>5445793</v>
      </c>
      <c r="I195" s="297"/>
      <c r="J195" s="297"/>
    </row>
    <row r="196" spans="1:10" ht="21.75" customHeight="1">
      <c r="A196" s="278"/>
      <c r="B196" s="36"/>
      <c r="C196" s="36"/>
      <c r="D196" s="278"/>
      <c r="F196" s="262"/>
      <c r="G196" s="262"/>
      <c r="I196" s="299"/>
      <c r="J196" s="299"/>
    </row>
    <row r="197" spans="1:10" ht="22.5" customHeight="1">
      <c r="A197" s="278"/>
      <c r="B197" s="35"/>
      <c r="C197" s="35"/>
      <c r="D197" s="278"/>
      <c r="F197" s="268"/>
      <c r="G197" s="268"/>
      <c r="I197" s="247"/>
      <c r="J197" s="275"/>
    </row>
    <row r="198" spans="1:10" ht="12.75">
      <c r="A198" s="278"/>
      <c r="B198" s="35"/>
      <c r="C198" s="35"/>
      <c r="D198" s="278"/>
      <c r="F198" s="268"/>
      <c r="G198" s="268"/>
      <c r="H198" s="247"/>
      <c r="I198" s="247"/>
      <c r="J198" s="247"/>
    </row>
    <row r="199" spans="6:10" ht="12.75">
      <c r="F199" s="251"/>
      <c r="G199" s="267"/>
      <c r="I199" s="247"/>
      <c r="J199" s="247"/>
    </row>
    <row r="200" spans="6:10" ht="12.75">
      <c r="F200" s="263"/>
      <c r="G200" s="267"/>
      <c r="I200" s="247"/>
      <c r="J200" s="247"/>
    </row>
    <row r="201" spans="6:10" ht="12.75">
      <c r="F201" s="267"/>
      <c r="G201" s="267"/>
      <c r="I201" s="247"/>
      <c r="J201" s="247"/>
    </row>
    <row r="202" spans="6:10" ht="12.75">
      <c r="F202" s="267"/>
      <c r="G202" s="267"/>
      <c r="I202" s="247"/>
      <c r="J202" s="247"/>
    </row>
    <row r="203" spans="6:7" ht="12.75">
      <c r="F203" s="267"/>
      <c r="G203" s="267"/>
    </row>
    <row r="204" spans="6:7" ht="12.75">
      <c r="F204" s="267"/>
      <c r="G204" s="267"/>
    </row>
    <row r="205" spans="6:7" ht="12.75">
      <c r="F205" s="267"/>
      <c r="G205" s="267"/>
    </row>
    <row r="206" spans="6:7" ht="12.75">
      <c r="F206" s="267"/>
      <c r="G206" s="267"/>
    </row>
    <row r="207" spans="6:7" ht="12.75">
      <c r="F207" s="267"/>
      <c r="G207" s="267"/>
    </row>
    <row r="208" spans="6:7" ht="12.75">
      <c r="F208" s="267"/>
      <c r="G208" s="267"/>
    </row>
    <row r="209" spans="6:7" ht="12.75">
      <c r="F209" s="267"/>
      <c r="G209" s="267"/>
    </row>
    <row r="210" spans="6:7" ht="12.75">
      <c r="F210" s="267"/>
      <c r="G210" s="267"/>
    </row>
  </sheetData>
  <sheetProtection/>
  <mergeCells count="2">
    <mergeCell ref="A110:A111"/>
    <mergeCell ref="A138:A139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8515625" style="2" customWidth="1"/>
    <col min="5" max="5" width="13.57421875" style="2" customWidth="1"/>
    <col min="6" max="6" width="15.140625" style="2" customWidth="1"/>
    <col min="7" max="7" width="13.57421875" style="399" customWidth="1"/>
    <col min="8" max="8" width="18.140625" style="399" customWidth="1"/>
    <col min="9" max="9" width="23.00390625" style="399" customWidth="1"/>
    <col min="10" max="10" width="33.140625" style="245" customWidth="1"/>
    <col min="11" max="11" width="18.140625" style="152" customWidth="1"/>
    <col min="12" max="12" width="15.7109375" style="152" customWidth="1"/>
    <col min="13" max="13" width="10.140625" style="152" bestFit="1" customWidth="1"/>
    <col min="14" max="14" width="9.140625" style="152" customWidth="1"/>
    <col min="15" max="16384" width="9.140625" style="2" customWidth="1"/>
  </cols>
  <sheetData>
    <row r="1" spans="3:4" ht="20.25">
      <c r="C1" s="397" t="s">
        <v>296</v>
      </c>
      <c r="D1" s="398"/>
    </row>
    <row r="2" spans="3:4" ht="18.75">
      <c r="C2" s="400" t="s">
        <v>6</v>
      </c>
      <c r="D2" s="398"/>
    </row>
    <row r="3" spans="3:4" ht="18.75">
      <c r="C3" s="400" t="s">
        <v>173</v>
      </c>
      <c r="D3" s="398"/>
    </row>
    <row r="4" spans="3:4" ht="18.75">
      <c r="C4" s="152" t="s">
        <v>7</v>
      </c>
      <c r="D4" s="398"/>
    </row>
    <row r="5" spans="3:4" ht="18.75">
      <c r="C5" s="398"/>
      <c r="D5" s="398"/>
    </row>
    <row r="6" spans="1:13" ht="18.75">
      <c r="A6" s="398"/>
      <c r="B6" s="398"/>
      <c r="C6" s="398"/>
      <c r="D6" s="398"/>
      <c r="E6" s="398"/>
      <c r="F6" s="398"/>
      <c r="G6" s="401"/>
      <c r="H6" s="401"/>
      <c r="I6" s="401"/>
      <c r="J6" s="402"/>
      <c r="K6" s="403"/>
      <c r="L6" s="403"/>
      <c r="M6" s="403"/>
    </row>
    <row r="7" spans="1:13" ht="20.25">
      <c r="A7" s="398"/>
      <c r="B7" s="404" t="s">
        <v>297</v>
      </c>
      <c r="C7" s="398"/>
      <c r="D7" s="398"/>
      <c r="E7" s="398"/>
      <c r="F7" s="398"/>
      <c r="G7" s="401"/>
      <c r="H7" s="401"/>
      <c r="I7" s="401"/>
      <c r="J7" s="402"/>
      <c r="K7" s="403"/>
      <c r="L7" s="403"/>
      <c r="M7" s="403"/>
    </row>
    <row r="8" spans="1:13" ht="20.25">
      <c r="A8" s="405"/>
      <c r="B8" s="404" t="s">
        <v>298</v>
      </c>
      <c r="C8" s="5"/>
      <c r="D8" s="6"/>
      <c r="E8" s="5"/>
      <c r="F8" s="5"/>
      <c r="G8" s="406"/>
      <c r="H8" s="406"/>
      <c r="I8" s="406"/>
      <c r="J8" s="407"/>
      <c r="K8" s="7"/>
      <c r="L8" s="403"/>
      <c r="M8" s="403"/>
    </row>
    <row r="9" spans="1:13" ht="20.25">
      <c r="A9" s="405"/>
      <c r="B9" s="404" t="s">
        <v>299</v>
      </c>
      <c r="C9" s="5"/>
      <c r="D9" s="6"/>
      <c r="E9" s="5"/>
      <c r="F9" s="5"/>
      <c r="G9" s="406"/>
      <c r="H9" s="406"/>
      <c r="I9" s="406"/>
      <c r="J9" s="407"/>
      <c r="K9" s="7"/>
      <c r="L9" s="403"/>
      <c r="M9" s="403"/>
    </row>
    <row r="10" spans="1:13" ht="18.75">
      <c r="A10" s="405"/>
      <c r="B10" s="23"/>
      <c r="C10" s="23"/>
      <c r="D10" s="408"/>
      <c r="E10" s="5"/>
      <c r="F10" s="5"/>
      <c r="G10" s="406"/>
      <c r="H10" s="406"/>
      <c r="I10" s="406"/>
      <c r="J10" s="407"/>
      <c r="K10" s="7"/>
      <c r="L10" s="403"/>
      <c r="M10" s="403"/>
    </row>
    <row r="11" spans="1:13" ht="18.75">
      <c r="A11" s="405"/>
      <c r="B11" s="5"/>
      <c r="C11" s="5"/>
      <c r="D11" s="6"/>
      <c r="E11" s="5"/>
      <c r="F11" s="409" t="s">
        <v>101</v>
      </c>
      <c r="G11" s="406"/>
      <c r="H11" s="406"/>
      <c r="I11" s="406"/>
      <c r="J11" s="407"/>
      <c r="K11" s="7"/>
      <c r="L11" s="403"/>
      <c r="M11" s="403"/>
    </row>
    <row r="12" spans="1:13" ht="29.25" customHeight="1">
      <c r="A12" s="410"/>
      <c r="B12" s="411"/>
      <c r="C12" s="411"/>
      <c r="D12" s="412"/>
      <c r="E12" s="413" t="s">
        <v>300</v>
      </c>
      <c r="F12" s="414"/>
      <c r="G12" s="406"/>
      <c r="H12" s="406"/>
      <c r="I12" s="406"/>
      <c r="J12" s="407"/>
      <c r="K12" s="7"/>
      <c r="L12" s="403"/>
      <c r="M12" s="403"/>
    </row>
    <row r="13" spans="1:14" s="425" customFormat="1" ht="41.25" customHeight="1">
      <c r="A13" s="415" t="s">
        <v>301</v>
      </c>
      <c r="B13" s="416" t="s">
        <v>302</v>
      </c>
      <c r="C13" s="417" t="s">
        <v>303</v>
      </c>
      <c r="D13" s="417" t="s">
        <v>304</v>
      </c>
      <c r="E13" s="418" t="s">
        <v>305</v>
      </c>
      <c r="F13" s="393" t="s">
        <v>306</v>
      </c>
      <c r="G13" s="419"/>
      <c r="H13" s="420"/>
      <c r="I13" s="421"/>
      <c r="J13" s="422"/>
      <c r="K13" s="7"/>
      <c r="L13" s="423"/>
      <c r="M13" s="423"/>
      <c r="N13" s="424"/>
    </row>
    <row r="14" spans="1:14" s="425" customFormat="1" ht="27.75" customHeight="1">
      <c r="A14" s="426" t="s">
        <v>307</v>
      </c>
      <c r="B14" s="427"/>
      <c r="C14" s="428"/>
      <c r="D14" s="428"/>
      <c r="E14" s="429">
        <f>E17+E23+E26+E29+E32+E35+E38+E44+E53+E56+E59+E62</f>
        <v>457931.41000000003</v>
      </c>
      <c r="F14" s="429">
        <f>F17+F20+F23+F26+F29+F32+F35+F38+F41+F44+F47+F50+F53+F56+F59+F62</f>
        <v>3568197.16</v>
      </c>
      <c r="G14" s="419"/>
      <c r="H14" s="420">
        <f>E14+F14</f>
        <v>4026128.5700000003</v>
      </c>
      <c r="I14" s="420"/>
      <c r="J14" s="430"/>
      <c r="K14" s="7"/>
      <c r="L14" s="423"/>
      <c r="M14" s="423"/>
      <c r="N14" s="424"/>
    </row>
    <row r="15" spans="1:13" s="50" customFormat="1" ht="39" customHeight="1">
      <c r="A15" s="431">
        <v>1</v>
      </c>
      <c r="B15" s="432" t="s">
        <v>308</v>
      </c>
      <c r="C15" s="433" t="s">
        <v>309</v>
      </c>
      <c r="D15" s="434"/>
      <c r="E15" s="435"/>
      <c r="F15" s="436"/>
      <c r="G15" s="437"/>
      <c r="H15" s="420"/>
      <c r="I15" s="438"/>
      <c r="J15" s="430"/>
      <c r="K15" s="439"/>
      <c r="L15" s="440"/>
      <c r="M15" s="440"/>
    </row>
    <row r="16" spans="1:13" s="50" customFormat="1" ht="54.75" customHeight="1">
      <c r="A16" s="441"/>
      <c r="B16" s="266" t="s">
        <v>310</v>
      </c>
      <c r="C16" s="442"/>
      <c r="D16" s="443"/>
      <c r="E16" s="444"/>
      <c r="F16" s="445"/>
      <c r="G16" s="437"/>
      <c r="H16" s="420"/>
      <c r="I16" s="438"/>
      <c r="J16" s="430"/>
      <c r="K16" s="439"/>
      <c r="L16" s="440"/>
      <c r="M16" s="440"/>
    </row>
    <row r="17" spans="1:13" s="50" customFormat="1" ht="50.25" customHeight="1">
      <c r="A17" s="446"/>
      <c r="B17" s="266" t="s">
        <v>311</v>
      </c>
      <c r="C17" s="447"/>
      <c r="D17" s="448" t="s">
        <v>312</v>
      </c>
      <c r="E17" s="560">
        <f>39150.99+2631+4824.79</f>
        <v>46606.78</v>
      </c>
      <c r="F17" s="561">
        <f>221855.51+14909+27340.47</f>
        <v>264104.98</v>
      </c>
      <c r="G17" s="437"/>
      <c r="H17" s="420">
        <f>E17+F17</f>
        <v>310711.76</v>
      </c>
      <c r="I17" s="420"/>
      <c r="J17" s="430"/>
      <c r="K17" s="439"/>
      <c r="L17" s="440"/>
      <c r="M17" s="440"/>
    </row>
    <row r="18" spans="1:13" s="50" customFormat="1" ht="50.25" customHeight="1">
      <c r="A18" s="451">
        <v>2</v>
      </c>
      <c r="B18" s="432" t="s">
        <v>308</v>
      </c>
      <c r="C18" s="452" t="s">
        <v>313</v>
      </c>
      <c r="D18" s="453"/>
      <c r="E18" s="436"/>
      <c r="F18" s="436"/>
      <c r="G18" s="437"/>
      <c r="H18" s="420"/>
      <c r="I18" s="438"/>
      <c r="J18" s="430"/>
      <c r="K18" s="439"/>
      <c r="L18" s="440"/>
      <c r="M18" s="440"/>
    </row>
    <row r="19" spans="1:13" s="50" customFormat="1" ht="42.75" customHeight="1">
      <c r="A19" s="441"/>
      <c r="B19" s="454" t="s">
        <v>314</v>
      </c>
      <c r="C19" s="455"/>
      <c r="D19" s="456"/>
      <c r="E19" s="445"/>
      <c r="F19" s="445"/>
      <c r="G19" s="437"/>
      <c r="H19" s="420"/>
      <c r="I19" s="438"/>
      <c r="J19" s="430"/>
      <c r="K19" s="439"/>
      <c r="L19" s="440"/>
      <c r="M19" s="440"/>
    </row>
    <row r="20" spans="1:13" s="50" customFormat="1" ht="57" customHeight="1">
      <c r="A20" s="446"/>
      <c r="B20" s="454" t="s">
        <v>315</v>
      </c>
      <c r="C20" s="457"/>
      <c r="D20" s="448" t="s">
        <v>316</v>
      </c>
      <c r="E20" s="450" t="s">
        <v>317</v>
      </c>
      <c r="F20" s="450">
        <v>9180</v>
      </c>
      <c r="G20" s="437"/>
      <c r="H20" s="420"/>
      <c r="I20" s="438"/>
      <c r="J20" s="430"/>
      <c r="K20" s="439"/>
      <c r="L20" s="440"/>
      <c r="M20" s="440"/>
    </row>
    <row r="21" spans="1:13" s="50" customFormat="1" ht="44.25" customHeight="1">
      <c r="A21" s="451">
        <v>3</v>
      </c>
      <c r="B21" s="432" t="s">
        <v>308</v>
      </c>
      <c r="C21" s="452" t="s">
        <v>318</v>
      </c>
      <c r="D21" s="453"/>
      <c r="E21" s="436"/>
      <c r="F21" s="436"/>
      <c r="G21" s="437"/>
      <c r="H21" s="420"/>
      <c r="I21" s="438"/>
      <c r="J21" s="430"/>
      <c r="K21" s="439"/>
      <c r="L21" s="440"/>
      <c r="M21" s="440"/>
    </row>
    <row r="22" spans="1:13" s="50" customFormat="1" ht="35.25" customHeight="1">
      <c r="A22" s="441"/>
      <c r="B22" s="454" t="s">
        <v>319</v>
      </c>
      <c r="C22" s="455"/>
      <c r="D22" s="456"/>
      <c r="E22" s="445"/>
      <c r="F22" s="445"/>
      <c r="G22" s="437"/>
      <c r="H22" s="420"/>
      <c r="I22" s="438"/>
      <c r="J22" s="430"/>
      <c r="K22" s="439"/>
      <c r="L22" s="440"/>
      <c r="M22" s="440"/>
    </row>
    <row r="23" spans="1:13" s="50" customFormat="1" ht="48" customHeight="1">
      <c r="A23" s="446"/>
      <c r="B23" s="454" t="s">
        <v>320</v>
      </c>
      <c r="C23" s="457"/>
      <c r="D23" s="443" t="s">
        <v>316</v>
      </c>
      <c r="E23" s="458">
        <v>100</v>
      </c>
      <c r="F23" s="445">
        <f>11200+1636.6</f>
        <v>12836.6</v>
      </c>
      <c r="G23" s="437"/>
      <c r="H23" s="420"/>
      <c r="I23" s="438"/>
      <c r="J23" s="430"/>
      <c r="K23" s="439"/>
      <c r="L23" s="440"/>
      <c r="M23" s="440"/>
    </row>
    <row r="24" spans="1:13" s="50" customFormat="1" ht="45" customHeight="1">
      <c r="A24" s="431">
        <v>4</v>
      </c>
      <c r="B24" s="432" t="s">
        <v>308</v>
      </c>
      <c r="C24" s="433" t="s">
        <v>309</v>
      </c>
      <c r="D24" s="459"/>
      <c r="E24" s="436"/>
      <c r="F24" s="436"/>
      <c r="G24" s="437"/>
      <c r="H24" s="420"/>
      <c r="I24" s="438"/>
      <c r="J24" s="430"/>
      <c r="K24" s="439"/>
      <c r="L24" s="440"/>
      <c r="M24" s="440"/>
    </row>
    <row r="25" spans="1:13" s="50" customFormat="1" ht="51" customHeight="1">
      <c r="A25" s="441"/>
      <c r="B25" s="266" t="s">
        <v>321</v>
      </c>
      <c r="C25" s="442"/>
      <c r="D25" s="460"/>
      <c r="E25" s="445"/>
      <c r="F25" s="445"/>
      <c r="G25" s="437"/>
      <c r="H25" s="420"/>
      <c r="I25" s="438"/>
      <c r="J25" s="430"/>
      <c r="K25" s="439"/>
      <c r="L25" s="440"/>
      <c r="M25" s="440"/>
    </row>
    <row r="26" spans="1:13" s="50" customFormat="1" ht="42" customHeight="1">
      <c r="A26" s="441"/>
      <c r="B26" s="266" t="s">
        <v>322</v>
      </c>
      <c r="C26" s="447"/>
      <c r="D26" s="461" t="s">
        <v>316</v>
      </c>
      <c r="E26" s="450">
        <f>33849.9+12291.56+4869.12</f>
        <v>51010.58</v>
      </c>
      <c r="F26" s="450">
        <f>191816.1+69652.08+27591.79</f>
        <v>289059.97</v>
      </c>
      <c r="G26" s="437"/>
      <c r="H26" s="420"/>
      <c r="I26" s="438"/>
      <c r="J26" s="430"/>
      <c r="K26" s="439"/>
      <c r="L26" s="440"/>
      <c r="M26" s="440"/>
    </row>
    <row r="27" spans="1:13" s="50" customFormat="1" ht="41.25" customHeight="1">
      <c r="A27" s="431">
        <v>5</v>
      </c>
      <c r="B27" s="432" t="s">
        <v>308</v>
      </c>
      <c r="C27" s="433" t="s">
        <v>309</v>
      </c>
      <c r="D27" s="459"/>
      <c r="E27" s="436"/>
      <c r="F27" s="436"/>
      <c r="G27" s="437"/>
      <c r="H27" s="420"/>
      <c r="I27" s="438"/>
      <c r="J27" s="430"/>
      <c r="K27" s="439"/>
      <c r="L27" s="440"/>
      <c r="M27" s="440"/>
    </row>
    <row r="28" spans="1:13" s="50" customFormat="1" ht="74.25" customHeight="1">
      <c r="A28" s="441"/>
      <c r="B28" s="266" t="s">
        <v>323</v>
      </c>
      <c r="C28" s="442"/>
      <c r="D28" s="460"/>
      <c r="E28" s="445"/>
      <c r="F28" s="445"/>
      <c r="G28" s="437"/>
      <c r="H28" s="420"/>
      <c r="I28" s="438"/>
      <c r="J28" s="430"/>
      <c r="K28" s="439"/>
      <c r="L28" s="440"/>
      <c r="M28" s="440"/>
    </row>
    <row r="29" spans="1:13" s="50" customFormat="1" ht="42" customHeight="1">
      <c r="A29" s="441"/>
      <c r="B29" s="266" t="s">
        <v>324</v>
      </c>
      <c r="C29" s="447"/>
      <c r="D29" s="461" t="s">
        <v>316</v>
      </c>
      <c r="E29" s="450">
        <f>26352.02-105+7828.32</f>
        <v>34075.34</v>
      </c>
      <c r="F29" s="450">
        <f>149328.08-595+44360.45</f>
        <v>193093.52999999997</v>
      </c>
      <c r="G29" s="437"/>
      <c r="H29" s="420"/>
      <c r="I29" s="438"/>
      <c r="J29" s="430"/>
      <c r="K29" s="439"/>
      <c r="L29" s="440"/>
      <c r="M29" s="440"/>
    </row>
    <row r="30" spans="1:13" s="50" customFormat="1" ht="39" customHeight="1">
      <c r="A30" s="431">
        <v>6</v>
      </c>
      <c r="B30" s="432" t="s">
        <v>308</v>
      </c>
      <c r="C30" s="462" t="s">
        <v>309</v>
      </c>
      <c r="D30" s="460"/>
      <c r="E30" s="445"/>
      <c r="F30" s="445"/>
      <c r="G30" s="437"/>
      <c r="H30" s="420"/>
      <c r="I30" s="438"/>
      <c r="J30" s="430"/>
      <c r="K30" s="439"/>
      <c r="L30" s="440"/>
      <c r="M30" s="440"/>
    </row>
    <row r="31" spans="1:13" s="50" customFormat="1" ht="42" customHeight="1">
      <c r="A31" s="441"/>
      <c r="B31" s="266" t="s">
        <v>325</v>
      </c>
      <c r="C31" s="463"/>
      <c r="D31" s="460"/>
      <c r="E31" s="445"/>
      <c r="F31" s="445"/>
      <c r="G31" s="437"/>
      <c r="H31" s="420"/>
      <c r="I31" s="438"/>
      <c r="J31" s="430"/>
      <c r="K31" s="439"/>
      <c r="L31" s="440"/>
      <c r="M31" s="440"/>
    </row>
    <row r="32" spans="1:13" s="50" customFormat="1" ht="39" customHeight="1">
      <c r="A32" s="441"/>
      <c r="B32" s="464" t="s">
        <v>326</v>
      </c>
      <c r="C32" s="463"/>
      <c r="D32" s="461" t="s">
        <v>327</v>
      </c>
      <c r="E32" s="445">
        <f>65500.65+2325+1126.08</f>
        <v>68951.73</v>
      </c>
      <c r="F32" s="445">
        <f>371170.35+13175+6381.08</f>
        <v>390726.43</v>
      </c>
      <c r="G32" s="437"/>
      <c r="H32" s="420"/>
      <c r="I32" s="438"/>
      <c r="J32" s="430"/>
      <c r="K32" s="439"/>
      <c r="L32" s="440"/>
      <c r="M32" s="440"/>
    </row>
    <row r="33" spans="1:13" s="50" customFormat="1" ht="42" customHeight="1">
      <c r="A33" s="431">
        <v>7</v>
      </c>
      <c r="B33" s="432" t="s">
        <v>308</v>
      </c>
      <c r="C33" s="465" t="s">
        <v>309</v>
      </c>
      <c r="D33" s="434"/>
      <c r="E33" s="436"/>
      <c r="F33" s="466"/>
      <c r="G33" s="437"/>
      <c r="H33" s="420"/>
      <c r="I33" s="438"/>
      <c r="J33" s="430"/>
      <c r="K33" s="439"/>
      <c r="L33" s="440"/>
      <c r="M33" s="440"/>
    </row>
    <row r="34" spans="1:13" s="50" customFormat="1" ht="42" customHeight="1">
      <c r="A34" s="441"/>
      <c r="B34" s="266" t="s">
        <v>328</v>
      </c>
      <c r="C34" s="442"/>
      <c r="D34" s="443"/>
      <c r="E34" s="445"/>
      <c r="F34" s="467"/>
      <c r="G34" s="437"/>
      <c r="H34" s="420"/>
      <c r="I34" s="438"/>
      <c r="J34" s="430"/>
      <c r="K34" s="439"/>
      <c r="L34" s="440"/>
      <c r="M34" s="440"/>
    </row>
    <row r="35" spans="1:13" s="50" customFormat="1" ht="42" customHeight="1">
      <c r="A35" s="446"/>
      <c r="B35" s="266" t="s">
        <v>330</v>
      </c>
      <c r="C35" s="447"/>
      <c r="D35" s="461" t="s">
        <v>316</v>
      </c>
      <c r="E35" s="450">
        <f>89821.42+17767.11+6515.9</f>
        <v>114104.43</v>
      </c>
      <c r="F35" s="547">
        <f>508988.03+116185.96+21417.76</f>
        <v>646591.75</v>
      </c>
      <c r="G35" s="437"/>
      <c r="H35" s="420"/>
      <c r="I35" s="438"/>
      <c r="J35" s="430"/>
      <c r="K35" s="439"/>
      <c r="L35" s="440"/>
      <c r="M35" s="440"/>
    </row>
    <row r="36" spans="1:13" s="50" customFormat="1" ht="42.75" customHeight="1">
      <c r="A36" s="451">
        <v>8</v>
      </c>
      <c r="B36" s="432" t="s">
        <v>308</v>
      </c>
      <c r="C36" s="468" t="s">
        <v>331</v>
      </c>
      <c r="D36" s="460"/>
      <c r="E36" s="445"/>
      <c r="F36" s="445"/>
      <c r="G36" s="437"/>
      <c r="H36" s="420"/>
      <c r="I36" s="438"/>
      <c r="J36" s="430"/>
      <c r="K36" s="439"/>
      <c r="L36" s="440"/>
      <c r="M36" s="440"/>
    </row>
    <row r="37" spans="1:13" s="50" customFormat="1" ht="35.25" customHeight="1">
      <c r="A37" s="441"/>
      <c r="B37" s="469" t="s">
        <v>332</v>
      </c>
      <c r="C37" s="455"/>
      <c r="D37" s="470"/>
      <c r="E37" s="445"/>
      <c r="F37" s="445"/>
      <c r="G37" s="437"/>
      <c r="H37" s="420"/>
      <c r="I37" s="438"/>
      <c r="J37" s="430"/>
      <c r="K37" s="439"/>
      <c r="L37" s="440"/>
      <c r="M37" s="440"/>
    </row>
    <row r="38" spans="1:13" s="50" customFormat="1" ht="86.25" customHeight="1">
      <c r="A38" s="446"/>
      <c r="B38" s="469" t="s">
        <v>333</v>
      </c>
      <c r="C38" s="457"/>
      <c r="D38" s="471" t="s">
        <v>316</v>
      </c>
      <c r="E38" s="450">
        <v>495.24</v>
      </c>
      <c r="F38" s="450">
        <f>158591.88+7209.46</f>
        <v>165801.34</v>
      </c>
      <c r="G38" s="437"/>
      <c r="H38" s="420"/>
      <c r="I38" s="438"/>
      <c r="J38" s="430"/>
      <c r="K38" s="439"/>
      <c r="L38" s="440"/>
      <c r="M38" s="440"/>
    </row>
    <row r="39" spans="1:13" s="50" customFormat="1" ht="54" customHeight="1">
      <c r="A39" s="431">
        <v>9</v>
      </c>
      <c r="B39" s="472" t="s">
        <v>334</v>
      </c>
      <c r="C39" s="452" t="s">
        <v>318</v>
      </c>
      <c r="D39" s="459"/>
      <c r="E39" s="436"/>
      <c r="F39" s="436"/>
      <c r="G39" s="437"/>
      <c r="H39" s="420"/>
      <c r="I39" s="438"/>
      <c r="J39" s="430"/>
      <c r="K39" s="439"/>
      <c r="L39" s="440"/>
      <c r="M39" s="440"/>
    </row>
    <row r="40" spans="1:13" s="50" customFormat="1" ht="52.5" customHeight="1">
      <c r="A40" s="441"/>
      <c r="B40" s="469" t="s">
        <v>335</v>
      </c>
      <c r="C40" s="455"/>
      <c r="D40" s="470"/>
      <c r="E40" s="445"/>
      <c r="F40" s="445"/>
      <c r="G40" s="437"/>
      <c r="H40" s="420"/>
      <c r="I40" s="438"/>
      <c r="J40" s="430"/>
      <c r="K40" s="439"/>
      <c r="L40" s="440"/>
      <c r="M40" s="440"/>
    </row>
    <row r="41" spans="1:13" s="50" customFormat="1" ht="58.5" customHeight="1">
      <c r="A41" s="446"/>
      <c r="B41" s="469" t="s">
        <v>336</v>
      </c>
      <c r="C41" s="457"/>
      <c r="D41" s="471" t="s">
        <v>316</v>
      </c>
      <c r="E41" s="450"/>
      <c r="F41" s="450">
        <f>6768+13243.58</f>
        <v>20011.58</v>
      </c>
      <c r="G41" s="437"/>
      <c r="H41" s="420"/>
      <c r="I41" s="473"/>
      <c r="J41" s="430"/>
      <c r="K41" s="439"/>
      <c r="L41" s="440"/>
      <c r="M41" s="440"/>
    </row>
    <row r="42" spans="1:13" s="50" customFormat="1" ht="39" customHeight="1">
      <c r="A42" s="451">
        <v>10</v>
      </c>
      <c r="B42" s="432" t="s">
        <v>308</v>
      </c>
      <c r="C42" s="452" t="s">
        <v>318</v>
      </c>
      <c r="D42" s="453"/>
      <c r="E42" s="436"/>
      <c r="F42" s="436"/>
      <c r="G42" s="437"/>
      <c r="H42" s="420"/>
      <c r="I42" s="473"/>
      <c r="J42" s="430"/>
      <c r="K42" s="439"/>
      <c r="L42" s="440"/>
      <c r="M42" s="440"/>
    </row>
    <row r="43" spans="1:13" s="50" customFormat="1" ht="75" customHeight="1">
      <c r="A43" s="441"/>
      <c r="B43" s="454" t="s">
        <v>337</v>
      </c>
      <c r="C43" s="455"/>
      <c r="D43" s="456"/>
      <c r="E43" s="445"/>
      <c r="F43" s="445"/>
      <c r="G43" s="437"/>
      <c r="H43" s="420"/>
      <c r="I43" s="473"/>
      <c r="J43" s="430"/>
      <c r="K43" s="439"/>
      <c r="L43" s="440"/>
      <c r="M43" s="440"/>
    </row>
    <row r="44" spans="1:13" s="50" customFormat="1" ht="42" customHeight="1">
      <c r="A44" s="446"/>
      <c r="B44" s="454" t="s">
        <v>338</v>
      </c>
      <c r="C44" s="457"/>
      <c r="D44" s="448" t="s">
        <v>316</v>
      </c>
      <c r="E44" s="450">
        <f>22000+53.28</f>
        <v>22053.28</v>
      </c>
      <c r="F44" s="450">
        <f>54580+6699.28</f>
        <v>61279.28</v>
      </c>
      <c r="G44" s="437"/>
      <c r="H44" s="420"/>
      <c r="I44" s="473"/>
      <c r="J44" s="430"/>
      <c r="K44" s="439"/>
      <c r="L44" s="440"/>
      <c r="M44" s="440"/>
    </row>
    <row r="45" spans="1:13" s="50" customFormat="1" ht="56.25" customHeight="1">
      <c r="A45" s="431">
        <v>11</v>
      </c>
      <c r="B45" s="432" t="s">
        <v>308</v>
      </c>
      <c r="C45" s="474" t="s">
        <v>340</v>
      </c>
      <c r="D45" s="434"/>
      <c r="E45" s="436"/>
      <c r="F45" s="436"/>
      <c r="G45" s="437"/>
      <c r="H45" s="420"/>
      <c r="I45" s="473"/>
      <c r="J45" s="430"/>
      <c r="K45" s="439"/>
      <c r="L45" s="440"/>
      <c r="M45" s="440"/>
    </row>
    <row r="46" spans="1:13" s="50" customFormat="1" ht="60.75" customHeight="1">
      <c r="A46" s="441"/>
      <c r="B46" s="454" t="s">
        <v>341</v>
      </c>
      <c r="C46" s="442"/>
      <c r="D46" s="443"/>
      <c r="E46" s="445"/>
      <c r="F46" s="445"/>
      <c r="G46" s="437"/>
      <c r="H46" s="420"/>
      <c r="I46" s="473"/>
      <c r="J46" s="430"/>
      <c r="K46" s="439"/>
      <c r="L46" s="440"/>
      <c r="M46" s="440"/>
    </row>
    <row r="47" spans="1:13" s="50" customFormat="1" ht="38.25" customHeight="1">
      <c r="A47" s="446"/>
      <c r="B47" s="454" t="s">
        <v>342</v>
      </c>
      <c r="C47" s="447"/>
      <c r="D47" s="443" t="s">
        <v>343</v>
      </c>
      <c r="E47" s="445" t="s">
        <v>317</v>
      </c>
      <c r="F47" s="445">
        <f>422070+15020.34</f>
        <v>437090.34</v>
      </c>
      <c r="G47" s="437"/>
      <c r="H47" s="420"/>
      <c r="I47" s="473"/>
      <c r="J47" s="430"/>
      <c r="K47" s="439"/>
      <c r="L47" s="440"/>
      <c r="M47" s="440"/>
    </row>
    <row r="48" spans="1:13" s="50" customFormat="1" ht="38.25" customHeight="1">
      <c r="A48" s="431">
        <v>12</v>
      </c>
      <c r="B48" s="432" t="s">
        <v>308</v>
      </c>
      <c r="C48" s="474" t="s">
        <v>344</v>
      </c>
      <c r="D48" s="434"/>
      <c r="E48" s="435"/>
      <c r="F48" s="436"/>
      <c r="G48" s="437"/>
      <c r="H48" s="420"/>
      <c r="I48" s="473"/>
      <c r="J48" s="430"/>
      <c r="K48" s="439"/>
      <c r="L48" s="440"/>
      <c r="M48" s="440"/>
    </row>
    <row r="49" spans="1:13" s="50" customFormat="1" ht="91.5" customHeight="1">
      <c r="A49" s="441"/>
      <c r="B49" s="454" t="s">
        <v>345</v>
      </c>
      <c r="C49" s="442"/>
      <c r="D49" s="443"/>
      <c r="E49" s="444"/>
      <c r="F49" s="445"/>
      <c r="G49" s="437"/>
      <c r="H49" s="420"/>
      <c r="I49" s="473"/>
      <c r="J49" s="430"/>
      <c r="K49" s="439"/>
      <c r="L49" s="440"/>
      <c r="M49" s="440"/>
    </row>
    <row r="50" spans="1:13" s="50" customFormat="1" ht="42.75" customHeight="1">
      <c r="A50" s="446"/>
      <c r="B50" s="454" t="s">
        <v>346</v>
      </c>
      <c r="C50" s="447"/>
      <c r="D50" s="448" t="s">
        <v>347</v>
      </c>
      <c r="E50" s="450" t="s">
        <v>317</v>
      </c>
      <c r="F50" s="548">
        <f>192024+17733.92</f>
        <v>209757.91999999998</v>
      </c>
      <c r="G50" s="437"/>
      <c r="H50" s="420"/>
      <c r="I50" s="473"/>
      <c r="J50" s="430"/>
      <c r="K50" s="439"/>
      <c r="L50" s="440"/>
      <c r="M50" s="440"/>
    </row>
    <row r="51" spans="1:13" s="50" customFormat="1" ht="56.25" customHeight="1">
      <c r="A51" s="431">
        <v>13</v>
      </c>
      <c r="B51" s="475" t="s">
        <v>308</v>
      </c>
      <c r="C51" s="452" t="s">
        <v>318</v>
      </c>
      <c r="D51" s="434"/>
      <c r="E51" s="435"/>
      <c r="F51" s="436"/>
      <c r="G51" s="437"/>
      <c r="H51" s="420"/>
      <c r="I51" s="438"/>
      <c r="J51" s="430"/>
      <c r="K51" s="439"/>
      <c r="L51" s="440"/>
      <c r="M51" s="440"/>
    </row>
    <row r="52" spans="1:13" s="50" customFormat="1" ht="112.5" customHeight="1">
      <c r="A52" s="441"/>
      <c r="B52" s="454" t="s">
        <v>348</v>
      </c>
      <c r="C52" s="442"/>
      <c r="D52" s="443"/>
      <c r="E52" s="444"/>
      <c r="F52" s="445"/>
      <c r="G52" s="437"/>
      <c r="H52" s="420"/>
      <c r="I52" s="438"/>
      <c r="J52" s="430"/>
      <c r="K52" s="439"/>
      <c r="L52" s="440"/>
      <c r="M52" s="440"/>
    </row>
    <row r="53" spans="1:13" s="50" customFormat="1" ht="30" customHeight="1">
      <c r="A53" s="441"/>
      <c r="B53" s="476" t="s">
        <v>349</v>
      </c>
      <c r="C53" s="463"/>
      <c r="D53" s="443">
        <v>2014</v>
      </c>
      <c r="E53" s="444"/>
      <c r="F53" s="445">
        <v>67969.54</v>
      </c>
      <c r="G53" s="437"/>
      <c r="H53" s="420"/>
      <c r="I53" s="438"/>
      <c r="J53" s="430"/>
      <c r="K53" s="439"/>
      <c r="L53" s="440"/>
      <c r="M53" s="440"/>
    </row>
    <row r="54" spans="1:13" s="50" customFormat="1" ht="55.5" customHeight="1">
      <c r="A54" s="431">
        <v>14</v>
      </c>
      <c r="B54" s="477" t="s">
        <v>334</v>
      </c>
      <c r="C54" s="462" t="s">
        <v>350</v>
      </c>
      <c r="D54" s="434"/>
      <c r="E54" s="436"/>
      <c r="F54" s="436"/>
      <c r="G54" s="437"/>
      <c r="H54" s="420"/>
      <c r="I54" s="438"/>
      <c r="J54" s="430"/>
      <c r="K54" s="439"/>
      <c r="L54" s="440"/>
      <c r="M54" s="440"/>
    </row>
    <row r="55" spans="1:13" s="50" customFormat="1" ht="39.75" customHeight="1">
      <c r="A55" s="441"/>
      <c r="B55" s="454" t="s">
        <v>351</v>
      </c>
      <c r="C55" s="463"/>
      <c r="D55" s="443"/>
      <c r="E55" s="445"/>
      <c r="F55" s="445"/>
      <c r="G55" s="437"/>
      <c r="H55" s="420"/>
      <c r="I55" s="438"/>
      <c r="J55" s="430"/>
      <c r="K55" s="439"/>
      <c r="L55" s="440"/>
      <c r="M55" s="440"/>
    </row>
    <row r="56" spans="1:13" s="50" customFormat="1" ht="45.75" customHeight="1">
      <c r="A56" s="446"/>
      <c r="B56" s="454" t="s">
        <v>352</v>
      </c>
      <c r="C56" s="447"/>
      <c r="D56" s="443" t="s">
        <v>347</v>
      </c>
      <c r="E56" s="445">
        <v>0</v>
      </c>
      <c r="F56" s="445">
        <f>42742.4+13182.16</f>
        <v>55924.56</v>
      </c>
      <c r="G56" s="437"/>
      <c r="H56" s="420"/>
      <c r="I56" s="438"/>
      <c r="J56" s="430"/>
      <c r="K56" s="439"/>
      <c r="L56" s="440"/>
      <c r="M56" s="440"/>
    </row>
    <row r="57" spans="1:13" s="50" customFormat="1" ht="42" customHeight="1">
      <c r="A57" s="431">
        <v>15</v>
      </c>
      <c r="B57" s="432" t="s">
        <v>308</v>
      </c>
      <c r="C57" s="478" t="s">
        <v>309</v>
      </c>
      <c r="D57" s="434"/>
      <c r="E57" s="435"/>
      <c r="F57" s="436"/>
      <c r="G57" s="437"/>
      <c r="H57" s="420"/>
      <c r="I57" s="438"/>
      <c r="J57" s="430"/>
      <c r="K57" s="439"/>
      <c r="L57" s="440"/>
      <c r="M57" s="440"/>
    </row>
    <row r="58" spans="1:13" s="50" customFormat="1" ht="54.75" customHeight="1">
      <c r="A58" s="441"/>
      <c r="B58" s="266" t="s">
        <v>353</v>
      </c>
      <c r="C58" s="442"/>
      <c r="D58" s="443"/>
      <c r="E58" s="444"/>
      <c r="F58" s="445"/>
      <c r="G58" s="437"/>
      <c r="H58" s="420"/>
      <c r="I58" s="438"/>
      <c r="J58" s="430"/>
      <c r="K58" s="439"/>
      <c r="L58" s="440"/>
      <c r="M58" s="440"/>
    </row>
    <row r="59" spans="1:13" s="50" customFormat="1" ht="45.75" customHeight="1">
      <c r="A59" s="446"/>
      <c r="B59" s="266" t="s">
        <v>26</v>
      </c>
      <c r="C59" s="447"/>
      <c r="D59" s="448" t="s">
        <v>354</v>
      </c>
      <c r="E59" s="449">
        <f>125690.25-5156.22</f>
        <v>120534.03</v>
      </c>
      <c r="F59" s="450">
        <f>712244.78-29218.6</f>
        <v>683026.18</v>
      </c>
      <c r="G59" s="437"/>
      <c r="H59" s="420"/>
      <c r="I59" s="438"/>
      <c r="J59" s="430"/>
      <c r="K59" s="439"/>
      <c r="L59" s="440"/>
      <c r="M59" s="440"/>
    </row>
    <row r="60" spans="1:13" s="50" customFormat="1" ht="45.75" customHeight="1">
      <c r="A60" s="431">
        <v>16</v>
      </c>
      <c r="B60" s="432" t="s">
        <v>308</v>
      </c>
      <c r="C60" s="452" t="s">
        <v>318</v>
      </c>
      <c r="D60" s="459"/>
      <c r="E60" s="436"/>
      <c r="F60" s="436"/>
      <c r="G60" s="437"/>
      <c r="H60" s="420"/>
      <c r="I60" s="438"/>
      <c r="J60" s="430"/>
      <c r="K60" s="439"/>
      <c r="L60" s="440"/>
      <c r="M60" s="440"/>
    </row>
    <row r="61" spans="1:13" s="50" customFormat="1" ht="98.25" customHeight="1">
      <c r="A61" s="441"/>
      <c r="B61" s="266" t="s">
        <v>355</v>
      </c>
      <c r="C61" s="455"/>
      <c r="D61" s="470"/>
      <c r="E61" s="445"/>
      <c r="F61" s="445"/>
      <c r="G61" s="437"/>
      <c r="H61" s="420"/>
      <c r="I61" s="438"/>
      <c r="J61" s="430"/>
      <c r="K61" s="439"/>
      <c r="L61" s="440"/>
      <c r="M61" s="440"/>
    </row>
    <row r="62" spans="1:13" s="50" customFormat="1" ht="45.75" customHeight="1">
      <c r="A62" s="446"/>
      <c r="B62" s="266" t="s">
        <v>356</v>
      </c>
      <c r="C62" s="457"/>
      <c r="D62" s="479">
        <v>2014</v>
      </c>
      <c r="E62" s="450"/>
      <c r="F62" s="450">
        <v>61743.16</v>
      </c>
      <c r="G62" s="437"/>
      <c r="H62" s="420"/>
      <c r="I62" s="438"/>
      <c r="J62" s="430"/>
      <c r="K62" s="439"/>
      <c r="L62" s="440"/>
      <c r="M62" s="440"/>
    </row>
    <row r="63" spans="1:11" ht="36.75" customHeight="1">
      <c r="A63" s="480" t="s">
        <v>357</v>
      </c>
      <c r="B63" s="481"/>
      <c r="C63" s="482"/>
      <c r="D63" s="483"/>
      <c r="E63" s="484">
        <f>E66+E69+E72+E75</f>
        <v>16454.82</v>
      </c>
      <c r="F63" s="484">
        <f>F66+F69+F72+F75</f>
        <v>462679.64</v>
      </c>
      <c r="H63" s="420"/>
      <c r="I63" s="485"/>
      <c r="J63" s="262"/>
      <c r="K63" s="486"/>
    </row>
    <row r="64" spans="1:9" ht="45" customHeight="1">
      <c r="A64" s="451">
        <v>1</v>
      </c>
      <c r="B64" s="477" t="s">
        <v>334</v>
      </c>
      <c r="C64" s="487" t="s">
        <v>358</v>
      </c>
      <c r="D64" s="459"/>
      <c r="E64" s="488"/>
      <c r="F64" s="489"/>
      <c r="H64" s="420"/>
      <c r="I64" s="438"/>
    </row>
    <row r="65" spans="1:9" ht="45.75" customHeight="1">
      <c r="A65" s="441"/>
      <c r="B65" s="454" t="s">
        <v>359</v>
      </c>
      <c r="C65" s="455"/>
      <c r="D65" s="460"/>
      <c r="E65" s="490"/>
      <c r="F65" s="491"/>
      <c r="H65" s="420"/>
      <c r="I65" s="438"/>
    </row>
    <row r="66" spans="1:10" ht="41.25" customHeight="1">
      <c r="A66" s="446"/>
      <c r="B66" s="454" t="s">
        <v>360</v>
      </c>
      <c r="C66" s="457"/>
      <c r="D66" s="461" t="s">
        <v>361</v>
      </c>
      <c r="E66" s="492"/>
      <c r="F66" s="493">
        <f>16777.6+5554.49</f>
        <v>22332.089999999997</v>
      </c>
      <c r="H66" s="420"/>
      <c r="I66" s="438"/>
      <c r="J66" s="268"/>
    </row>
    <row r="67" spans="1:8" ht="42" customHeight="1">
      <c r="A67" s="451">
        <v>2</v>
      </c>
      <c r="B67" s="432" t="s">
        <v>362</v>
      </c>
      <c r="C67" s="494" t="s">
        <v>363</v>
      </c>
      <c r="D67" s="495"/>
      <c r="E67" s="496"/>
      <c r="F67" s="497"/>
      <c r="H67" s="420"/>
    </row>
    <row r="68" spans="1:9" ht="36.75" customHeight="1">
      <c r="A68" s="441"/>
      <c r="B68" s="498" t="s">
        <v>364</v>
      </c>
      <c r="C68" s="269"/>
      <c r="D68" s="499"/>
      <c r="E68" s="500"/>
      <c r="F68" s="501"/>
      <c r="H68" s="420"/>
      <c r="I68" s="502"/>
    </row>
    <row r="69" spans="1:9" ht="36" customHeight="1">
      <c r="A69" s="446"/>
      <c r="B69" s="503" t="s">
        <v>365</v>
      </c>
      <c r="C69" s="504"/>
      <c r="D69" s="461" t="s">
        <v>361</v>
      </c>
      <c r="E69" s="270">
        <f>1200+254.82</f>
        <v>1454.82</v>
      </c>
      <c r="F69" s="270">
        <f>165580+1612.13</f>
        <v>167192.13</v>
      </c>
      <c r="H69" s="420"/>
      <c r="I69" s="502"/>
    </row>
    <row r="70" spans="1:10" ht="44.25" customHeight="1">
      <c r="A70" s="451">
        <v>3</v>
      </c>
      <c r="B70" s="432" t="s">
        <v>366</v>
      </c>
      <c r="C70" s="462" t="s">
        <v>309</v>
      </c>
      <c r="D70" s="495"/>
      <c r="E70" s="496"/>
      <c r="F70" s="497"/>
      <c r="H70" s="420"/>
      <c r="I70" s="502"/>
      <c r="J70" s="268"/>
    </row>
    <row r="71" spans="1:8" ht="60.75" customHeight="1">
      <c r="A71" s="441"/>
      <c r="B71" s="498" t="s">
        <v>367</v>
      </c>
      <c r="C71" s="269"/>
      <c r="D71" s="499"/>
      <c r="E71" s="500"/>
      <c r="F71" s="501"/>
      <c r="H71" s="420"/>
    </row>
    <row r="72" spans="1:8" ht="51.75" customHeight="1">
      <c r="A72" s="446"/>
      <c r="B72" s="498" t="s">
        <v>368</v>
      </c>
      <c r="C72" s="504"/>
      <c r="D72" s="461" t="s">
        <v>361</v>
      </c>
      <c r="E72" s="270">
        <v>15000</v>
      </c>
      <c r="F72" s="270"/>
      <c r="H72" s="420"/>
    </row>
    <row r="73" spans="1:8" ht="40.5" customHeight="1">
      <c r="A73" s="451">
        <v>4</v>
      </c>
      <c r="B73" s="505" t="s">
        <v>369</v>
      </c>
      <c r="C73" s="506" t="s">
        <v>370</v>
      </c>
      <c r="D73" s="495" t="s">
        <v>371</v>
      </c>
      <c r="E73" s="496"/>
      <c r="F73" s="497"/>
      <c r="H73" s="420"/>
    </row>
    <row r="74" spans="1:11" ht="34.5" customHeight="1">
      <c r="A74" s="441"/>
      <c r="B74" s="503" t="s">
        <v>372</v>
      </c>
      <c r="C74" s="269"/>
      <c r="D74" s="499"/>
      <c r="E74" s="500"/>
      <c r="F74" s="501"/>
      <c r="H74" s="420"/>
      <c r="K74" s="507"/>
    </row>
    <row r="75" spans="1:8" ht="35.25" customHeight="1">
      <c r="A75" s="446"/>
      <c r="B75" s="503" t="s">
        <v>373</v>
      </c>
      <c r="C75" s="504"/>
      <c r="D75" s="508"/>
      <c r="E75" s="270"/>
      <c r="F75" s="270">
        <f>268374+4781.42</f>
        <v>273155.42</v>
      </c>
      <c r="H75" s="420"/>
    </row>
    <row r="76" spans="4:8" ht="18.75">
      <c r="D76" s="509"/>
      <c r="E76" s="28"/>
      <c r="F76" s="1"/>
      <c r="H76" s="420"/>
    </row>
    <row r="77" spans="4:6" ht="18.75">
      <c r="D77" s="509"/>
      <c r="E77" s="1"/>
      <c r="F77" s="1"/>
    </row>
    <row r="78" spans="4:6" ht="18.75">
      <c r="D78" s="509"/>
      <c r="E78" s="1"/>
      <c r="F78" s="1"/>
    </row>
    <row r="79" spans="4:6" ht="18.75">
      <c r="D79" s="509"/>
      <c r="E79" s="1"/>
      <c r="F79" s="1"/>
    </row>
    <row r="80" spans="4:6" ht="18.75">
      <c r="D80" s="509"/>
      <c r="E80" s="1"/>
      <c r="F80" s="1"/>
    </row>
    <row r="81" spans="4:6" ht="18.75">
      <c r="D81" s="509"/>
      <c r="E81" s="1"/>
      <c r="F81" s="1"/>
    </row>
    <row r="82" spans="4:11" ht="18.75">
      <c r="D82" s="509"/>
      <c r="E82" s="28"/>
      <c r="F82" s="1"/>
      <c r="K82" s="507"/>
    </row>
    <row r="83" spans="4:6" ht="18.75">
      <c r="D83" s="509"/>
      <c r="E83" s="28"/>
      <c r="F83" s="1"/>
    </row>
    <row r="84" spans="4:6" ht="18.75">
      <c r="D84" s="509"/>
      <c r="E84" s="28"/>
      <c r="F84" s="1"/>
    </row>
    <row r="85" spans="4:6" ht="18.75">
      <c r="D85" s="509"/>
      <c r="E85" s="28"/>
      <c r="F85" s="1"/>
    </row>
    <row r="86" spans="5:6" ht="18.75">
      <c r="E86" s="510"/>
      <c r="F86" s="1"/>
    </row>
    <row r="87" spans="4:6" ht="18.75">
      <c r="D87" s="511"/>
      <c r="E87" s="1"/>
      <c r="F87" s="28"/>
    </row>
    <row r="88" spans="5:6" ht="18.75">
      <c r="E88" s="1"/>
      <c r="F88" s="28"/>
    </row>
    <row r="89" spans="3:6" ht="18.75">
      <c r="C89" s="4"/>
      <c r="D89" s="4"/>
      <c r="E89" s="510"/>
      <c r="F89" s="28"/>
    </row>
    <row r="90" spans="3:6" ht="18.75">
      <c r="C90" s="4"/>
      <c r="D90" s="4"/>
      <c r="E90" s="510"/>
      <c r="F90" s="28"/>
    </row>
    <row r="91" spans="3:11" ht="18.75">
      <c r="C91" s="4"/>
      <c r="D91" s="4"/>
      <c r="E91" s="510"/>
      <c r="F91" s="28"/>
      <c r="K91" s="507"/>
    </row>
    <row r="92" spans="3:6" ht="18.75">
      <c r="C92" s="4"/>
      <c r="D92" s="4"/>
      <c r="E92" s="136"/>
      <c r="F92" s="512"/>
    </row>
    <row r="93" spans="3:6" ht="18.75">
      <c r="C93" s="4"/>
      <c r="D93" s="4"/>
      <c r="E93" s="136"/>
      <c r="F93" s="512"/>
    </row>
    <row r="94" spans="3:6" ht="18.75">
      <c r="C94" s="4"/>
      <c r="D94" s="4"/>
      <c r="E94" s="28"/>
      <c r="F94" s="28"/>
    </row>
    <row r="95" spans="3:6" ht="18.75">
      <c r="C95" s="4"/>
      <c r="D95" s="4"/>
      <c r="E95" s="136"/>
      <c r="F95" s="512"/>
    </row>
    <row r="96" spans="3:6" ht="18.75">
      <c r="C96" s="4"/>
      <c r="D96" s="4"/>
      <c r="E96" s="28"/>
      <c r="F96" s="28"/>
    </row>
    <row r="97" spans="3:6" ht="18.75">
      <c r="C97" s="4"/>
      <c r="D97" s="4"/>
      <c r="E97" s="28"/>
      <c r="F97" s="28"/>
    </row>
    <row r="98" spans="3:6" ht="18.75">
      <c r="C98" s="4"/>
      <c r="D98" s="4"/>
      <c r="E98" s="28"/>
      <c r="F98" s="28"/>
    </row>
    <row r="99" spans="3:6" ht="18.75">
      <c r="C99" s="4"/>
      <c r="D99" s="4"/>
      <c r="E99" s="28"/>
      <c r="F99" s="28"/>
    </row>
    <row r="100" spans="3:6" ht="18.75">
      <c r="C100" s="4"/>
      <c r="D100" s="4"/>
      <c r="E100" s="28"/>
      <c r="F100" s="28"/>
    </row>
    <row r="101" spans="3:6" ht="18.75">
      <c r="C101" s="4"/>
      <c r="D101" s="4"/>
      <c r="E101" s="28"/>
      <c r="F101" s="28"/>
    </row>
    <row r="102" spans="3:6" ht="18.75">
      <c r="C102" s="4"/>
      <c r="D102" s="4"/>
      <c r="E102" s="28"/>
      <c r="F102" s="28"/>
    </row>
    <row r="103" spans="3:6" ht="18.75">
      <c r="C103" s="4"/>
      <c r="D103" s="4"/>
      <c r="E103" s="28"/>
      <c r="F103" s="28"/>
    </row>
    <row r="104" spans="5:6" ht="18.75">
      <c r="E104" s="28"/>
      <c r="F104" s="28"/>
    </row>
    <row r="105" spans="5:6" ht="18.75">
      <c r="E105" s="28"/>
      <c r="F105" s="28"/>
    </row>
    <row r="106" spans="5:6" ht="18.75">
      <c r="E106" s="28"/>
      <c r="F106" s="28"/>
    </row>
    <row r="107" spans="5:6" ht="18.75">
      <c r="E107" s="28"/>
      <c r="F107" s="28"/>
    </row>
    <row r="108" spans="5:6" ht="18.75">
      <c r="E108" s="28"/>
      <c r="F108" s="28"/>
    </row>
    <row r="109" spans="5:6" ht="18.75">
      <c r="E109" s="28"/>
      <c r="F109" s="28"/>
    </row>
    <row r="110" spans="5:6" ht="18.75">
      <c r="E110" s="28"/>
      <c r="F110" s="28"/>
    </row>
    <row r="111" spans="5:6" ht="18.75">
      <c r="E111" s="28"/>
      <c r="F111" s="28"/>
    </row>
    <row r="112" spans="5:6" ht="18.75">
      <c r="E112" s="28"/>
      <c r="F112" s="28"/>
    </row>
    <row r="113" spans="5:6" ht="18.75">
      <c r="E113" s="28"/>
      <c r="F113" s="28"/>
    </row>
    <row r="114" spans="5:6" ht="18.75">
      <c r="E114" s="28"/>
      <c r="F114" s="28"/>
    </row>
    <row r="115" spans="5:6" ht="18.75">
      <c r="E115" s="28"/>
      <c r="F115" s="28"/>
    </row>
    <row r="116" spans="5:6" ht="18.75">
      <c r="E116" s="28"/>
      <c r="F116" s="28"/>
    </row>
    <row r="117" spans="5:6" ht="18.75">
      <c r="E117" s="28"/>
      <c r="F117" s="28"/>
    </row>
    <row r="118" spans="5:6" ht="18.75">
      <c r="E118" s="28"/>
      <c r="F118" s="28"/>
    </row>
    <row r="119" spans="5:6" ht="18.75">
      <c r="E119" s="28"/>
      <c r="F119" s="28"/>
    </row>
    <row r="120" spans="5:6" ht="18.75">
      <c r="E120" s="28"/>
      <c r="F120" s="28"/>
    </row>
    <row r="121" spans="5:6" ht="18.75"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  <row r="159" spans="5:6" ht="18.75">
      <c r="E159" s="28"/>
      <c r="F159" s="28"/>
    </row>
    <row r="160" spans="5:6" ht="18.75">
      <c r="E160" s="28"/>
      <c r="F160" s="28"/>
    </row>
    <row r="161" spans="5:6" ht="18.75">
      <c r="E161" s="28"/>
      <c r="F161" s="28"/>
    </row>
    <row r="162" spans="5:6" ht="18.75">
      <c r="E162" s="28"/>
      <c r="F162" s="28"/>
    </row>
    <row r="163" spans="5:6" ht="18.75">
      <c r="E163" s="28"/>
      <c r="F163" s="28"/>
    </row>
    <row r="164" spans="5:6" ht="18.75">
      <c r="E164" s="28"/>
      <c r="F164" s="28"/>
    </row>
    <row r="165" spans="5:6" ht="18.75">
      <c r="E165" s="28"/>
      <c r="F165" s="28"/>
    </row>
    <row r="166" spans="5:6" ht="18.75">
      <c r="E166" s="28"/>
      <c r="F166" s="28"/>
    </row>
    <row r="167" spans="5:6" ht="18.75">
      <c r="E167" s="28"/>
      <c r="F167" s="28"/>
    </row>
    <row r="168" spans="5:6" ht="18.75">
      <c r="E168" s="28"/>
      <c r="F168" s="28"/>
    </row>
    <row r="169" spans="5:6" ht="18.75">
      <c r="E169" s="28"/>
      <c r="F169" s="28"/>
    </row>
    <row r="170" spans="5:6" ht="18.75">
      <c r="E170" s="28"/>
      <c r="F170" s="28"/>
    </row>
    <row r="171" spans="5:6" ht="18.75">
      <c r="E171" s="28"/>
      <c r="F171" s="28"/>
    </row>
    <row r="172" spans="5:6" ht="18.75">
      <c r="E172" s="28"/>
      <c r="F172" s="28"/>
    </row>
    <row r="173" spans="5:6" ht="18.75">
      <c r="E173" s="28"/>
      <c r="F173" s="28"/>
    </row>
    <row r="174" spans="5:6" ht="18.75">
      <c r="E174" s="28"/>
      <c r="F174" s="28"/>
    </row>
    <row r="175" spans="5:6" ht="18.75">
      <c r="E175" s="28"/>
      <c r="F175" s="28"/>
    </row>
    <row r="176" spans="5:6" ht="18.75">
      <c r="E176" s="28"/>
      <c r="F176" s="28"/>
    </row>
    <row r="177" spans="5:6" ht="18.75">
      <c r="E177" s="28"/>
      <c r="F177" s="28"/>
    </row>
    <row r="178" spans="5:6" ht="18.75">
      <c r="E178" s="28"/>
      <c r="F178" s="28"/>
    </row>
    <row r="179" spans="5:6" ht="18.75">
      <c r="E179" s="28"/>
      <c r="F179" s="28"/>
    </row>
    <row r="180" spans="5:6" ht="18.75">
      <c r="E180" s="28"/>
      <c r="F180" s="28"/>
    </row>
    <row r="181" spans="5:6" ht="18.75">
      <c r="E181" s="28"/>
      <c r="F181" s="28"/>
    </row>
    <row r="182" spans="5:6" ht="18.75">
      <c r="E182" s="28"/>
      <c r="F182" s="28"/>
    </row>
    <row r="183" spans="5:6" ht="18.75">
      <c r="E183" s="28"/>
      <c r="F183" s="28"/>
    </row>
    <row r="184" spans="5:6" ht="18.75">
      <c r="E184" s="28"/>
      <c r="F184" s="28"/>
    </row>
    <row r="185" spans="5:6" ht="18.75">
      <c r="E185" s="28"/>
      <c r="F185" s="28"/>
    </row>
    <row r="186" spans="5:6" ht="18.75">
      <c r="E186" s="28"/>
      <c r="F186" s="28"/>
    </row>
    <row r="187" spans="5:6" ht="18.75">
      <c r="E187" s="28"/>
      <c r="F187" s="28"/>
    </row>
    <row r="188" spans="5:6" ht="18.75">
      <c r="E188" s="28"/>
      <c r="F188" s="28"/>
    </row>
    <row r="189" spans="5:6" ht="18.75">
      <c r="E189" s="28"/>
      <c r="F189" s="28"/>
    </row>
    <row r="190" spans="5:6" ht="18.75">
      <c r="E190" s="28"/>
      <c r="F190" s="28"/>
    </row>
    <row r="191" spans="5:6" ht="18.75">
      <c r="E191" s="28"/>
      <c r="F191" s="28"/>
    </row>
    <row r="192" spans="5:6" ht="18.75">
      <c r="E192" s="28"/>
      <c r="F192" s="28"/>
    </row>
    <row r="193" spans="5:6" ht="18.75">
      <c r="E193" s="28"/>
      <c r="F193" s="28"/>
    </row>
    <row r="194" spans="5:6" ht="18.75">
      <c r="E194" s="28"/>
      <c r="F194" s="28"/>
    </row>
    <row r="195" spans="5:6" ht="18.75">
      <c r="E195" s="28"/>
      <c r="F195" s="28"/>
    </row>
    <row r="196" spans="5:6" ht="18.75">
      <c r="E196" s="28"/>
      <c r="F196" s="28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43">
      <selection activeCell="C55" sqref="C55"/>
    </sheetView>
  </sheetViews>
  <sheetFormatPr defaultColWidth="9.140625" defaultRowHeight="12.75"/>
  <cols>
    <col min="1" max="1" width="4.57421875" style="562" customWidth="1"/>
    <col min="2" max="2" width="23.8515625" style="562" customWidth="1"/>
    <col min="3" max="3" width="47.28125" style="573" customWidth="1"/>
    <col min="4" max="4" width="18.57421875" style="562" customWidth="1"/>
    <col min="5" max="5" width="12.7109375" style="564" customWidth="1"/>
    <col min="6" max="6" width="19.00390625" style="562" customWidth="1"/>
    <col min="7" max="7" width="15.8515625" style="562" customWidth="1"/>
    <col min="8" max="16384" width="9.140625" style="562" customWidth="1"/>
  </cols>
  <sheetData>
    <row r="1" ht="19.5" customHeight="1">
      <c r="C1" s="563" t="s">
        <v>378</v>
      </c>
    </row>
    <row r="2" ht="19.5" customHeight="1">
      <c r="C2" s="565" t="s">
        <v>438</v>
      </c>
    </row>
    <row r="3" ht="15" customHeight="1">
      <c r="C3" s="565" t="s">
        <v>173</v>
      </c>
    </row>
    <row r="4" ht="17.25" customHeight="1">
      <c r="C4" s="152" t="s">
        <v>439</v>
      </c>
    </row>
    <row r="5" ht="14.25" customHeight="1">
      <c r="C5" s="565"/>
    </row>
    <row r="6" ht="14.25" customHeight="1">
      <c r="C6" s="565"/>
    </row>
    <row r="7" spans="1:5" s="569" customFormat="1" ht="19.5" customHeight="1">
      <c r="A7" s="566" t="s">
        <v>379</v>
      </c>
      <c r="B7" s="567"/>
      <c r="C7" s="568"/>
      <c r="D7" s="562"/>
      <c r="E7" s="564"/>
    </row>
    <row r="8" spans="1:5" s="569" customFormat="1" ht="19.5" customHeight="1">
      <c r="A8" s="566" t="s">
        <v>380</v>
      </c>
      <c r="B8" s="567"/>
      <c r="C8" s="568"/>
      <c r="D8" s="562"/>
      <c r="E8" s="564"/>
    </row>
    <row r="9" spans="1:3" ht="18.75" customHeight="1">
      <c r="A9" s="566" t="s">
        <v>381</v>
      </c>
      <c r="B9" s="570"/>
      <c r="C9" s="568"/>
    </row>
    <row r="10" spans="1:2" ht="13.5">
      <c r="A10" s="571" t="s">
        <v>91</v>
      </c>
      <c r="B10" s="572"/>
    </row>
    <row r="11" spans="3:4" ht="11.25" customHeight="1">
      <c r="C11" s="574"/>
      <c r="D11" s="575" t="s">
        <v>101</v>
      </c>
    </row>
    <row r="12" spans="1:4" ht="33" customHeight="1">
      <c r="A12" s="576" t="s">
        <v>102</v>
      </c>
      <c r="B12" s="576" t="s">
        <v>382</v>
      </c>
      <c r="C12" s="318" t="s">
        <v>383</v>
      </c>
      <c r="D12" s="577" t="s">
        <v>384</v>
      </c>
    </row>
    <row r="13" spans="1:5" s="570" customFormat="1" ht="22.5" customHeight="1">
      <c r="A13" s="578" t="s">
        <v>385</v>
      </c>
      <c r="B13" s="579"/>
      <c r="C13" s="580"/>
      <c r="D13" s="581">
        <f>D14+D18</f>
        <v>8911919.379999999</v>
      </c>
      <c r="E13" s="582"/>
    </row>
    <row r="14" spans="1:5" s="570" customFormat="1" ht="24.75" customHeight="1">
      <c r="A14" s="583" t="s">
        <v>386</v>
      </c>
      <c r="B14" s="584"/>
      <c r="C14" s="585"/>
      <c r="D14" s="581">
        <f>D15</f>
        <v>2536226</v>
      </c>
      <c r="E14" s="586"/>
    </row>
    <row r="15" spans="1:5" s="570" customFormat="1" ht="30" customHeight="1">
      <c r="A15" s="587">
        <v>801</v>
      </c>
      <c r="B15" s="588" t="s">
        <v>121</v>
      </c>
      <c r="C15" s="589"/>
      <c r="D15" s="590">
        <f>SUM(D16:D17)</f>
        <v>2536226</v>
      </c>
      <c r="E15" s="591"/>
    </row>
    <row r="16" spans="1:5" s="570" customFormat="1" ht="29.25" customHeight="1">
      <c r="A16" s="592"/>
      <c r="B16" s="593"/>
      <c r="C16" s="316" t="s">
        <v>387</v>
      </c>
      <c r="D16" s="594">
        <f>1982426-264000</f>
        <v>1718426</v>
      </c>
      <c r="E16" s="582"/>
    </row>
    <row r="17" spans="1:5" s="570" customFormat="1" ht="33" customHeight="1">
      <c r="A17" s="592"/>
      <c r="B17" s="593"/>
      <c r="C17" s="316" t="s">
        <v>388</v>
      </c>
      <c r="D17" s="594">
        <v>817800</v>
      </c>
      <c r="E17" s="582"/>
    </row>
    <row r="18" spans="1:5" s="570" customFormat="1" ht="24.75" customHeight="1">
      <c r="A18" s="583" t="s">
        <v>389</v>
      </c>
      <c r="B18" s="584"/>
      <c r="C18" s="585"/>
      <c r="D18" s="595">
        <f>D19+D30+D35+D43+D47+D53</f>
        <v>6375693.38</v>
      </c>
      <c r="E18" s="582"/>
    </row>
    <row r="19" spans="1:5" s="570" customFormat="1" ht="21.75" customHeight="1">
      <c r="A19" s="596">
        <v>851</v>
      </c>
      <c r="B19" s="597" t="s">
        <v>124</v>
      </c>
      <c r="C19" s="598"/>
      <c r="D19" s="599">
        <f>SUM(D20:D29)</f>
        <v>996500</v>
      </c>
      <c r="E19" s="591"/>
    </row>
    <row r="20" spans="1:5" s="570" customFormat="1" ht="38.25" customHeight="1">
      <c r="A20" s="600"/>
      <c r="B20" s="601"/>
      <c r="C20" s="316" t="s">
        <v>390</v>
      </c>
      <c r="D20" s="594">
        <v>95000</v>
      </c>
      <c r="E20" s="582"/>
    </row>
    <row r="21" spans="1:5" s="570" customFormat="1" ht="27.75" customHeight="1">
      <c r="A21" s="602"/>
      <c r="B21" s="603"/>
      <c r="C21" s="316" t="s">
        <v>391</v>
      </c>
      <c r="D21" s="594">
        <v>440000</v>
      </c>
      <c r="E21" s="582"/>
    </row>
    <row r="22" spans="1:5" s="570" customFormat="1" ht="47.25" customHeight="1">
      <c r="A22" s="602"/>
      <c r="B22" s="604"/>
      <c r="C22" s="316" t="s">
        <v>392</v>
      </c>
      <c r="D22" s="594">
        <v>50000</v>
      </c>
      <c r="E22" s="582"/>
    </row>
    <row r="23" spans="1:5" s="570" customFormat="1" ht="27" customHeight="1">
      <c r="A23" s="602"/>
      <c r="B23" s="604"/>
      <c r="C23" s="316" t="s">
        <v>393</v>
      </c>
      <c r="D23" s="594">
        <v>10000</v>
      </c>
      <c r="E23" s="582"/>
    </row>
    <row r="24" spans="1:5" s="570" customFormat="1" ht="42" customHeight="1">
      <c r="A24" s="602"/>
      <c r="B24" s="604"/>
      <c r="C24" s="316" t="s">
        <v>394</v>
      </c>
      <c r="D24" s="594">
        <f>49500+70000</f>
        <v>119500</v>
      </c>
      <c r="E24" s="582"/>
    </row>
    <row r="25" spans="1:5" s="570" customFormat="1" ht="36" customHeight="1">
      <c r="A25" s="602"/>
      <c r="B25" s="604"/>
      <c r="C25" s="316" t="s">
        <v>395</v>
      </c>
      <c r="D25" s="594">
        <v>60000</v>
      </c>
      <c r="E25" s="582"/>
    </row>
    <row r="26" spans="1:5" s="570" customFormat="1" ht="27.75" customHeight="1">
      <c r="A26" s="602"/>
      <c r="B26" s="604"/>
      <c r="C26" s="316" t="s">
        <v>396</v>
      </c>
      <c r="D26" s="594">
        <v>101000</v>
      </c>
      <c r="E26" s="582"/>
    </row>
    <row r="27" spans="1:5" s="570" customFormat="1" ht="31.5" customHeight="1">
      <c r="A27" s="602"/>
      <c r="B27" s="604"/>
      <c r="C27" s="316" t="s">
        <v>397</v>
      </c>
      <c r="D27" s="594">
        <v>90000</v>
      </c>
      <c r="E27" s="582"/>
    </row>
    <row r="28" spans="1:5" s="570" customFormat="1" ht="33.75" customHeight="1">
      <c r="A28" s="602"/>
      <c r="B28" s="604"/>
      <c r="C28" s="316" t="s">
        <v>398</v>
      </c>
      <c r="D28" s="594">
        <v>25000</v>
      </c>
      <c r="E28" s="582"/>
    </row>
    <row r="29" spans="1:5" s="570" customFormat="1" ht="25.5" customHeight="1">
      <c r="A29" s="602"/>
      <c r="B29" s="604"/>
      <c r="C29" s="605" t="s">
        <v>399</v>
      </c>
      <c r="D29" s="270">
        <v>6000</v>
      </c>
      <c r="E29" s="582"/>
    </row>
    <row r="30" spans="1:5" s="570" customFormat="1" ht="21" customHeight="1">
      <c r="A30" s="600">
        <v>852</v>
      </c>
      <c r="B30" s="606" t="s">
        <v>175</v>
      </c>
      <c r="C30" s="598"/>
      <c r="D30" s="607">
        <f>SUM(D31:D34)</f>
        <v>1421000</v>
      </c>
      <c r="E30" s="582"/>
    </row>
    <row r="31" spans="1:5" s="570" customFormat="1" ht="37.5" customHeight="1">
      <c r="A31" s="608"/>
      <c r="B31" s="609"/>
      <c r="C31" s="610" t="s">
        <v>400</v>
      </c>
      <c r="D31" s="594">
        <f>950000+156000</f>
        <v>1106000</v>
      </c>
      <c r="E31" s="582"/>
    </row>
    <row r="32" spans="1:5" s="570" customFormat="1" ht="27" customHeight="1">
      <c r="A32" s="611"/>
      <c r="B32" s="612"/>
      <c r="C32" s="613" t="s">
        <v>401</v>
      </c>
      <c r="D32" s="594">
        <v>200000</v>
      </c>
      <c r="E32" s="582"/>
    </row>
    <row r="33" spans="1:5" s="570" customFormat="1" ht="38.25" customHeight="1">
      <c r="A33" s="611"/>
      <c r="B33" s="612"/>
      <c r="C33" s="613" t="s">
        <v>402</v>
      </c>
      <c r="D33" s="594">
        <v>85000</v>
      </c>
      <c r="E33" s="582"/>
    </row>
    <row r="34" spans="1:5" s="570" customFormat="1" ht="38.25" customHeight="1">
      <c r="A34" s="611"/>
      <c r="B34" s="612"/>
      <c r="C34" s="613" t="s">
        <v>403</v>
      </c>
      <c r="D34" s="594">
        <v>30000</v>
      </c>
      <c r="E34" s="582"/>
    </row>
    <row r="35" spans="1:5" s="570" customFormat="1" ht="39" customHeight="1">
      <c r="A35" s="614">
        <v>853</v>
      </c>
      <c r="B35" s="615" t="s">
        <v>135</v>
      </c>
      <c r="C35" s="616"/>
      <c r="D35" s="590">
        <f>SUM(D36:D42)</f>
        <v>1065193.38</v>
      </c>
      <c r="E35" s="582"/>
    </row>
    <row r="36" spans="1:5" s="570" customFormat="1" ht="30" customHeight="1">
      <c r="A36" s="611"/>
      <c r="B36" s="612"/>
      <c r="C36" s="616" t="s">
        <v>404</v>
      </c>
      <c r="D36" s="594">
        <f>177600-129600</f>
        <v>48000</v>
      </c>
      <c r="E36" s="582"/>
    </row>
    <row r="37" spans="1:5" s="570" customFormat="1" ht="30" customHeight="1">
      <c r="A37" s="611"/>
      <c r="B37" s="612"/>
      <c r="C37" s="617" t="s">
        <v>405</v>
      </c>
      <c r="D37" s="594">
        <v>54000</v>
      </c>
      <c r="E37" s="582"/>
    </row>
    <row r="38" spans="1:5" s="570" customFormat="1" ht="30" customHeight="1">
      <c r="A38" s="611"/>
      <c r="B38" s="612"/>
      <c r="C38" s="617" t="s">
        <v>406</v>
      </c>
      <c r="D38" s="594">
        <v>19800</v>
      </c>
      <c r="E38" s="582"/>
    </row>
    <row r="39" spans="1:5" s="570" customFormat="1" ht="30.75" customHeight="1">
      <c r="A39" s="611"/>
      <c r="B39" s="612"/>
      <c r="C39" s="617" t="s">
        <v>407</v>
      </c>
      <c r="D39" s="594">
        <v>9000</v>
      </c>
      <c r="E39" s="582"/>
    </row>
    <row r="40" spans="1:5" s="570" customFormat="1" ht="46.5" customHeight="1">
      <c r="A40" s="611"/>
      <c r="B40" s="618"/>
      <c r="C40" s="613" t="s">
        <v>408</v>
      </c>
      <c r="D40" s="594">
        <f>78549.77+13861.73</f>
        <v>92411.5</v>
      </c>
      <c r="E40" s="582"/>
    </row>
    <row r="41" spans="1:5" s="570" customFormat="1" ht="37.5" customHeight="1">
      <c r="A41" s="611"/>
      <c r="B41" s="618"/>
      <c r="C41" s="266" t="s">
        <v>409</v>
      </c>
      <c r="D41" s="594">
        <f>35684.6+6297.28</f>
        <v>41981.88</v>
      </c>
      <c r="E41" s="582"/>
    </row>
    <row r="42" spans="1:5" s="570" customFormat="1" ht="39.75" customHeight="1">
      <c r="A42" s="611"/>
      <c r="B42" s="618"/>
      <c r="C42" s="613" t="s">
        <v>239</v>
      </c>
      <c r="D42" s="594">
        <f>680000+120000</f>
        <v>800000</v>
      </c>
      <c r="E42" s="582"/>
    </row>
    <row r="43" spans="1:5" s="570" customFormat="1" ht="38.25" customHeight="1">
      <c r="A43" s="600">
        <v>900</v>
      </c>
      <c r="B43" s="619" t="s">
        <v>410</v>
      </c>
      <c r="C43" s="620"/>
      <c r="D43" s="581">
        <f>SUM(D44:D46)</f>
        <v>708000</v>
      </c>
      <c r="E43" s="582"/>
    </row>
    <row r="44" spans="1:5" s="570" customFormat="1" ht="53.25" customHeight="1">
      <c r="A44" s="621"/>
      <c r="B44" s="622"/>
      <c r="C44" s="623" t="s">
        <v>411</v>
      </c>
      <c r="D44" s="594">
        <f>271000+7000</f>
        <v>278000</v>
      </c>
      <c r="E44" s="582"/>
    </row>
    <row r="45" spans="1:5" s="628" customFormat="1" ht="34.5" customHeight="1">
      <c r="A45" s="624"/>
      <c r="B45" s="625"/>
      <c r="C45" s="626" t="s">
        <v>412</v>
      </c>
      <c r="D45" s="627">
        <v>30000</v>
      </c>
      <c r="E45" s="591"/>
    </row>
    <row r="46" spans="1:5" s="570" customFormat="1" ht="32.25" customHeight="1">
      <c r="A46" s="629"/>
      <c r="B46" s="630"/>
      <c r="C46" s="626" t="s">
        <v>413</v>
      </c>
      <c r="D46" s="594">
        <f>600000-200000</f>
        <v>400000</v>
      </c>
      <c r="E46" s="582"/>
    </row>
    <row r="47" spans="1:5" s="570" customFormat="1" ht="39" customHeight="1">
      <c r="A47" s="600">
        <v>921</v>
      </c>
      <c r="B47" s="631" t="s">
        <v>245</v>
      </c>
      <c r="C47" s="615"/>
      <c r="D47" s="581">
        <f>SUM(D48:D52)</f>
        <v>153000</v>
      </c>
      <c r="E47" s="582"/>
    </row>
    <row r="48" spans="1:5" s="570" customFormat="1" ht="35.25" customHeight="1">
      <c r="A48" s="621"/>
      <c r="B48" s="622"/>
      <c r="C48" s="632" t="s">
        <v>414</v>
      </c>
      <c r="D48" s="594">
        <v>25000</v>
      </c>
      <c r="E48" s="582"/>
    </row>
    <row r="49" spans="1:5" s="570" customFormat="1" ht="35.25" customHeight="1">
      <c r="A49" s="624"/>
      <c r="B49" s="625"/>
      <c r="C49" s="316" t="s">
        <v>415</v>
      </c>
      <c r="D49" s="594">
        <v>25000</v>
      </c>
      <c r="E49" s="582"/>
    </row>
    <row r="50" spans="1:5" s="570" customFormat="1" ht="35.25" customHeight="1">
      <c r="A50" s="624"/>
      <c r="B50" s="625"/>
      <c r="C50" s="610" t="s">
        <v>416</v>
      </c>
      <c r="D50" s="594">
        <v>30000</v>
      </c>
      <c r="E50" s="582"/>
    </row>
    <row r="51" spans="1:5" s="570" customFormat="1" ht="27" customHeight="1">
      <c r="A51" s="624"/>
      <c r="B51" s="625"/>
      <c r="C51" s="633" t="s">
        <v>417</v>
      </c>
      <c r="D51" s="594">
        <v>28000</v>
      </c>
      <c r="E51" s="582"/>
    </row>
    <row r="52" spans="1:5" s="570" customFormat="1" ht="32.25" customHeight="1">
      <c r="A52" s="629"/>
      <c r="B52" s="630"/>
      <c r="C52" s="633" t="s">
        <v>418</v>
      </c>
      <c r="D52" s="594">
        <v>45000</v>
      </c>
      <c r="E52" s="582"/>
    </row>
    <row r="53" spans="1:5" s="570" customFormat="1" ht="34.5" customHeight="1">
      <c r="A53" s="596">
        <v>926</v>
      </c>
      <c r="B53" s="634" t="s">
        <v>419</v>
      </c>
      <c r="C53" s="620"/>
      <c r="D53" s="581">
        <f>SUM(D54:D57)</f>
        <v>2032000</v>
      </c>
      <c r="E53" s="582"/>
    </row>
    <row r="54" spans="1:5" s="638" customFormat="1" ht="61.5" customHeight="1">
      <c r="A54" s="621"/>
      <c r="B54" s="635"/>
      <c r="C54" s="636" t="s">
        <v>420</v>
      </c>
      <c r="D54" s="637">
        <f>150000+1732000</f>
        <v>1882000</v>
      </c>
      <c r="E54" s="582"/>
    </row>
    <row r="55" spans="1:5" s="638" customFormat="1" ht="42.75" customHeight="1">
      <c r="A55" s="624"/>
      <c r="B55" s="639"/>
      <c r="C55" s="636" t="s">
        <v>421</v>
      </c>
      <c r="D55" s="637">
        <v>10000</v>
      </c>
      <c r="E55" s="582"/>
    </row>
    <row r="56" spans="1:5" s="638" customFormat="1" ht="33" customHeight="1">
      <c r="A56" s="640"/>
      <c r="B56" s="269"/>
      <c r="C56" s="641" t="s">
        <v>422</v>
      </c>
      <c r="D56" s="637">
        <v>115000</v>
      </c>
      <c r="E56" s="582"/>
    </row>
    <row r="57" spans="1:5" s="570" customFormat="1" ht="30" customHeight="1">
      <c r="A57" s="640"/>
      <c r="B57" s="269"/>
      <c r="C57" s="642" t="s">
        <v>423</v>
      </c>
      <c r="D57" s="594">
        <v>25000</v>
      </c>
      <c r="E57" s="582"/>
    </row>
    <row r="58" spans="1:5" s="570" customFormat="1" ht="30" customHeight="1">
      <c r="A58" s="643" t="s">
        <v>424</v>
      </c>
      <c r="B58" s="644"/>
      <c r="C58" s="645"/>
      <c r="D58" s="607">
        <f>D59+D69</f>
        <v>8077872.89</v>
      </c>
      <c r="E58" s="582"/>
    </row>
    <row r="59" spans="1:5" s="570" customFormat="1" ht="27" customHeight="1">
      <c r="A59" s="646" t="s">
        <v>386</v>
      </c>
      <c r="B59" s="647"/>
      <c r="C59" s="648"/>
      <c r="D59" s="649">
        <f>D60+D65+D67</f>
        <v>7105105</v>
      </c>
      <c r="E59" s="582"/>
    </row>
    <row r="60" spans="1:5" s="570" customFormat="1" ht="19.5" customHeight="1">
      <c r="A60" s="587">
        <v>801</v>
      </c>
      <c r="B60" s="588" t="s">
        <v>121</v>
      </c>
      <c r="C60" s="316"/>
      <c r="D60" s="590">
        <f>SUM(D61:D64)</f>
        <v>5347000</v>
      </c>
      <c r="E60" s="582"/>
    </row>
    <row r="61" spans="1:5" s="570" customFormat="1" ht="30" customHeight="1">
      <c r="A61" s="650"/>
      <c r="B61" s="651"/>
      <c r="C61" s="316" t="s">
        <v>425</v>
      </c>
      <c r="D61" s="594">
        <f>2000000-86000</f>
        <v>1914000</v>
      </c>
      <c r="E61" s="582"/>
    </row>
    <row r="62" spans="1:5" s="570" customFormat="1" ht="30" customHeight="1">
      <c r="A62" s="650"/>
      <c r="B62" s="651"/>
      <c r="C62" s="316" t="s">
        <v>426</v>
      </c>
      <c r="D62" s="594">
        <v>350000</v>
      </c>
      <c r="E62" s="582"/>
    </row>
    <row r="63" spans="1:5" s="570" customFormat="1" ht="30" customHeight="1">
      <c r="A63" s="650"/>
      <c r="B63" s="651"/>
      <c r="C63" s="316" t="s">
        <v>427</v>
      </c>
      <c r="D63" s="594">
        <v>48000</v>
      </c>
      <c r="E63" s="582"/>
    </row>
    <row r="64" spans="1:5" s="570" customFormat="1" ht="31.5" customHeight="1">
      <c r="A64" s="650"/>
      <c r="B64" s="651"/>
      <c r="C64" s="316" t="s">
        <v>428</v>
      </c>
      <c r="D64" s="594">
        <f>3185000-150000</f>
        <v>3035000</v>
      </c>
      <c r="E64" s="582"/>
    </row>
    <row r="65" spans="1:5" s="570" customFormat="1" ht="39" customHeight="1">
      <c r="A65" s="600">
        <v>853</v>
      </c>
      <c r="B65" s="652" t="s">
        <v>135</v>
      </c>
      <c r="C65" s="315"/>
      <c r="D65" s="581">
        <f>SUM(D66:D66)</f>
        <v>308105</v>
      </c>
      <c r="E65" s="582"/>
    </row>
    <row r="66" spans="1:5" s="654" customFormat="1" ht="37.5" customHeight="1">
      <c r="A66" s="608"/>
      <c r="B66" s="653"/>
      <c r="C66" s="633" t="s">
        <v>429</v>
      </c>
      <c r="D66" s="627">
        <v>308105</v>
      </c>
      <c r="E66" s="582"/>
    </row>
    <row r="67" spans="1:5" s="570" customFormat="1" ht="31.5" customHeight="1">
      <c r="A67" s="614">
        <v>854</v>
      </c>
      <c r="B67" s="588" t="s">
        <v>261</v>
      </c>
      <c r="C67" s="316"/>
      <c r="D67" s="655">
        <f>D68</f>
        <v>1450000</v>
      </c>
      <c r="E67" s="591"/>
    </row>
    <row r="68" spans="1:5" s="570" customFormat="1" ht="43.5" customHeight="1">
      <c r="A68" s="656"/>
      <c r="B68" s="657"/>
      <c r="C68" s="316" t="s">
        <v>430</v>
      </c>
      <c r="D68" s="594">
        <v>1450000</v>
      </c>
      <c r="E68" s="582"/>
    </row>
    <row r="69" spans="1:5" s="570" customFormat="1" ht="29.25" customHeight="1">
      <c r="A69" s="583" t="s">
        <v>389</v>
      </c>
      <c r="B69" s="658"/>
      <c r="C69" s="659"/>
      <c r="D69" s="660">
        <f>D70+D74+D77</f>
        <v>972767.89</v>
      </c>
      <c r="E69" s="582"/>
    </row>
    <row r="70" spans="1:5" s="570" customFormat="1" ht="34.5" customHeight="1">
      <c r="A70" s="602">
        <v>630</v>
      </c>
      <c r="B70" s="661" t="s">
        <v>250</v>
      </c>
      <c r="C70" s="662" t="s">
        <v>91</v>
      </c>
      <c r="D70" s="581">
        <f>SUM(D71:D73)</f>
        <v>95000</v>
      </c>
      <c r="E70" s="582"/>
    </row>
    <row r="71" spans="1:5" s="570" customFormat="1" ht="36.75" customHeight="1">
      <c r="A71" s="608"/>
      <c r="B71" s="663"/>
      <c r="C71" s="664" t="s">
        <v>431</v>
      </c>
      <c r="D71" s="627">
        <v>60000</v>
      </c>
      <c r="E71" s="582"/>
    </row>
    <row r="72" spans="1:5" s="570" customFormat="1" ht="30" customHeight="1">
      <c r="A72" s="624"/>
      <c r="B72" s="665"/>
      <c r="C72" s="623" t="s">
        <v>432</v>
      </c>
      <c r="D72" s="594">
        <v>30000</v>
      </c>
      <c r="E72" s="582"/>
    </row>
    <row r="73" spans="1:5" s="570" customFormat="1" ht="30" customHeight="1">
      <c r="A73" s="624"/>
      <c r="B73" s="665"/>
      <c r="C73" s="623" t="s">
        <v>433</v>
      </c>
      <c r="D73" s="594">
        <v>5000</v>
      </c>
      <c r="E73" s="582"/>
    </row>
    <row r="74" spans="1:5" s="570" customFormat="1" ht="26.25" customHeight="1">
      <c r="A74" s="614">
        <v>852</v>
      </c>
      <c r="B74" s="666" t="s">
        <v>175</v>
      </c>
      <c r="C74" s="315"/>
      <c r="D74" s="581">
        <f>SUM(D75:D76)</f>
        <v>207000</v>
      </c>
      <c r="E74" s="582"/>
    </row>
    <row r="75" spans="1:5" s="570" customFormat="1" ht="40.5" customHeight="1">
      <c r="A75" s="269"/>
      <c r="B75" s="269"/>
      <c r="C75" s="315" t="s">
        <v>434</v>
      </c>
      <c r="D75" s="594">
        <v>200000</v>
      </c>
      <c r="E75" s="582"/>
    </row>
    <row r="76" spans="1:5" s="570" customFormat="1" ht="40.5" customHeight="1">
      <c r="A76" s="269"/>
      <c r="B76" s="269"/>
      <c r="C76" s="315" t="s">
        <v>435</v>
      </c>
      <c r="D76" s="270">
        <v>7000</v>
      </c>
      <c r="E76" s="582"/>
    </row>
    <row r="77" spans="1:5" s="570" customFormat="1" ht="38.25" customHeight="1">
      <c r="A77" s="600">
        <v>853</v>
      </c>
      <c r="B77" s="652" t="s">
        <v>135</v>
      </c>
      <c r="C77" s="315"/>
      <c r="D77" s="667">
        <f>SUM(D78)</f>
        <v>670767.89</v>
      </c>
      <c r="E77" s="586"/>
    </row>
    <row r="78" spans="1:5" s="570" customFormat="1" ht="37.5" customHeight="1">
      <c r="A78" s="668"/>
      <c r="B78" s="668"/>
      <c r="C78" s="315" t="s">
        <v>436</v>
      </c>
      <c r="D78" s="670">
        <f>524915+145852.89</f>
        <v>670767.89</v>
      </c>
      <c r="E78" s="582"/>
    </row>
    <row r="79" spans="1:5" s="570" customFormat="1" ht="24.75" customHeight="1">
      <c r="A79" s="797" t="s">
        <v>437</v>
      </c>
      <c r="B79" s="798"/>
      <c r="C79" s="799"/>
      <c r="D79" s="669">
        <f>D13+D58</f>
        <v>16989792.27</v>
      </c>
      <c r="E79" s="586"/>
    </row>
    <row r="80" spans="3:7" s="570" customFormat="1" ht="12.75">
      <c r="C80" s="568"/>
      <c r="E80" s="586"/>
      <c r="F80" s="582"/>
      <c r="G80" s="582"/>
    </row>
    <row r="87" ht="12.75">
      <c r="G87" s="564"/>
    </row>
    <row r="88" ht="12.75">
      <c r="G88" s="564"/>
    </row>
  </sheetData>
  <sheetProtection/>
  <mergeCells count="1">
    <mergeCell ref="A79:C79"/>
  </mergeCells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3" sqref="H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cols>
    <col min="3" max="3" width="18.140625" style="0" customWidth="1"/>
    <col min="4" max="4" width="23.57421875" style="520" customWidth="1"/>
    <col min="5" max="5" width="23.7109375" style="359" customWidth="1"/>
    <col min="6" max="6" width="28.140625" style="359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mmichnicka</cp:lastModifiedBy>
  <cp:lastPrinted>2014-05-19T09:23:47Z</cp:lastPrinted>
  <dcterms:created xsi:type="dcterms:W3CDTF">2009-03-04T08:33:11Z</dcterms:created>
  <dcterms:modified xsi:type="dcterms:W3CDTF">2014-05-19T12:12:26Z</dcterms:modified>
  <cp:category/>
  <cp:version/>
  <cp:contentType/>
  <cp:contentStatus/>
</cp:coreProperties>
</file>