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'Zał.1_WPF_bazowy'!$B$5:$U$107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<sst xmlns="http://schemas.openxmlformats.org/spreadsheetml/2006/main" count="10432" uniqueCount="332">
  <si>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</si>
  <si>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</si>
  <si>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</si>
  <si>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</si>
  <si>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</si>
  <si>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</si>
  <si>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</si>
  <si>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</si>
  <si>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</si>
  <si>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</si>
  <si>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</si>
  <si>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</si>
  <si>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</si>
  <si>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</si>
  <si>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</si>
  <si>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</si>
  <si>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</si>
  <si>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</si>
  <si>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</si>
  <si>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</si>
  <si>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</si>
  <si>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</si>
  <si>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</si>
  <si>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</si>
  <si>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</si>
  <si>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</si>
  <si>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</si>
  <si>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</si>
  <si>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</si>
  <si>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</si>
  <si>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</si>
  <si>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</si>
  <si>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</si>
  <si>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</si>
  <si>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</si>
  <si>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</si>
  <si>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</si>
  <si>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</si>
  <si>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</si>
  <si>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</si>
  <si>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</si>
  <si>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</si>
  <si>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</si>
  <si>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</si>
  <si>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</si>
  <si>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</si>
  <si>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</si>
  <si>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</si>
  <si>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</si>
  <si>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</si>
  <si>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</si>
  <si>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</si>
  <si>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</si>
  <si>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</si>
  <si>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</si>
  <si>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</si>
  <si>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</si>
  <si>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</si>
  <si>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</si>
  <si>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</si>
  <si>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</si>
  <si>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</si>
  <si>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</si>
  <si>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</si>
  <si>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</si>
  <si>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</si>
  <si>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</si>
  <si>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</si>
  <si>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</si>
  <si>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</si>
  <si>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</si>
  <si>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</si>
  <si>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</si>
  <si>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</si>
  <si>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</si>
  <si>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</si>
  <si>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</si>
  <si>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</si>
  <si>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</si>
  <si>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</si>
  <si>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</si>
  <si>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</si>
  <si>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</si>
  <si>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</si>
  <si>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</si>
  <si>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</si>
  <si>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</si>
  <si>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</si>
  <si>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</si>
  <si>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</si>
  <si>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</si>
  <si>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</si>
  <si>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</si>
  <si>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</si>
  <si>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</si>
  <si>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</si>
  <si>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</si>
  <si>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</si>
  <si>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</si>
  <si>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</si>
  <si>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</si>
  <si>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</si>
  <si>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</si>
  <si>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</si>
  <si>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</si>
  <si>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</si>
  <si>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</si>
  <si>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</si>
  <si>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</si>
  <si>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</si>
  <si>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</si>
  <si>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</si>
  <si>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</si>
  <si>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</si>
  <si>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</si>
  <si>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</si>
  <si>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</si>
  <si>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</si>
  <si>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</si>
  <si>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</si>
  <si>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</si>
  <si>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</si>
  <si>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</si>
  <si>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</si>
  <si>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</si>
  <si>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</si>
  <si>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</si>
  <si>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</si>
  <si>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</si>
  <si>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</si>
  <si>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</si>
  <si>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</si>
  <si>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</si>
  <si>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</si>
  <si>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</si>
  <si>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</si>
  <si>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</si>
  <si>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</si>
  <si>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</si>
  <si>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</si>
  <si>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</si>
  <si>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</si>
  <si>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</si>
  <si>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</si>
  <si>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</si>
  <si>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</si>
  <si>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</si>
  <si>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</si>
  <si>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</si>
  <si>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</si>
  <si>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</si>
  <si>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</si>
  <si>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</si>
  <si>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</si>
  <si>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</si>
  <si>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</si>
  <si>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</si>
  <si>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</si>
  <si>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</si>
  <si>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</si>
  <si>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</si>
  <si>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</si>
  <si>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</si>
  <si>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</si>
  <si>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</si>
  <si>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</si>
  <si>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</si>
  <si>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</si>
  <si>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</si>
  <si>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</si>
  <si>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</si>
  <si>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</si>
  <si>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</si>
  <si>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</si>
  <si>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</si>
  <si>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</si>
  <si>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</si>
  <si>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</si>
  <si>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</si>
  <si>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</si>
  <si>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</si>
  <si>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</si>
  <si>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</si>
  <si>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</si>
  <si>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</si>
  <si>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</si>
  <si>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</si>
  <si>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</si>
  <si>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</si>
  <si>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</si>
  <si>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</si>
  <si>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</si>
  <si>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</si>
  <si>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</si>
  <si>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</si>
  <si>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</si>
  <si>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</si>
  <si>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</si>
  <si>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</si>
  <si>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</si>
  <si>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</si>
  <si>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</si>
  <si>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</si>
  <si>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</si>
  <si>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</si>
  <si>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</si>
  <si>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</si>
  <si>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</si>
  <si>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</si>
  <si>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</si>
  <si>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</si>
  <si>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</si>
  <si>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</si>
  <si>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</si>
  <si>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</si>
  <si>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</si>
  <si>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</si>
  <si>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</si>
  <si>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</si>
  <si>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</si>
  <si>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</si>
  <si>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</si>
  <si>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</si>
  <si>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</si>
  <si>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</si>
  <si>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</si>
  <si>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</si>
  <si>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</si>
  <si>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</si>
  <si>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</si>
  <si>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</si>
  <si>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</si>
  <si>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</si>
  <si>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</si>
  <si>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</si>
  <si>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</si>
  <si>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</si>
  <si>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</si>
  <si>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</si>
  <si>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</si>
  <si>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</si>
  <si>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</si>
  <si>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</si>
  <si>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</si>
  <si>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</si>
  <si>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</si>
  <si>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</si>
  <si>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</si>
  <si>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</si>
  <si>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</si>
  <si>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</si>
  <si>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</si>
  <si>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</si>
  <si>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</si>
  <si>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</si>
  <si>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</si>
  <si>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</si>
  <si>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</si>
  <si>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</si>
  <si>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</si>
  <si>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</si>
  <si>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</si>
  <si>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</si>
  <si>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</si>
  <si>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</si>
  <si>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</si>
  <si>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</si>
  <si>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</si>
  <si>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</si>
  <si>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</si>
  <si>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</si>
  <si>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</si>
  <si>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</si>
  <si>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</si>
  <si>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</si>
  <si>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</si>
  <si>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</si>
  <si>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</si>
  <si>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</si>
  <si>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</si>
  <si>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</si>
  <si>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</si>
  <si>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</si>
  <si>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</si>
  <si>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</si>
  <si>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</si>
  <si>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</si>
  <si>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</si>
  <si>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</si>
  <si>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</si>
  <si>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</si>
  <si>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</si>
  <si>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</si>
  <si>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</si>
  <si>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</si>
  <si>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</si>
  <si>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</si>
  <si>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</si>
  <si>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</si>
  <si>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</si>
  <si>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</si>
  <si>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</si>
  <si>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</si>
  <si>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</si>
  <si>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</si>
  <si>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</si>
  <si>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</si>
  <si>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</si>
  <si>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</si>
  <si>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</si>
  <si>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</si>
  <si>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</si>
  <si>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</si>
  <si>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</si>
  <si>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</si>
  <si>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</si>
  <si>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</si>
  <si>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</si>
  <si>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</si>
  <si>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</si>
  <si>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</si>
  <si>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</si>
  <si>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</si>
  <si>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 z 25.06.</t>
  </si>
  <si>
    <t>Konin</t>
  </si>
  <si>
    <t>[2.1] + [2.2]</t>
  </si>
  <si>
    <t>[1.1] + [1.2]</t>
  </si>
  <si>
    <t>Wieloletnia Prognoza Finansowa miasta Konina na lata 2014-2017</t>
  </si>
  <si>
    <t>z dnia 25 czerwca 2014 roku</t>
  </si>
  <si>
    <t>Rady Miasta Konina</t>
  </si>
  <si>
    <t>do Uchwały Nr</t>
  </si>
  <si>
    <t>Załącznik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</si>
</sst>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32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3" fillId="0" borderId="35" xfId="0" applyFont="1" applyBorder="1" applyAlignment="1">
      <alignment horizontal="left" vertical="center" wrapText="1"/>
    </xf>
    <xf numFmtId="0" fontId="83" fillId="0" borderId="35" xfId="0" applyFont="1" applyBorder="1" applyAlignment="1">
      <alignment vertical="center" wrapText="1"/>
    </xf>
    <xf numFmtId="0" fontId="84" fillId="0" borderId="32" xfId="0" applyFont="1" applyBorder="1" applyAlignment="1">
      <alignment horizontal="left" vertical="center" wrapText="1" indent="1"/>
    </xf>
    <xf numFmtId="0" fontId="84" fillId="0" borderId="32" xfId="0" applyFont="1" applyBorder="1" applyAlignment="1">
      <alignment horizontal="left" vertical="center" wrapText="1" indent="2"/>
    </xf>
    <xf numFmtId="0" fontId="84" fillId="0" borderId="32" xfId="0" applyFont="1" applyBorder="1" applyAlignment="1">
      <alignment horizontal="left" vertical="center" wrapText="1" indent="3"/>
    </xf>
    <xf numFmtId="0" fontId="84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4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32" xfId="0" applyFont="1" applyBorder="1" applyAlignment="1" applyProtection="1">
      <alignment horizontal="left" vertical="center"/>
      <protection locked="0"/>
    </xf>
    <xf numFmtId="0" fontId="84" fillId="0" borderId="36" xfId="0" applyFont="1" applyBorder="1" applyAlignment="1" applyProtection="1">
      <alignment horizontal="left" vertical="center"/>
      <protection locked="0"/>
    </xf>
    <xf numFmtId="0" fontId="84" fillId="57" borderId="32" xfId="0" applyFont="1" applyFill="1" applyBorder="1" applyAlignment="1" applyProtection="1">
      <alignment horizontal="left" vertical="center"/>
      <protection locked="0"/>
    </xf>
    <xf numFmtId="0" fontId="84" fillId="0" borderId="32" xfId="0" applyFont="1" applyBorder="1" applyAlignment="1">
      <alignment horizontal="left" vertical="center" wrapText="1" indent="4"/>
    </xf>
    <xf numFmtId="0" fontId="84" fillId="0" borderId="35" xfId="0" applyFont="1" applyBorder="1" applyAlignment="1" applyProtection="1">
      <alignment horizontal="left" vertical="center" wrapText="1" indent="1"/>
      <protection locked="0"/>
    </xf>
    <xf numFmtId="0" fontId="84" fillId="0" borderId="32" xfId="0" applyFont="1" applyBorder="1" applyAlignment="1" quotePrefix="1">
      <alignment horizontal="left" vertical="center" wrapText="1" indent="3"/>
    </xf>
    <xf numFmtId="0" fontId="84" fillId="0" borderId="32" xfId="0" applyFont="1" applyBorder="1" applyAlignment="1" quotePrefix="1">
      <alignment horizontal="left" vertical="center" wrapText="1" indent="2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33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111"/>
  <sheetViews>
    <sheetView tabSelected="1" zoomScaleSheetLayoutView="100" zoomScalePageLayoutView="0" workbookViewId="0" topLeftCell="A1">
      <pane xSplit="4" ySplit="6" topLeftCell="R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N2" sqref="N2"/>
    </sheetView>
  </sheetViews>
  <sheetFormatPr defaultColWidth="8.796875" defaultRowHeight="14.25" outlineLevelRow="5" outlineLevelCol="1"/>
  <cols>
    <col min="1" max="1" width="4.19921875" style="67" hidden="1" customWidth="1" outlineLevel="1"/>
    <col min="2" max="2" width="6.59765625" style="1" customWidth="1" collapsed="1"/>
    <col min="3" max="3" width="21.69921875" style="77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1" width="14" style="1" customWidth="1"/>
  </cols>
  <sheetData>
    <row r="1" spans="1:21" s="70" customFormat="1" ht="15">
      <c r="A1" s="72"/>
      <c r="B1" s="1"/>
      <c r="C1" s="77"/>
      <c r="D1" s="1"/>
      <c r="E1" s="1"/>
      <c r="F1" s="1"/>
      <c r="G1" s="1"/>
      <c r="H1" s="1"/>
      <c r="I1" s="86" t="s">
        <v>327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70" customFormat="1" ht="14.25">
      <c r="A2" s="72"/>
      <c r="B2" s="1"/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331</v>
      </c>
      <c r="O2" s="1"/>
      <c r="P2" s="1"/>
      <c r="Q2" s="1"/>
      <c r="R2" s="1"/>
      <c r="S2" s="1"/>
      <c r="T2" s="1"/>
      <c r="U2" s="1"/>
    </row>
    <row r="3" spans="1:21" s="70" customFormat="1" ht="14.25">
      <c r="A3" s="72"/>
      <c r="B3" s="1"/>
      <c r="C3" s="77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330</v>
      </c>
      <c r="O3" s="1"/>
      <c r="P3" s="1"/>
      <c r="Q3" s="1"/>
      <c r="R3" s="1"/>
      <c r="S3" s="1"/>
      <c r="T3" s="1"/>
      <c r="U3" s="1"/>
    </row>
    <row r="4" spans="4:22" ht="14.25">
      <c r="D4" s="85"/>
      <c r="E4" s="69"/>
      <c r="F4" s="69"/>
      <c r="G4" s="69"/>
      <c r="H4" s="69"/>
      <c r="K4" s="51"/>
      <c r="L4" s="49"/>
      <c r="M4" s="49"/>
      <c r="N4" s="49" t="s">
        <v>329</v>
      </c>
      <c r="O4" s="49"/>
      <c r="P4" s="49"/>
      <c r="Q4" s="49"/>
      <c r="R4" s="49"/>
      <c r="S4" s="49"/>
      <c r="T4" s="49"/>
      <c r="U4" s="49"/>
      <c r="V4" s="50"/>
    </row>
    <row r="5" spans="2:22" ht="15.75">
      <c r="B5" s="49"/>
      <c r="C5" s="76"/>
      <c r="D5" s="51"/>
      <c r="E5" s="87" t="s">
        <v>200</v>
      </c>
      <c r="F5" s="87"/>
      <c r="G5" s="56" t="s">
        <v>199</v>
      </c>
      <c r="H5" s="56" t="s">
        <v>200</v>
      </c>
      <c r="I5" s="59">
        <f>""</f>
      </c>
      <c r="J5" s="55"/>
      <c r="K5" s="55"/>
      <c r="L5" s="55"/>
      <c r="M5" s="55"/>
      <c r="N5" s="49" t="s">
        <v>328</v>
      </c>
      <c r="O5" s="49"/>
      <c r="P5" s="49"/>
      <c r="Q5" s="49"/>
      <c r="R5" s="49"/>
      <c r="S5" s="49"/>
      <c r="T5" s="49"/>
      <c r="U5" s="49"/>
      <c r="V5" s="50"/>
    </row>
    <row r="6" spans="1:22" ht="14.25">
      <c r="A6" s="68" t="s">
        <v>201</v>
      </c>
      <c r="B6" s="16" t="s">
        <v>0</v>
      </c>
      <c r="C6" s="52" t="s">
        <v>275</v>
      </c>
      <c r="D6" s="60" t="s">
        <v>1</v>
      </c>
      <c r="E6" s="73">
        <f>+F6-1</f>
        <v>2011</v>
      </c>
      <c r="F6" s="74">
        <f>+G6-1</f>
        <v>2012</v>
      </c>
      <c r="G6" s="74">
        <f>+H6</f>
        <v>2013</v>
      </c>
      <c r="H6" s="75">
        <f>+I6-1</f>
        <v>2013</v>
      </c>
      <c r="I6" s="20">
        <f>+DaneZrodlowe!$N$1</f>
        <v>2014</v>
      </c>
      <c r="J6" s="17">
        <f>+I6+1</f>
        <v>2015</v>
      </c>
      <c r="K6" s="17">
        <f aca="true" t="shared" si="0" ref="K6:U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  <c r="V6" s="18"/>
    </row>
    <row r="7" spans="1:22" ht="15" outlineLevel="1">
      <c r="A7" s="67" t="s">
        <v>26</v>
      </c>
      <c r="B7" s="21">
        <v>1</v>
      </c>
      <c r="C7" s="78" t="s">
        <v>22</v>
      </c>
      <c r="D7" s="62" t="s">
        <v>22</v>
      </c>
      <c r="E7" s="44">
        <f>366887885.96</f>
        <v>366887885.96</v>
      </c>
      <c r="F7" s="23">
        <f>394489158.51</f>
        <v>394489158.51</v>
      </c>
      <c r="G7" s="23">
        <f>410455318.94</f>
        <v>410455318.94</v>
      </c>
      <c r="H7" s="24">
        <f>394659358.95</f>
        <v>394659358.95</v>
      </c>
      <c r="I7" s="25">
        <f>409455845.93</f>
        <v>409455845.93</v>
      </c>
      <c r="J7" s="26">
        <f>401456623.19</f>
        <v>401456623.19</v>
      </c>
      <c r="K7" s="26">
        <f>402163341</f>
        <v>402163341</v>
      </c>
      <c r="L7" s="26">
        <f>408983118</f>
        <v>408983118</v>
      </c>
      <c r="M7" s="26">
        <f aca="true" t="shared" si="1" ref="M7:U8">408799084</f>
        <v>408799084</v>
      </c>
      <c r="N7" s="26">
        <f t="shared" si="1"/>
        <v>408799084</v>
      </c>
      <c r="O7" s="26">
        <f t="shared" si="1"/>
        <v>408799084</v>
      </c>
      <c r="P7" s="26">
        <f t="shared" si="1"/>
        <v>408799084</v>
      </c>
      <c r="Q7" s="26">
        <f t="shared" si="1"/>
        <v>408799084</v>
      </c>
      <c r="R7" s="26">
        <f t="shared" si="1"/>
        <v>408799084</v>
      </c>
      <c r="S7" s="26">
        <f t="shared" si="1"/>
        <v>408799084</v>
      </c>
      <c r="T7" s="26">
        <f t="shared" si="1"/>
        <v>408799084</v>
      </c>
      <c r="U7" s="26">
        <f t="shared" si="1"/>
        <v>408799084</v>
      </c>
      <c r="V7" s="19"/>
    </row>
    <row r="8" spans="1:21" ht="14.25" outlineLevel="2">
      <c r="A8" s="67" t="s">
        <v>26</v>
      </c>
      <c r="B8" s="22" t="s">
        <v>123</v>
      </c>
      <c r="C8" s="80" t="s">
        <v>27</v>
      </c>
      <c r="D8" s="63" t="s">
        <v>202</v>
      </c>
      <c r="E8" s="45">
        <f>343431158.34</f>
        <v>343431158.34</v>
      </c>
      <c r="F8" s="27">
        <f>369803638.67</f>
        <v>369803638.67</v>
      </c>
      <c r="G8" s="27">
        <f>384417823.92</f>
        <v>384417823.92</v>
      </c>
      <c r="H8" s="28">
        <f>372437720.36</f>
        <v>372437720.36</v>
      </c>
      <c r="I8" s="29">
        <f>388336272.41</f>
        <v>388336272.41</v>
      </c>
      <c r="J8" s="30">
        <f>394457562.87</f>
        <v>394457562.87</v>
      </c>
      <c r="K8" s="30">
        <f>401163341</f>
        <v>401163341</v>
      </c>
      <c r="L8" s="30">
        <f>407983118</f>
        <v>407983118</v>
      </c>
      <c r="M8" s="30">
        <f t="shared" si="1"/>
        <v>408799084</v>
      </c>
      <c r="N8" s="30">
        <f t="shared" si="1"/>
        <v>408799084</v>
      </c>
      <c r="O8" s="30">
        <f t="shared" si="1"/>
        <v>408799084</v>
      </c>
      <c r="P8" s="30">
        <f t="shared" si="1"/>
        <v>408799084</v>
      </c>
      <c r="Q8" s="30">
        <f t="shared" si="1"/>
        <v>408799084</v>
      </c>
      <c r="R8" s="30">
        <f t="shared" si="1"/>
        <v>408799084</v>
      </c>
      <c r="S8" s="30">
        <f t="shared" si="1"/>
        <v>408799084</v>
      </c>
      <c r="T8" s="30">
        <f t="shared" si="1"/>
        <v>408799084</v>
      </c>
      <c r="U8" s="30">
        <f t="shared" si="1"/>
        <v>408799084</v>
      </c>
    </row>
    <row r="9" spans="2:21" ht="14.25" outlineLevel="3">
      <c r="B9" s="22" t="s">
        <v>28</v>
      </c>
      <c r="C9" s="54" t="s">
        <v>29</v>
      </c>
      <c r="D9" s="64" t="s">
        <v>170</v>
      </c>
      <c r="E9" s="45">
        <f>0</f>
        <v>0</v>
      </c>
      <c r="F9" s="27">
        <f>0</f>
        <v>0</v>
      </c>
      <c r="G9" s="27">
        <f>72581486</f>
        <v>72581486</v>
      </c>
      <c r="H9" s="28">
        <f>69934136</f>
        <v>69934136</v>
      </c>
      <c r="I9" s="29">
        <f>73617836</f>
        <v>73617836</v>
      </c>
      <c r="J9" s="30">
        <f>75090192</f>
        <v>75090192</v>
      </c>
      <c r="K9" s="30">
        <f>76591995</f>
        <v>76591995</v>
      </c>
      <c r="L9" s="30">
        <f>78123834</f>
        <v>78123834</v>
      </c>
      <c r="M9" s="30">
        <f>0</f>
        <v>0</v>
      </c>
      <c r="N9" s="30">
        <f>0</f>
        <v>0</v>
      </c>
      <c r="O9" s="30">
        <f>0</f>
        <v>0</v>
      </c>
      <c r="P9" s="30">
        <f>0</f>
        <v>0</v>
      </c>
      <c r="Q9" s="30">
        <f>0</f>
        <v>0</v>
      </c>
      <c r="R9" s="30">
        <f>0</f>
        <v>0</v>
      </c>
      <c r="S9" s="30">
        <f>0</f>
        <v>0</v>
      </c>
      <c r="T9" s="30">
        <f>0</f>
        <v>0</v>
      </c>
      <c r="U9" s="30">
        <f>0</f>
        <v>0</v>
      </c>
    </row>
    <row r="10" spans="2:21" ht="14.25" outlineLevel="3">
      <c r="B10" s="22" t="s">
        <v>30</v>
      </c>
      <c r="C10" s="54" t="s">
        <v>31</v>
      </c>
      <c r="D10" s="64" t="s">
        <v>171</v>
      </c>
      <c r="E10" s="45">
        <f>0</f>
        <v>0</v>
      </c>
      <c r="F10" s="27">
        <f>0</f>
        <v>0</v>
      </c>
      <c r="G10" s="27">
        <f>7850000</f>
        <v>7850000</v>
      </c>
      <c r="H10" s="28">
        <f>4313984.46</f>
        <v>4313984.46</v>
      </c>
      <c r="I10" s="29">
        <f>4850000</f>
        <v>4850000</v>
      </c>
      <c r="J10" s="30">
        <f>4950000</f>
        <v>4950000</v>
      </c>
      <c r="K10" s="30">
        <f>5049000</f>
        <v>5049000</v>
      </c>
      <c r="L10" s="30">
        <f>5149980</f>
        <v>5149980</v>
      </c>
      <c r="M10" s="30">
        <f>0</f>
        <v>0</v>
      </c>
      <c r="N10" s="30">
        <f>0</f>
        <v>0</v>
      </c>
      <c r="O10" s="30">
        <f>0</f>
        <v>0</v>
      </c>
      <c r="P10" s="30">
        <f>0</f>
        <v>0</v>
      </c>
      <c r="Q10" s="30">
        <f>0</f>
        <v>0</v>
      </c>
      <c r="R10" s="30">
        <f>0</f>
        <v>0</v>
      </c>
      <c r="S10" s="30">
        <f>0</f>
        <v>0</v>
      </c>
      <c r="T10" s="30">
        <f>0</f>
        <v>0</v>
      </c>
      <c r="U10" s="30">
        <f>0</f>
        <v>0</v>
      </c>
    </row>
    <row r="11" spans="2:21" ht="14.25" outlineLevel="3">
      <c r="B11" s="22" t="s">
        <v>32</v>
      </c>
      <c r="C11" s="54" t="s">
        <v>33</v>
      </c>
      <c r="D11" s="64" t="s">
        <v>301</v>
      </c>
      <c r="E11" s="45">
        <f>0</f>
        <v>0</v>
      </c>
      <c r="F11" s="27">
        <f>0</f>
        <v>0</v>
      </c>
      <c r="G11" s="27">
        <f>97032780.48</f>
        <v>97032780.48</v>
      </c>
      <c r="H11" s="28">
        <f>81216036.37</f>
        <v>81216036.37</v>
      </c>
      <c r="I11" s="29">
        <f>108560693.52</f>
        <v>108560693.52</v>
      </c>
      <c r="J11" s="30">
        <f>110243000</f>
        <v>110243000</v>
      </c>
      <c r="K11" s="30">
        <f>111896000</f>
        <v>111896000</v>
      </c>
      <c r="L11" s="30">
        <f>113200000</f>
        <v>113200000</v>
      </c>
      <c r="M11" s="30">
        <f>0</f>
        <v>0</v>
      </c>
      <c r="N11" s="30">
        <f>0</f>
        <v>0</v>
      </c>
      <c r="O11" s="30">
        <f>0</f>
        <v>0</v>
      </c>
      <c r="P11" s="30">
        <f>0</f>
        <v>0</v>
      </c>
      <c r="Q11" s="30">
        <f>0</f>
        <v>0</v>
      </c>
      <c r="R11" s="30">
        <f>0</f>
        <v>0</v>
      </c>
      <c r="S11" s="30">
        <f>0</f>
        <v>0</v>
      </c>
      <c r="T11" s="30">
        <f>0</f>
        <v>0</v>
      </c>
      <c r="U11" s="30">
        <f>0</f>
        <v>0</v>
      </c>
    </row>
    <row r="12" spans="2:21" ht="14.25" outlineLevel="4">
      <c r="B12" s="22" t="s">
        <v>34</v>
      </c>
      <c r="C12" s="54" t="s">
        <v>35</v>
      </c>
      <c r="D12" s="65" t="s">
        <v>172</v>
      </c>
      <c r="E12" s="45">
        <f>0</f>
        <v>0</v>
      </c>
      <c r="F12" s="27">
        <f>0</f>
        <v>0</v>
      </c>
      <c r="G12" s="27">
        <f>61060000</f>
        <v>61060000</v>
      </c>
      <c r="H12" s="28">
        <f>64469648.85</f>
        <v>64469648.85</v>
      </c>
      <c r="I12" s="29">
        <f>67971050</f>
        <v>67971050</v>
      </c>
      <c r="J12" s="30">
        <f>67116000</f>
        <v>67116000</v>
      </c>
      <c r="K12" s="30">
        <f>68458320</f>
        <v>68458320</v>
      </c>
      <c r="L12" s="30">
        <f>69827486</f>
        <v>69827486</v>
      </c>
      <c r="M12" s="30">
        <f>0</f>
        <v>0</v>
      </c>
      <c r="N12" s="30">
        <f>0</f>
        <v>0</v>
      </c>
      <c r="O12" s="30">
        <f>0</f>
        <v>0</v>
      </c>
      <c r="P12" s="30">
        <f>0</f>
        <v>0</v>
      </c>
      <c r="Q12" s="30">
        <f>0</f>
        <v>0</v>
      </c>
      <c r="R12" s="30">
        <f>0</f>
        <v>0</v>
      </c>
      <c r="S12" s="30">
        <f>0</f>
        <v>0</v>
      </c>
      <c r="T12" s="30">
        <f>0</f>
        <v>0</v>
      </c>
      <c r="U12" s="30">
        <f>0</f>
        <v>0</v>
      </c>
    </row>
    <row r="13" spans="2:21" ht="14.25" outlineLevel="3">
      <c r="B13" s="22" t="s">
        <v>36</v>
      </c>
      <c r="C13" s="54" t="s">
        <v>37</v>
      </c>
      <c r="D13" s="64" t="s">
        <v>173</v>
      </c>
      <c r="E13" s="45">
        <f>0</f>
        <v>0</v>
      </c>
      <c r="F13" s="27">
        <f>0</f>
        <v>0</v>
      </c>
      <c r="G13" s="27">
        <f>120465446</f>
        <v>120465446</v>
      </c>
      <c r="H13" s="28">
        <f>120762886</f>
        <v>120762886</v>
      </c>
      <c r="I13" s="29">
        <f>118284365</f>
        <v>118284365</v>
      </c>
      <c r="J13" s="30">
        <f>120595900</f>
        <v>120595900</v>
      </c>
      <c r="K13" s="30">
        <f>122887000</f>
        <v>122887000</v>
      </c>
      <c r="L13" s="30">
        <f>125098966</f>
        <v>125098966</v>
      </c>
      <c r="M13" s="30">
        <f>0</f>
        <v>0</v>
      </c>
      <c r="N13" s="30">
        <f>0</f>
        <v>0</v>
      </c>
      <c r="O13" s="30">
        <f>0</f>
        <v>0</v>
      </c>
      <c r="P13" s="30">
        <f>0</f>
        <v>0</v>
      </c>
      <c r="Q13" s="30">
        <f>0</f>
        <v>0</v>
      </c>
      <c r="R13" s="30">
        <f>0</f>
        <v>0</v>
      </c>
      <c r="S13" s="30">
        <f>0</f>
        <v>0</v>
      </c>
      <c r="T13" s="30">
        <f>0</f>
        <v>0</v>
      </c>
      <c r="U13" s="30">
        <f>0</f>
        <v>0</v>
      </c>
    </row>
    <row r="14" spans="2:21" ht="14.25" outlineLevel="3">
      <c r="B14" s="22" t="s">
        <v>38</v>
      </c>
      <c r="C14" s="54" t="s">
        <v>39</v>
      </c>
      <c r="D14" s="64" t="s">
        <v>174</v>
      </c>
      <c r="E14" s="45">
        <f>0</f>
        <v>0</v>
      </c>
      <c r="F14" s="27">
        <f>0</f>
        <v>0</v>
      </c>
      <c r="G14" s="27">
        <f>54505678.46</f>
        <v>54505678.46</v>
      </c>
      <c r="H14" s="28">
        <f>57201053.72</f>
        <v>57201053.72</v>
      </c>
      <c r="I14" s="29">
        <f>49762981.12</f>
        <v>49762981.12</v>
      </c>
      <c r="J14" s="30">
        <f>50509000</f>
        <v>50509000</v>
      </c>
      <c r="K14" s="30">
        <f>51266600</f>
        <v>51266600</v>
      </c>
      <c r="L14" s="30">
        <f>52035000</f>
        <v>52035000</v>
      </c>
      <c r="M14" s="30">
        <f>0</f>
        <v>0</v>
      </c>
      <c r="N14" s="30">
        <f>0</f>
        <v>0</v>
      </c>
      <c r="O14" s="30">
        <f>0</f>
        <v>0</v>
      </c>
      <c r="P14" s="30">
        <f>0</f>
        <v>0</v>
      </c>
      <c r="Q14" s="30">
        <f>0</f>
        <v>0</v>
      </c>
      <c r="R14" s="30">
        <f>0</f>
        <v>0</v>
      </c>
      <c r="S14" s="30">
        <f>0</f>
        <v>0</v>
      </c>
      <c r="T14" s="30">
        <f>0</f>
        <v>0</v>
      </c>
      <c r="U14" s="30">
        <f>0</f>
        <v>0</v>
      </c>
    </row>
    <row r="15" spans="1:21" ht="14.25" outlineLevel="2">
      <c r="A15" s="67" t="s">
        <v>26</v>
      </c>
      <c r="B15" s="22" t="s">
        <v>124</v>
      </c>
      <c r="C15" s="54" t="s">
        <v>266</v>
      </c>
      <c r="D15" s="63" t="s">
        <v>300</v>
      </c>
      <c r="E15" s="45">
        <f>23456727.62</f>
        <v>23456727.62</v>
      </c>
      <c r="F15" s="27">
        <f>24685519.84</f>
        <v>24685519.84</v>
      </c>
      <c r="G15" s="27">
        <f>26037495.02</f>
        <v>26037495.02</v>
      </c>
      <c r="H15" s="28">
        <f>22221638.59</f>
        <v>22221638.59</v>
      </c>
      <c r="I15" s="29">
        <f>21119573.52</f>
        <v>21119573.52</v>
      </c>
      <c r="J15" s="30">
        <f>6999060.32</f>
        <v>6999060.32</v>
      </c>
      <c r="K15" s="30">
        <f>1000000</f>
        <v>1000000</v>
      </c>
      <c r="L15" s="30">
        <f>1000000</f>
        <v>1000000</v>
      </c>
      <c r="M15" s="30">
        <f>0</f>
        <v>0</v>
      </c>
      <c r="N15" s="30">
        <f>0</f>
        <v>0</v>
      </c>
      <c r="O15" s="30">
        <f>0</f>
        <v>0</v>
      </c>
      <c r="P15" s="30">
        <f>0</f>
        <v>0</v>
      </c>
      <c r="Q15" s="30">
        <f>0</f>
        <v>0</v>
      </c>
      <c r="R15" s="30">
        <f>0</f>
        <v>0</v>
      </c>
      <c r="S15" s="30">
        <f>0</f>
        <v>0</v>
      </c>
      <c r="T15" s="30">
        <f>0</f>
        <v>0</v>
      </c>
      <c r="U15" s="30">
        <f>0</f>
        <v>0</v>
      </c>
    </row>
    <row r="16" spans="1:21" ht="14.25" outlineLevel="3">
      <c r="A16" s="67" t="s">
        <v>26</v>
      </c>
      <c r="B16" s="22" t="s">
        <v>41</v>
      </c>
      <c r="C16" s="54" t="s">
        <v>42</v>
      </c>
      <c r="D16" s="64" t="s">
        <v>25</v>
      </c>
      <c r="E16" s="45">
        <f>1691206.53</f>
        <v>1691206.53</v>
      </c>
      <c r="F16" s="27">
        <f>3926613</f>
        <v>3926613</v>
      </c>
      <c r="G16" s="27">
        <f>6491200</f>
        <v>6491200</v>
      </c>
      <c r="H16" s="28">
        <f>3145613.41</f>
        <v>3145613.41</v>
      </c>
      <c r="I16" s="29">
        <f>4515000</f>
        <v>4515000</v>
      </c>
      <c r="J16" s="30">
        <f>2000000</f>
        <v>2000000</v>
      </c>
      <c r="K16" s="30">
        <f>1000000</f>
        <v>1000000</v>
      </c>
      <c r="L16" s="30">
        <f>1000000</f>
        <v>1000000</v>
      </c>
      <c r="M16" s="30">
        <f>0</f>
        <v>0</v>
      </c>
      <c r="N16" s="30">
        <f>0</f>
        <v>0</v>
      </c>
      <c r="O16" s="30">
        <f>0</f>
        <v>0</v>
      </c>
      <c r="P16" s="30">
        <f>0</f>
        <v>0</v>
      </c>
      <c r="Q16" s="30">
        <f>0</f>
        <v>0</v>
      </c>
      <c r="R16" s="30">
        <f>0</f>
        <v>0</v>
      </c>
      <c r="S16" s="30">
        <f>0</f>
        <v>0</v>
      </c>
      <c r="T16" s="30">
        <f>0</f>
        <v>0</v>
      </c>
      <c r="U16" s="30">
        <f>0</f>
        <v>0</v>
      </c>
    </row>
    <row r="17" spans="2:21" ht="14.25" outlineLevel="3">
      <c r="B17" s="22" t="s">
        <v>43</v>
      </c>
      <c r="C17" s="54" t="s">
        <v>44</v>
      </c>
      <c r="D17" s="64" t="s">
        <v>175</v>
      </c>
      <c r="E17" s="45">
        <f>0</f>
        <v>0</v>
      </c>
      <c r="F17" s="27">
        <f>0</f>
        <v>0</v>
      </c>
      <c r="G17" s="27">
        <f>14203380.32</f>
        <v>14203380.32</v>
      </c>
      <c r="H17" s="28">
        <f>13688906.85</f>
        <v>13688906.85</v>
      </c>
      <c r="I17" s="29">
        <f>15672092.62</f>
        <v>15672092.62</v>
      </c>
      <c r="J17" s="30">
        <f>4999060.32</f>
        <v>4999060.32</v>
      </c>
      <c r="K17" s="30">
        <f>0</f>
        <v>0</v>
      </c>
      <c r="L17" s="30">
        <f>0</f>
        <v>0</v>
      </c>
      <c r="M17" s="30">
        <f>0</f>
        <v>0</v>
      </c>
      <c r="N17" s="30">
        <f>0</f>
        <v>0</v>
      </c>
      <c r="O17" s="30">
        <f>0</f>
        <v>0</v>
      </c>
      <c r="P17" s="30">
        <f>0</f>
        <v>0</v>
      </c>
      <c r="Q17" s="30">
        <f>0</f>
        <v>0</v>
      </c>
      <c r="R17" s="30">
        <f>0</f>
        <v>0</v>
      </c>
      <c r="S17" s="30">
        <f>0</f>
        <v>0</v>
      </c>
      <c r="T17" s="30">
        <f>0</f>
        <v>0</v>
      </c>
      <c r="U17" s="30">
        <f>0</f>
        <v>0</v>
      </c>
    </row>
    <row r="18" spans="1:22" ht="15" outlineLevel="1">
      <c r="A18" s="67" t="s">
        <v>26</v>
      </c>
      <c r="B18" s="21">
        <v>2</v>
      </c>
      <c r="C18" s="78" t="s">
        <v>17</v>
      </c>
      <c r="D18" s="62" t="s">
        <v>17</v>
      </c>
      <c r="E18" s="44">
        <f>378530806.79</f>
        <v>378530806.79</v>
      </c>
      <c r="F18" s="23">
        <f>396396539.83</f>
        <v>396396539.83</v>
      </c>
      <c r="G18" s="23">
        <f>417041594.1</f>
        <v>417041594.1</v>
      </c>
      <c r="H18" s="24">
        <f>404626280.98</f>
        <v>404626280.98</v>
      </c>
      <c r="I18" s="25">
        <f>423183600.01</f>
        <v>423183600.01</v>
      </c>
      <c r="J18" s="26">
        <f>397028068.47</f>
        <v>397028068.47</v>
      </c>
      <c r="K18" s="26">
        <f>386714245</f>
        <v>386714245</v>
      </c>
      <c r="L18" s="26">
        <f>391534022</f>
        <v>391534022</v>
      </c>
      <c r="M18" s="26">
        <f>393572568</f>
        <v>393572568</v>
      </c>
      <c r="N18" s="26">
        <f>393572568</f>
        <v>393572568</v>
      </c>
      <c r="O18" s="26">
        <f>391094568</f>
        <v>391094568</v>
      </c>
      <c r="P18" s="26">
        <f>392534568</f>
        <v>392534568</v>
      </c>
      <c r="Q18" s="26">
        <f>397718568</f>
        <v>397718568</v>
      </c>
      <c r="R18" s="26">
        <f>405894568</f>
        <v>405894568</v>
      </c>
      <c r="S18" s="26">
        <f>407077062</f>
        <v>407077062</v>
      </c>
      <c r="T18" s="26">
        <f>407137884</f>
        <v>407137884</v>
      </c>
      <c r="U18" s="26">
        <f>408576184</f>
        <v>408576184</v>
      </c>
      <c r="V18" s="19"/>
    </row>
    <row r="19" spans="1:21" ht="14.25" outlineLevel="2">
      <c r="A19" s="67" t="s">
        <v>26</v>
      </c>
      <c r="B19" s="22" t="s">
        <v>125</v>
      </c>
      <c r="C19" s="80" t="s">
        <v>267</v>
      </c>
      <c r="D19" s="63" t="s">
        <v>176</v>
      </c>
      <c r="E19" s="45">
        <f>325716535.71</f>
        <v>325716535.71</v>
      </c>
      <c r="F19" s="27">
        <f>349095431.95</f>
        <v>349095431.95</v>
      </c>
      <c r="G19" s="27">
        <f>369920818.17</f>
        <v>369920818.17</v>
      </c>
      <c r="H19" s="28">
        <f>358507015.11</f>
        <v>358507015.11</v>
      </c>
      <c r="I19" s="29">
        <f>362926355.2</f>
        <v>362926355.2</v>
      </c>
      <c r="J19" s="30">
        <f>363575226.83</f>
        <v>363575226.83</v>
      </c>
      <c r="K19" s="30">
        <f>366083828</f>
        <v>366083828</v>
      </c>
      <c r="L19" s="30">
        <f>368915699</f>
        <v>368915699</v>
      </c>
      <c r="M19" s="30">
        <f aca="true" t="shared" si="2" ref="M19:U19">369785114</f>
        <v>369785114</v>
      </c>
      <c r="N19" s="30">
        <f t="shared" si="2"/>
        <v>369785114</v>
      </c>
      <c r="O19" s="30">
        <f t="shared" si="2"/>
        <v>369785114</v>
      </c>
      <c r="P19" s="30">
        <f t="shared" si="2"/>
        <v>369785114</v>
      </c>
      <c r="Q19" s="30">
        <f t="shared" si="2"/>
        <v>369785114</v>
      </c>
      <c r="R19" s="30">
        <f t="shared" si="2"/>
        <v>369785114</v>
      </c>
      <c r="S19" s="30">
        <f t="shared" si="2"/>
        <v>369785114</v>
      </c>
      <c r="T19" s="30">
        <f t="shared" si="2"/>
        <v>369785114</v>
      </c>
      <c r="U19" s="30">
        <f t="shared" si="2"/>
        <v>369785114</v>
      </c>
    </row>
    <row r="20" spans="1:21" ht="14.25" outlineLevel="3">
      <c r="A20" s="67" t="s">
        <v>26</v>
      </c>
      <c r="B20" s="22" t="s">
        <v>46</v>
      </c>
      <c r="C20" s="54" t="s">
        <v>47</v>
      </c>
      <c r="D20" s="64" t="s">
        <v>299</v>
      </c>
      <c r="E20" s="45">
        <f>0</f>
        <v>0</v>
      </c>
      <c r="F20" s="27">
        <f>0</f>
        <v>0</v>
      </c>
      <c r="G20" s="27">
        <f>0</f>
        <v>0</v>
      </c>
      <c r="H20" s="28">
        <f>0</f>
        <v>0</v>
      </c>
      <c r="I20" s="29">
        <f>0</f>
        <v>0</v>
      </c>
      <c r="J20" s="30">
        <f>0</f>
        <v>0</v>
      </c>
      <c r="K20" s="30">
        <f>0</f>
        <v>0</v>
      </c>
      <c r="L20" s="30">
        <f>10766574.43</f>
        <v>10766574.43</v>
      </c>
      <c r="M20" s="30">
        <f>10543564.86</f>
        <v>10543564.86</v>
      </c>
      <c r="N20" s="30">
        <f>10320596.3</f>
        <v>10320596.3</v>
      </c>
      <c r="O20" s="30">
        <f>10096624.75</f>
        <v>10096624.75</v>
      </c>
      <c r="P20" s="30">
        <f>9873656.18</f>
        <v>9873656.18</v>
      </c>
      <c r="Q20" s="30">
        <f>9649684.63</f>
        <v>9649684.63</v>
      </c>
      <c r="R20" s="30">
        <f>9426716.06</f>
        <v>9426716.06</v>
      </c>
      <c r="S20" s="30">
        <f>9202730.51</f>
        <v>9202730.51</v>
      </c>
      <c r="T20" s="30">
        <f>8980980.93</f>
        <v>8980980.93</v>
      </c>
      <c r="U20" s="30">
        <f>8757964.38</f>
        <v>8757964.38</v>
      </c>
    </row>
    <row r="21" spans="1:21" ht="24" outlineLevel="4">
      <c r="A21" s="67" t="s">
        <v>26</v>
      </c>
      <c r="B21" s="22" t="s">
        <v>48</v>
      </c>
      <c r="C21" s="54" t="s">
        <v>206</v>
      </c>
      <c r="D21" s="65" t="s">
        <v>298</v>
      </c>
      <c r="E21" s="45">
        <f>0</f>
        <v>0</v>
      </c>
      <c r="F21" s="27">
        <f>0</f>
        <v>0</v>
      </c>
      <c r="G21" s="27">
        <f>0</f>
        <v>0</v>
      </c>
      <c r="H21" s="28">
        <f>0</f>
        <v>0</v>
      </c>
      <c r="I21" s="29">
        <f>0</f>
        <v>0</v>
      </c>
      <c r="J21" s="30">
        <f>0</f>
        <v>0</v>
      </c>
      <c r="K21" s="30">
        <f>0</f>
        <v>0</v>
      </c>
      <c r="L21" s="30">
        <f>0</f>
        <v>0</v>
      </c>
      <c r="M21" s="30">
        <f>0</f>
        <v>0</v>
      </c>
      <c r="N21" s="30">
        <f>0</f>
        <v>0</v>
      </c>
      <c r="O21" s="30">
        <f>0</f>
        <v>0</v>
      </c>
      <c r="P21" s="30">
        <f>0</f>
        <v>0</v>
      </c>
      <c r="Q21" s="30">
        <f>0</f>
        <v>0</v>
      </c>
      <c r="R21" s="30">
        <f>0</f>
        <v>0</v>
      </c>
      <c r="S21" s="30">
        <f>0</f>
        <v>0</v>
      </c>
      <c r="T21" s="30">
        <f>0</f>
        <v>0</v>
      </c>
      <c r="U21" s="30">
        <f>0</f>
        <v>0</v>
      </c>
    </row>
    <row r="22" spans="2:21" ht="36" outlineLevel="3">
      <c r="B22" s="22" t="s">
        <v>49</v>
      </c>
      <c r="C22" s="54" t="s">
        <v>207</v>
      </c>
      <c r="D22" s="64" t="s">
        <v>322</v>
      </c>
      <c r="E22" s="45">
        <f>0</f>
        <v>0</v>
      </c>
      <c r="F22" s="27">
        <f>0</f>
        <v>0</v>
      </c>
      <c r="G22" s="27">
        <f>0</f>
        <v>0</v>
      </c>
      <c r="H22" s="28">
        <f>0</f>
        <v>0</v>
      </c>
      <c r="I22" s="29">
        <f>0</f>
        <v>0</v>
      </c>
      <c r="J22" s="30">
        <f>0</f>
        <v>0</v>
      </c>
      <c r="K22" s="30">
        <f>0</f>
        <v>0</v>
      </c>
      <c r="L22" s="30">
        <f>0</f>
        <v>0</v>
      </c>
      <c r="M22" s="30">
        <f>0</f>
        <v>0</v>
      </c>
      <c r="N22" s="30">
        <f>0</f>
        <v>0</v>
      </c>
      <c r="O22" s="30">
        <f>0</f>
        <v>0</v>
      </c>
      <c r="P22" s="30">
        <f>0</f>
        <v>0</v>
      </c>
      <c r="Q22" s="30">
        <f>0</f>
        <v>0</v>
      </c>
      <c r="R22" s="30">
        <f>0</f>
        <v>0</v>
      </c>
      <c r="S22" s="30">
        <f>0</f>
        <v>0</v>
      </c>
      <c r="T22" s="30">
        <f>0</f>
        <v>0</v>
      </c>
      <c r="U22" s="30">
        <f>0</f>
        <v>0</v>
      </c>
    </row>
    <row r="23" spans="1:21" ht="14.25" outlineLevel="3">
      <c r="A23" s="67" t="s">
        <v>26</v>
      </c>
      <c r="B23" s="22" t="s">
        <v>50</v>
      </c>
      <c r="C23" s="54" t="s">
        <v>208</v>
      </c>
      <c r="D23" s="64" t="s">
        <v>177</v>
      </c>
      <c r="E23" s="45">
        <f>4192438.07</f>
        <v>4192438.07</v>
      </c>
      <c r="F23" s="27">
        <f>5127565.18</f>
        <v>5127565.18</v>
      </c>
      <c r="G23" s="27">
        <f>7250000</f>
        <v>7250000</v>
      </c>
      <c r="H23" s="28">
        <f>4189639.37</f>
        <v>4189639.37</v>
      </c>
      <c r="I23" s="29">
        <f>5350000</f>
        <v>5350000</v>
      </c>
      <c r="J23" s="30">
        <f>4700000</f>
        <v>4700000</v>
      </c>
      <c r="K23" s="30">
        <f>4600000</f>
        <v>4600000</v>
      </c>
      <c r="L23" s="30">
        <f>4000000</f>
        <v>4000000</v>
      </c>
      <c r="M23" s="30">
        <f>3300000</f>
        <v>3300000</v>
      </c>
      <c r="N23" s="30">
        <f>3000000</f>
        <v>3000000</v>
      </c>
      <c r="O23" s="30">
        <f>2300000</f>
        <v>2300000</v>
      </c>
      <c r="P23" s="30">
        <f>1400000</f>
        <v>1400000</v>
      </c>
      <c r="Q23" s="30">
        <f>700000</f>
        <v>700000</v>
      </c>
      <c r="R23" s="30">
        <f>300000</f>
        <v>300000</v>
      </c>
      <c r="S23" s="30">
        <f>150000</f>
        <v>150000</v>
      </c>
      <c r="T23" s="30">
        <f>100000</f>
        <v>100000</v>
      </c>
      <c r="U23" s="30">
        <f>50000</f>
        <v>50000</v>
      </c>
    </row>
    <row r="24" spans="1:21" ht="14.25" outlineLevel="4">
      <c r="A24" s="67" t="s">
        <v>26</v>
      </c>
      <c r="B24" s="22" t="s">
        <v>51</v>
      </c>
      <c r="C24" s="54" t="s">
        <v>209</v>
      </c>
      <c r="D24" s="65" t="s">
        <v>321</v>
      </c>
      <c r="E24" s="45">
        <f>4131238.07</f>
        <v>4131238.07</v>
      </c>
      <c r="F24" s="27">
        <f>5085565.18</f>
        <v>5085565.18</v>
      </c>
      <c r="G24" s="27">
        <f>7150000</f>
        <v>7150000</v>
      </c>
      <c r="H24" s="28">
        <f>4189639.37</f>
        <v>4189639.37</v>
      </c>
      <c r="I24" s="29">
        <f>5100000</f>
        <v>5100000</v>
      </c>
      <c r="J24" s="30">
        <f>4600000</f>
        <v>4600000</v>
      </c>
      <c r="K24" s="30">
        <f>4600000</f>
        <v>4600000</v>
      </c>
      <c r="L24" s="30">
        <f>4000000</f>
        <v>4000000</v>
      </c>
      <c r="M24" s="30">
        <f>3300000</f>
        <v>3300000</v>
      </c>
      <c r="N24" s="30">
        <f>3000000</f>
        <v>3000000</v>
      </c>
      <c r="O24" s="30">
        <f>2300000</f>
        <v>2300000</v>
      </c>
      <c r="P24" s="30">
        <f>1400000</f>
        <v>1400000</v>
      </c>
      <c r="Q24" s="30">
        <f>700000</f>
        <v>700000</v>
      </c>
      <c r="R24" s="30">
        <f>300000</f>
        <v>300000</v>
      </c>
      <c r="S24" s="30">
        <f>150000</f>
        <v>150000</v>
      </c>
      <c r="T24" s="30">
        <f>100000</f>
        <v>100000</v>
      </c>
      <c r="U24" s="30">
        <f>50000</f>
        <v>50000</v>
      </c>
    </row>
    <row r="25" spans="1:21" s="70" customFormat="1" ht="36" outlineLevel="5">
      <c r="A25" s="72" t="s">
        <v>26</v>
      </c>
      <c r="B25" s="22" t="s">
        <v>210</v>
      </c>
      <c r="C25" s="54" t="s">
        <v>211</v>
      </c>
      <c r="D25" s="81" t="s">
        <v>276</v>
      </c>
      <c r="E25" s="45">
        <f>0</f>
        <v>0</v>
      </c>
      <c r="F25" s="27">
        <f>0</f>
        <v>0</v>
      </c>
      <c r="G25" s="27">
        <f>0</f>
        <v>0</v>
      </c>
      <c r="H25" s="28">
        <f>0</f>
        <v>0</v>
      </c>
      <c r="I25" s="29">
        <f>0</f>
        <v>0</v>
      </c>
      <c r="J25" s="30">
        <f>0</f>
        <v>0</v>
      </c>
      <c r="K25" s="30">
        <f>0</f>
        <v>0</v>
      </c>
      <c r="L25" s="30">
        <f>0</f>
        <v>0</v>
      </c>
      <c r="M25" s="30">
        <f>0</f>
        <v>0</v>
      </c>
      <c r="N25" s="30">
        <f>0</f>
        <v>0</v>
      </c>
      <c r="O25" s="30">
        <f>0</f>
        <v>0</v>
      </c>
      <c r="P25" s="30">
        <f>0</f>
        <v>0</v>
      </c>
      <c r="Q25" s="30">
        <f>0</f>
        <v>0</v>
      </c>
      <c r="R25" s="30">
        <f>0</f>
        <v>0</v>
      </c>
      <c r="S25" s="30">
        <f>0</f>
        <v>0</v>
      </c>
      <c r="T25" s="30">
        <f>0</f>
        <v>0</v>
      </c>
      <c r="U25" s="30">
        <f>0</f>
        <v>0</v>
      </c>
    </row>
    <row r="26" spans="1:21" s="70" customFormat="1" ht="24" outlineLevel="5">
      <c r="A26" s="72" t="s">
        <v>26</v>
      </c>
      <c r="B26" s="22" t="s">
        <v>212</v>
      </c>
      <c r="C26" s="54" t="s">
        <v>213</v>
      </c>
      <c r="D26" s="81" t="s">
        <v>277</v>
      </c>
      <c r="E26" s="45">
        <f>0</f>
        <v>0</v>
      </c>
      <c r="F26" s="27">
        <f>0</f>
        <v>0</v>
      </c>
      <c r="G26" s="27">
        <f>0</f>
        <v>0</v>
      </c>
      <c r="H26" s="28">
        <f>0</f>
        <v>0</v>
      </c>
      <c r="I26" s="29">
        <f>0</f>
        <v>0</v>
      </c>
      <c r="J26" s="30">
        <f>0</f>
        <v>0</v>
      </c>
      <c r="K26" s="30">
        <f>0</f>
        <v>0</v>
      </c>
      <c r="L26" s="30">
        <f>0</f>
        <v>0</v>
      </c>
      <c r="M26" s="30">
        <f>0</f>
        <v>0</v>
      </c>
      <c r="N26" s="30">
        <f>0</f>
        <v>0</v>
      </c>
      <c r="O26" s="30">
        <f>0</f>
        <v>0</v>
      </c>
      <c r="P26" s="30">
        <f>0</f>
        <v>0</v>
      </c>
      <c r="Q26" s="30">
        <f>0</f>
        <v>0</v>
      </c>
      <c r="R26" s="30">
        <f>0</f>
        <v>0</v>
      </c>
      <c r="S26" s="30">
        <f>0</f>
        <v>0</v>
      </c>
      <c r="T26" s="30">
        <f>0</f>
        <v>0</v>
      </c>
      <c r="U26" s="30">
        <f>0</f>
        <v>0</v>
      </c>
    </row>
    <row r="27" spans="1:21" ht="14.25" outlineLevel="2">
      <c r="A27" s="67" t="s">
        <v>26</v>
      </c>
      <c r="B27" s="22" t="s">
        <v>126</v>
      </c>
      <c r="C27" s="54" t="s">
        <v>52</v>
      </c>
      <c r="D27" s="63" t="s">
        <v>18</v>
      </c>
      <c r="E27" s="45">
        <f>52814271.08</f>
        <v>52814271.08</v>
      </c>
      <c r="F27" s="27">
        <f>47301107.88</f>
        <v>47301107.88</v>
      </c>
      <c r="G27" s="27">
        <f>47120775.93</f>
        <v>47120775.93</v>
      </c>
      <c r="H27" s="28">
        <f>46119265.87</f>
        <v>46119265.87</v>
      </c>
      <c r="I27" s="29">
        <f>60257244.81</f>
        <v>60257244.81</v>
      </c>
      <c r="J27" s="30">
        <f>33452841.64</f>
        <v>33452841.64</v>
      </c>
      <c r="K27" s="30">
        <f>20630417</f>
        <v>20630417</v>
      </c>
      <c r="L27" s="30">
        <f>22618323</f>
        <v>22618323</v>
      </c>
      <c r="M27" s="30">
        <f>23787454</f>
        <v>23787454</v>
      </c>
      <c r="N27" s="30">
        <f>23787454</f>
        <v>23787454</v>
      </c>
      <c r="O27" s="30">
        <f>21309454</f>
        <v>21309454</v>
      </c>
      <c r="P27" s="30">
        <f>22749454</f>
        <v>22749454</v>
      </c>
      <c r="Q27" s="30">
        <f>27933454</f>
        <v>27933454</v>
      </c>
      <c r="R27" s="30">
        <f>36109454</f>
        <v>36109454</v>
      </c>
      <c r="S27" s="30">
        <f>37291948</f>
        <v>37291948</v>
      </c>
      <c r="T27" s="30">
        <f>37352770</f>
        <v>37352770</v>
      </c>
      <c r="U27" s="30">
        <f>38791070</f>
        <v>38791070</v>
      </c>
    </row>
    <row r="28" spans="1:22" ht="15" outlineLevel="1">
      <c r="A28" s="67" t="s">
        <v>26</v>
      </c>
      <c r="B28" s="21">
        <v>3</v>
      </c>
      <c r="C28" s="78" t="s">
        <v>19</v>
      </c>
      <c r="D28" s="62" t="s">
        <v>19</v>
      </c>
      <c r="E28" s="44">
        <f>-11642920.83</f>
        <v>-11642920.83</v>
      </c>
      <c r="F28" s="23">
        <f>-1907381.32</f>
        <v>-1907381.32</v>
      </c>
      <c r="G28" s="23">
        <f>-6586275.16</f>
        <v>-6586275.16</v>
      </c>
      <c r="H28" s="24">
        <f>-9966922.03</f>
        <v>-9966922.03</v>
      </c>
      <c r="I28" s="25">
        <f>-13727754.08</f>
        <v>-13727754.08</v>
      </c>
      <c r="J28" s="26">
        <f>4428554.72</f>
        <v>4428554.72</v>
      </c>
      <c r="K28" s="26">
        <f>15449096</f>
        <v>15449096</v>
      </c>
      <c r="L28" s="26">
        <f>17449096</f>
        <v>17449096</v>
      </c>
      <c r="M28" s="26">
        <f>15226516</f>
        <v>15226516</v>
      </c>
      <c r="N28" s="26">
        <f>15226516</f>
        <v>15226516</v>
      </c>
      <c r="O28" s="26">
        <f>17704516</f>
        <v>17704516</v>
      </c>
      <c r="P28" s="26">
        <f>16264516</f>
        <v>16264516</v>
      </c>
      <c r="Q28" s="26">
        <f>11080516</f>
        <v>11080516</v>
      </c>
      <c r="R28" s="26">
        <f>2904516</f>
        <v>2904516</v>
      </c>
      <c r="S28" s="26">
        <f>1722022</f>
        <v>1722022</v>
      </c>
      <c r="T28" s="26">
        <f>1661200</f>
        <v>1661200</v>
      </c>
      <c r="U28" s="26">
        <f>222900</f>
        <v>222900</v>
      </c>
      <c r="V28" s="19"/>
    </row>
    <row r="29" spans="1:22" ht="15" outlineLevel="1">
      <c r="A29" s="67" t="s">
        <v>26</v>
      </c>
      <c r="B29" s="21">
        <v>4</v>
      </c>
      <c r="C29" s="78" t="s">
        <v>20</v>
      </c>
      <c r="D29" s="62" t="s">
        <v>20</v>
      </c>
      <c r="E29" s="44">
        <f>36770000</f>
        <v>36770000</v>
      </c>
      <c r="F29" s="23">
        <f>47799064</f>
        <v>47799064</v>
      </c>
      <c r="G29" s="23">
        <f>30172000</f>
        <v>30172000</v>
      </c>
      <c r="H29" s="24">
        <f>30172000</f>
        <v>30172000</v>
      </c>
      <c r="I29" s="25">
        <f>27168179</f>
        <v>27168179</v>
      </c>
      <c r="J29" s="26">
        <f>13000000</f>
        <v>13000000</v>
      </c>
      <c r="K29" s="26">
        <f>0</f>
        <v>0</v>
      </c>
      <c r="L29" s="26">
        <f>0</f>
        <v>0</v>
      </c>
      <c r="M29" s="26">
        <f>0</f>
        <v>0</v>
      </c>
      <c r="N29" s="26">
        <f>0</f>
        <v>0</v>
      </c>
      <c r="O29" s="26">
        <f>0</f>
        <v>0</v>
      </c>
      <c r="P29" s="26">
        <f>0</f>
        <v>0</v>
      </c>
      <c r="Q29" s="26">
        <f>0</f>
        <v>0</v>
      </c>
      <c r="R29" s="26">
        <f>0</f>
        <v>0</v>
      </c>
      <c r="S29" s="26">
        <f>0</f>
        <v>0</v>
      </c>
      <c r="T29" s="26">
        <f>0</f>
        <v>0</v>
      </c>
      <c r="U29" s="26">
        <f>0</f>
        <v>0</v>
      </c>
      <c r="V29" s="19"/>
    </row>
    <row r="30" spans="1:21" ht="14.25" outlineLevel="2">
      <c r="A30" s="67" t="s">
        <v>26</v>
      </c>
      <c r="B30" s="22" t="s">
        <v>127</v>
      </c>
      <c r="C30" s="54" t="s">
        <v>53</v>
      </c>
      <c r="D30" s="63" t="s">
        <v>205</v>
      </c>
      <c r="E30" s="45">
        <f>0</f>
        <v>0</v>
      </c>
      <c r="F30" s="27">
        <f>0</f>
        <v>0</v>
      </c>
      <c r="G30" s="27">
        <f>0</f>
        <v>0</v>
      </c>
      <c r="H30" s="28">
        <f>0</f>
        <v>0</v>
      </c>
      <c r="I30" s="29">
        <f>0</f>
        <v>0</v>
      </c>
      <c r="J30" s="30">
        <f>0</f>
        <v>0</v>
      </c>
      <c r="K30" s="30">
        <f>0</f>
        <v>0</v>
      </c>
      <c r="L30" s="30">
        <f>0</f>
        <v>0</v>
      </c>
      <c r="M30" s="30">
        <f>0</f>
        <v>0</v>
      </c>
      <c r="N30" s="30">
        <f>0</f>
        <v>0</v>
      </c>
      <c r="O30" s="30">
        <f>0</f>
        <v>0</v>
      </c>
      <c r="P30" s="30">
        <f>0</f>
        <v>0</v>
      </c>
      <c r="Q30" s="30">
        <f>0</f>
        <v>0</v>
      </c>
      <c r="R30" s="30">
        <f>0</f>
        <v>0</v>
      </c>
      <c r="S30" s="30">
        <f>0</f>
        <v>0</v>
      </c>
      <c r="T30" s="30">
        <f>0</f>
        <v>0</v>
      </c>
      <c r="U30" s="30">
        <f>0</f>
        <v>0</v>
      </c>
    </row>
    <row r="31" spans="1:21" ht="14.25" outlineLevel="3">
      <c r="A31" s="67" t="s">
        <v>26</v>
      </c>
      <c r="B31" s="22" t="s">
        <v>54</v>
      </c>
      <c r="C31" s="54" t="s">
        <v>55</v>
      </c>
      <c r="D31" s="64" t="s">
        <v>319</v>
      </c>
      <c r="E31" s="45">
        <f>0</f>
        <v>0</v>
      </c>
      <c r="F31" s="27">
        <f>0</f>
        <v>0</v>
      </c>
      <c r="G31" s="27">
        <f>0</f>
        <v>0</v>
      </c>
      <c r="H31" s="28">
        <f>0</f>
        <v>0</v>
      </c>
      <c r="I31" s="29">
        <f>0</f>
        <v>0</v>
      </c>
      <c r="J31" s="30">
        <f>0</f>
        <v>0</v>
      </c>
      <c r="K31" s="30">
        <f>0</f>
        <v>0</v>
      </c>
      <c r="L31" s="30">
        <f>0</f>
        <v>0</v>
      </c>
      <c r="M31" s="30">
        <f>0</f>
        <v>0</v>
      </c>
      <c r="N31" s="30">
        <f>0</f>
        <v>0</v>
      </c>
      <c r="O31" s="30">
        <f>0</f>
        <v>0</v>
      </c>
      <c r="P31" s="30">
        <f>0</f>
        <v>0</v>
      </c>
      <c r="Q31" s="30">
        <f>0</f>
        <v>0</v>
      </c>
      <c r="R31" s="30">
        <f>0</f>
        <v>0</v>
      </c>
      <c r="S31" s="30">
        <f>0</f>
        <v>0</v>
      </c>
      <c r="T31" s="30">
        <f>0</f>
        <v>0</v>
      </c>
      <c r="U31" s="30">
        <f>0</f>
        <v>0</v>
      </c>
    </row>
    <row r="32" spans="1:21" ht="14.25" outlineLevel="2">
      <c r="A32" s="67" t="s">
        <v>26</v>
      </c>
      <c r="B32" s="22" t="s">
        <v>128</v>
      </c>
      <c r="C32" s="54" t="s">
        <v>56</v>
      </c>
      <c r="D32" s="63" t="s">
        <v>204</v>
      </c>
      <c r="E32" s="45">
        <f>2770000</f>
        <v>2770000</v>
      </c>
      <c r="F32" s="27">
        <f>5799064</f>
        <v>5799064</v>
      </c>
      <c r="G32" s="27">
        <f>10900000</f>
        <v>10900000</v>
      </c>
      <c r="H32" s="28">
        <f>10900000</f>
        <v>10900000</v>
      </c>
      <c r="I32" s="29">
        <f>10700000</f>
        <v>10700000</v>
      </c>
      <c r="J32" s="30">
        <f>0</f>
        <v>0</v>
      </c>
      <c r="K32" s="30">
        <f>0</f>
        <v>0</v>
      </c>
      <c r="L32" s="30">
        <f>0</f>
        <v>0</v>
      </c>
      <c r="M32" s="30">
        <f>0</f>
        <v>0</v>
      </c>
      <c r="N32" s="30">
        <f>0</f>
        <v>0</v>
      </c>
      <c r="O32" s="30">
        <f>0</f>
        <v>0</v>
      </c>
      <c r="P32" s="30">
        <f>0</f>
        <v>0</v>
      </c>
      <c r="Q32" s="30">
        <f>0</f>
        <v>0</v>
      </c>
      <c r="R32" s="30">
        <f>0</f>
        <v>0</v>
      </c>
      <c r="S32" s="30">
        <f>0</f>
        <v>0</v>
      </c>
      <c r="T32" s="30">
        <f>0</f>
        <v>0</v>
      </c>
      <c r="U32" s="30">
        <f>0</f>
        <v>0</v>
      </c>
    </row>
    <row r="33" spans="1:21" ht="14.25" outlineLevel="3">
      <c r="A33" s="67" t="s">
        <v>26</v>
      </c>
      <c r="B33" s="22" t="s">
        <v>57</v>
      </c>
      <c r="C33" s="54" t="s">
        <v>58</v>
      </c>
      <c r="D33" s="64" t="s">
        <v>319</v>
      </c>
      <c r="E33" s="45">
        <f>0</f>
        <v>0</v>
      </c>
      <c r="F33" s="27">
        <f>0</f>
        <v>0</v>
      </c>
      <c r="G33" s="27">
        <f>6586275.16</f>
        <v>6586275.16</v>
      </c>
      <c r="H33" s="28">
        <f>9966922.03</f>
        <v>9966922.03</v>
      </c>
      <c r="I33" s="29">
        <f>10700000</f>
        <v>10700000</v>
      </c>
      <c r="J33" s="30">
        <f>0</f>
        <v>0</v>
      </c>
      <c r="K33" s="30">
        <f>0</f>
        <v>0</v>
      </c>
      <c r="L33" s="30">
        <f>0</f>
        <v>0</v>
      </c>
      <c r="M33" s="30">
        <f>0</f>
        <v>0</v>
      </c>
      <c r="N33" s="30">
        <f>0</f>
        <v>0</v>
      </c>
      <c r="O33" s="30">
        <f>0</f>
        <v>0</v>
      </c>
      <c r="P33" s="30">
        <f>0</f>
        <v>0</v>
      </c>
      <c r="Q33" s="30">
        <f>0</f>
        <v>0</v>
      </c>
      <c r="R33" s="30">
        <f>0</f>
        <v>0</v>
      </c>
      <c r="S33" s="30">
        <f>0</f>
        <v>0</v>
      </c>
      <c r="T33" s="30">
        <f>0</f>
        <v>0</v>
      </c>
      <c r="U33" s="30">
        <f>0</f>
        <v>0</v>
      </c>
    </row>
    <row r="34" spans="1:21" ht="14.25" outlineLevel="2">
      <c r="A34" s="67" t="s">
        <v>26</v>
      </c>
      <c r="B34" s="22" t="s">
        <v>129</v>
      </c>
      <c r="C34" s="54" t="s">
        <v>59</v>
      </c>
      <c r="D34" s="63" t="s">
        <v>320</v>
      </c>
      <c r="E34" s="45">
        <f>34000000</f>
        <v>34000000</v>
      </c>
      <c r="F34" s="27">
        <f>42000000</f>
        <v>42000000</v>
      </c>
      <c r="G34" s="27">
        <f>19272000</f>
        <v>19272000</v>
      </c>
      <c r="H34" s="28">
        <f>19272000</f>
        <v>19272000</v>
      </c>
      <c r="I34" s="29">
        <f>16468179</f>
        <v>16468179</v>
      </c>
      <c r="J34" s="30">
        <f>13000000</f>
        <v>13000000</v>
      </c>
      <c r="K34" s="30">
        <f>0</f>
        <v>0</v>
      </c>
      <c r="L34" s="30">
        <f>0</f>
        <v>0</v>
      </c>
      <c r="M34" s="30">
        <f>0</f>
        <v>0</v>
      </c>
      <c r="N34" s="30">
        <f>0</f>
        <v>0</v>
      </c>
      <c r="O34" s="30">
        <f>0</f>
        <v>0</v>
      </c>
      <c r="P34" s="30">
        <f>0</f>
        <v>0</v>
      </c>
      <c r="Q34" s="30">
        <f>0</f>
        <v>0</v>
      </c>
      <c r="R34" s="30">
        <f>0</f>
        <v>0</v>
      </c>
      <c r="S34" s="30">
        <f>0</f>
        <v>0</v>
      </c>
      <c r="T34" s="30">
        <f>0</f>
        <v>0</v>
      </c>
      <c r="U34" s="30">
        <f>0</f>
        <v>0</v>
      </c>
    </row>
    <row r="35" spans="1:21" ht="14.25" outlineLevel="3">
      <c r="A35" s="67" t="s">
        <v>26</v>
      </c>
      <c r="B35" s="22" t="s">
        <v>60</v>
      </c>
      <c r="C35" s="54" t="s">
        <v>58</v>
      </c>
      <c r="D35" s="64" t="s">
        <v>319</v>
      </c>
      <c r="E35" s="45">
        <f>11642920.83</f>
        <v>11642920.83</v>
      </c>
      <c r="F35" s="27">
        <f>23619995.24</f>
        <v>23619995.24</v>
      </c>
      <c r="G35" s="27">
        <f>0</f>
        <v>0</v>
      </c>
      <c r="H35" s="28">
        <f>0</f>
        <v>0</v>
      </c>
      <c r="I35" s="29">
        <f>3027754.08</f>
        <v>3027754.08</v>
      </c>
      <c r="J35" s="30">
        <f>0</f>
        <v>0</v>
      </c>
      <c r="K35" s="30">
        <f>0</f>
        <v>0</v>
      </c>
      <c r="L35" s="30">
        <f>0</f>
        <v>0</v>
      </c>
      <c r="M35" s="30">
        <f>0</f>
        <v>0</v>
      </c>
      <c r="N35" s="30">
        <f>0</f>
        <v>0</v>
      </c>
      <c r="O35" s="30">
        <f>0</f>
        <v>0</v>
      </c>
      <c r="P35" s="30">
        <f>0</f>
        <v>0</v>
      </c>
      <c r="Q35" s="30">
        <f>0</f>
        <v>0</v>
      </c>
      <c r="R35" s="30">
        <f>0</f>
        <v>0</v>
      </c>
      <c r="S35" s="30">
        <f>0</f>
        <v>0</v>
      </c>
      <c r="T35" s="30">
        <f>0</f>
        <v>0</v>
      </c>
      <c r="U35" s="30">
        <f>0</f>
        <v>0</v>
      </c>
    </row>
    <row r="36" spans="1:21" ht="14.25" outlineLevel="2">
      <c r="A36" s="67" t="s">
        <v>26</v>
      </c>
      <c r="B36" s="22" t="s">
        <v>130</v>
      </c>
      <c r="C36" s="54" t="s">
        <v>61</v>
      </c>
      <c r="D36" s="63" t="s">
        <v>61</v>
      </c>
      <c r="E36" s="45">
        <f>0</f>
        <v>0</v>
      </c>
      <c r="F36" s="27">
        <f>0</f>
        <v>0</v>
      </c>
      <c r="G36" s="27">
        <f>0</f>
        <v>0</v>
      </c>
      <c r="H36" s="28">
        <f>0</f>
        <v>0</v>
      </c>
      <c r="I36" s="29">
        <f>0</f>
        <v>0</v>
      </c>
      <c r="J36" s="30">
        <f>0</f>
        <v>0</v>
      </c>
      <c r="K36" s="30">
        <f>0</f>
        <v>0</v>
      </c>
      <c r="L36" s="30">
        <f>0</f>
        <v>0</v>
      </c>
      <c r="M36" s="30">
        <f>0</f>
        <v>0</v>
      </c>
      <c r="N36" s="30">
        <f>0</f>
        <v>0</v>
      </c>
      <c r="O36" s="30">
        <f>0</f>
        <v>0</v>
      </c>
      <c r="P36" s="30">
        <f>0</f>
        <v>0</v>
      </c>
      <c r="Q36" s="30">
        <f>0</f>
        <v>0</v>
      </c>
      <c r="R36" s="30">
        <f>0</f>
        <v>0</v>
      </c>
      <c r="S36" s="30">
        <f>0</f>
        <v>0</v>
      </c>
      <c r="T36" s="30">
        <f>0</f>
        <v>0</v>
      </c>
      <c r="U36" s="30">
        <f>0</f>
        <v>0</v>
      </c>
    </row>
    <row r="37" spans="1:21" ht="14.25" outlineLevel="3">
      <c r="A37" s="67" t="s">
        <v>26</v>
      </c>
      <c r="B37" s="22" t="s">
        <v>62</v>
      </c>
      <c r="C37" s="54" t="s">
        <v>58</v>
      </c>
      <c r="D37" s="64" t="s">
        <v>319</v>
      </c>
      <c r="E37" s="45">
        <f>0</f>
        <v>0</v>
      </c>
      <c r="F37" s="27">
        <f>0</f>
        <v>0</v>
      </c>
      <c r="G37" s="27">
        <f>0</f>
        <v>0</v>
      </c>
      <c r="H37" s="28">
        <f>0</f>
        <v>0</v>
      </c>
      <c r="I37" s="29">
        <f>0</f>
        <v>0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30">
        <f>0</f>
        <v>0</v>
      </c>
      <c r="Q37" s="30">
        <f>0</f>
        <v>0</v>
      </c>
      <c r="R37" s="30">
        <f>0</f>
        <v>0</v>
      </c>
      <c r="S37" s="30">
        <f>0</f>
        <v>0</v>
      </c>
      <c r="T37" s="30">
        <f>0</f>
        <v>0</v>
      </c>
      <c r="U37" s="30">
        <f>0</f>
        <v>0</v>
      </c>
    </row>
    <row r="38" spans="1:22" ht="15" outlineLevel="1">
      <c r="A38" s="67" t="s">
        <v>26</v>
      </c>
      <c r="B38" s="21">
        <v>5</v>
      </c>
      <c r="C38" s="78" t="s">
        <v>63</v>
      </c>
      <c r="D38" s="62" t="s">
        <v>63</v>
      </c>
      <c r="E38" s="44">
        <f>19265684.84</f>
        <v>19265684.84</v>
      </c>
      <c r="F38" s="23">
        <f>24179068.76</f>
        <v>24179068.76</v>
      </c>
      <c r="G38" s="23">
        <f>23585724.84</f>
        <v>23585724.84</v>
      </c>
      <c r="H38" s="24">
        <f>23585724.84</f>
        <v>23585724.84</v>
      </c>
      <c r="I38" s="25">
        <f>13440424.92</f>
        <v>13440424.92</v>
      </c>
      <c r="J38" s="26">
        <f>17428554.72</f>
        <v>17428554.72</v>
      </c>
      <c r="K38" s="26">
        <f>15449096</f>
        <v>15449096</v>
      </c>
      <c r="L38" s="26">
        <f>17449096</f>
        <v>17449096</v>
      </c>
      <c r="M38" s="26">
        <f>15226516</f>
        <v>15226516</v>
      </c>
      <c r="N38" s="26">
        <f>15226516</f>
        <v>15226516</v>
      </c>
      <c r="O38" s="26">
        <f>17704516</f>
        <v>17704516</v>
      </c>
      <c r="P38" s="26">
        <f>16264516</f>
        <v>16264516</v>
      </c>
      <c r="Q38" s="26">
        <f>11080516</f>
        <v>11080516</v>
      </c>
      <c r="R38" s="26">
        <f>2904516</f>
        <v>2904516</v>
      </c>
      <c r="S38" s="26">
        <f>1722022</f>
        <v>1722022</v>
      </c>
      <c r="T38" s="26">
        <f>1661200</f>
        <v>1661200</v>
      </c>
      <c r="U38" s="26">
        <f>222900</f>
        <v>222900</v>
      </c>
      <c r="V38" s="19"/>
    </row>
    <row r="39" spans="1:21" ht="14.25" outlineLevel="2">
      <c r="A39" s="67" t="s">
        <v>26</v>
      </c>
      <c r="B39" s="22" t="s">
        <v>131</v>
      </c>
      <c r="C39" s="54" t="s">
        <v>64</v>
      </c>
      <c r="D39" s="63" t="s">
        <v>318</v>
      </c>
      <c r="E39" s="45">
        <f>19265684.84</f>
        <v>19265684.84</v>
      </c>
      <c r="F39" s="27">
        <f>24179068.76</f>
        <v>24179068.76</v>
      </c>
      <c r="G39" s="27">
        <f>23585724.84</f>
        <v>23585724.84</v>
      </c>
      <c r="H39" s="28">
        <f>23585724.84</f>
        <v>23585724.84</v>
      </c>
      <c r="I39" s="29">
        <f>13440424.92</f>
        <v>13440424.92</v>
      </c>
      <c r="J39" s="30">
        <f>17428554.72</f>
        <v>17428554.72</v>
      </c>
      <c r="K39" s="30">
        <f>15449096</f>
        <v>15449096</v>
      </c>
      <c r="L39" s="30">
        <f>17449096</f>
        <v>17449096</v>
      </c>
      <c r="M39" s="30">
        <f>15226516</f>
        <v>15226516</v>
      </c>
      <c r="N39" s="30">
        <f>15226516</f>
        <v>15226516</v>
      </c>
      <c r="O39" s="30">
        <f>17704516</f>
        <v>17704516</v>
      </c>
      <c r="P39" s="30">
        <f>16264516</f>
        <v>16264516</v>
      </c>
      <c r="Q39" s="30">
        <f>11080516</f>
        <v>11080516</v>
      </c>
      <c r="R39" s="30">
        <f>2904516</f>
        <v>2904516</v>
      </c>
      <c r="S39" s="30">
        <f>1722022</f>
        <v>1722022</v>
      </c>
      <c r="T39" s="30">
        <f>1661200</f>
        <v>1661200</v>
      </c>
      <c r="U39" s="30">
        <f>222900</f>
        <v>222900</v>
      </c>
    </row>
    <row r="40" spans="1:21" ht="24" outlineLevel="3">
      <c r="A40" s="67" t="s">
        <v>26</v>
      </c>
      <c r="B40" s="22" t="s">
        <v>65</v>
      </c>
      <c r="C40" s="54" t="s">
        <v>218</v>
      </c>
      <c r="D40" s="64" t="s">
        <v>317</v>
      </c>
      <c r="E40" s="45">
        <f>0</f>
        <v>0</v>
      </c>
      <c r="F40" s="27">
        <f>0</f>
        <v>0</v>
      </c>
      <c r="G40" s="27">
        <f>0</f>
        <v>0</v>
      </c>
      <c r="H40" s="28">
        <f>0</f>
        <v>0</v>
      </c>
      <c r="I40" s="29">
        <f>0</f>
        <v>0</v>
      </c>
      <c r="J40" s="30">
        <f>0</f>
        <v>0</v>
      </c>
      <c r="K40" s="30">
        <f>0</f>
        <v>0</v>
      </c>
      <c r="L40" s="30">
        <f>0</f>
        <v>0</v>
      </c>
      <c r="M40" s="30">
        <f>0</f>
        <v>0</v>
      </c>
      <c r="N40" s="30">
        <f>0</f>
        <v>0</v>
      </c>
      <c r="O40" s="30">
        <f>0</f>
        <v>0</v>
      </c>
      <c r="P40" s="30">
        <f>0</f>
        <v>0</v>
      </c>
      <c r="Q40" s="30">
        <f>0</f>
        <v>0</v>
      </c>
      <c r="R40" s="30">
        <f>0</f>
        <v>0</v>
      </c>
      <c r="S40" s="30">
        <f>0</f>
        <v>0</v>
      </c>
      <c r="T40" s="30">
        <f>0</f>
        <v>0</v>
      </c>
      <c r="U40" s="30">
        <f>0</f>
        <v>0</v>
      </c>
    </row>
    <row r="41" spans="1:21" ht="14.25" outlineLevel="4">
      <c r="A41" s="67" t="s">
        <v>26</v>
      </c>
      <c r="B41" s="22" t="s">
        <v>66</v>
      </c>
      <c r="C41" s="54" t="s">
        <v>219</v>
      </c>
      <c r="D41" s="65" t="s">
        <v>316</v>
      </c>
      <c r="E41" s="45">
        <f>0</f>
        <v>0</v>
      </c>
      <c r="F41" s="27">
        <f>0</f>
        <v>0</v>
      </c>
      <c r="G41" s="27">
        <f>0</f>
        <v>0</v>
      </c>
      <c r="H41" s="28">
        <f>0</f>
        <v>0</v>
      </c>
      <c r="I41" s="29">
        <f>0</f>
        <v>0</v>
      </c>
      <c r="J41" s="30">
        <f>0</f>
        <v>0</v>
      </c>
      <c r="K41" s="30">
        <f>0</f>
        <v>0</v>
      </c>
      <c r="L41" s="30">
        <f>0</f>
        <v>0</v>
      </c>
      <c r="M41" s="30">
        <f>0</f>
        <v>0</v>
      </c>
      <c r="N41" s="30">
        <f>0</f>
        <v>0</v>
      </c>
      <c r="O41" s="30">
        <f>0</f>
        <v>0</v>
      </c>
      <c r="P41" s="30">
        <f>0</f>
        <v>0</v>
      </c>
      <c r="Q41" s="30">
        <f>0</f>
        <v>0</v>
      </c>
      <c r="R41" s="30">
        <f>0</f>
        <v>0</v>
      </c>
      <c r="S41" s="30">
        <f>0</f>
        <v>0</v>
      </c>
      <c r="T41" s="30">
        <f>0</f>
        <v>0</v>
      </c>
      <c r="U41" s="30">
        <f>0</f>
        <v>0</v>
      </c>
    </row>
    <row r="42" spans="1:21" s="70" customFormat="1" ht="14.25" outlineLevel="4">
      <c r="A42" s="72" t="s">
        <v>26</v>
      </c>
      <c r="B42" s="22" t="s">
        <v>220</v>
      </c>
      <c r="C42" s="54" t="s">
        <v>221</v>
      </c>
      <c r="D42" s="65" t="s">
        <v>315</v>
      </c>
      <c r="E42" s="45">
        <f>0</f>
        <v>0</v>
      </c>
      <c r="F42" s="27">
        <f>0</f>
        <v>0</v>
      </c>
      <c r="G42" s="27">
        <f>0</f>
        <v>0</v>
      </c>
      <c r="H42" s="28">
        <f>0</f>
        <v>0</v>
      </c>
      <c r="I42" s="29">
        <f>0</f>
        <v>0</v>
      </c>
      <c r="J42" s="30">
        <f>0</f>
        <v>0</v>
      </c>
      <c r="K42" s="30">
        <f>0</f>
        <v>0</v>
      </c>
      <c r="L42" s="30">
        <f>0</f>
        <v>0</v>
      </c>
      <c r="M42" s="30">
        <f>0</f>
        <v>0</v>
      </c>
      <c r="N42" s="30">
        <f>0</f>
        <v>0</v>
      </c>
      <c r="O42" s="30">
        <f>0</f>
        <v>0</v>
      </c>
      <c r="P42" s="30">
        <f>0</f>
        <v>0</v>
      </c>
      <c r="Q42" s="30">
        <f>0</f>
        <v>0</v>
      </c>
      <c r="R42" s="30">
        <f>0</f>
        <v>0</v>
      </c>
      <c r="S42" s="30">
        <f>0</f>
        <v>0</v>
      </c>
      <c r="T42" s="30">
        <f>0</f>
        <v>0</v>
      </c>
      <c r="U42" s="30">
        <f>0</f>
        <v>0</v>
      </c>
    </row>
    <row r="43" spans="1:21" s="70" customFormat="1" ht="14.25" outlineLevel="4">
      <c r="A43" s="72" t="s">
        <v>26</v>
      </c>
      <c r="B43" s="22" t="s">
        <v>222</v>
      </c>
      <c r="C43" s="54" t="s">
        <v>223</v>
      </c>
      <c r="D43" s="65" t="s">
        <v>314</v>
      </c>
      <c r="E43" s="45">
        <f>0</f>
        <v>0</v>
      </c>
      <c r="F43" s="27">
        <f>0</f>
        <v>0</v>
      </c>
      <c r="G43" s="27">
        <f>0</f>
        <v>0</v>
      </c>
      <c r="H43" s="28">
        <f>0</f>
        <v>0</v>
      </c>
      <c r="I43" s="29">
        <f>0</f>
        <v>0</v>
      </c>
      <c r="J43" s="30">
        <f>0</f>
        <v>0</v>
      </c>
      <c r="K43" s="30">
        <f>0</f>
        <v>0</v>
      </c>
      <c r="L43" s="30">
        <f>0</f>
        <v>0</v>
      </c>
      <c r="M43" s="30">
        <f>0</f>
        <v>0</v>
      </c>
      <c r="N43" s="30">
        <f>0</f>
        <v>0</v>
      </c>
      <c r="O43" s="30">
        <f>0</f>
        <v>0</v>
      </c>
      <c r="P43" s="30">
        <f>0</f>
        <v>0</v>
      </c>
      <c r="Q43" s="30">
        <f>0</f>
        <v>0</v>
      </c>
      <c r="R43" s="30">
        <f>0</f>
        <v>0</v>
      </c>
      <c r="S43" s="30">
        <f>0</f>
        <v>0</v>
      </c>
      <c r="T43" s="30">
        <f>0</f>
        <v>0</v>
      </c>
      <c r="U43" s="30">
        <f>0</f>
        <v>0</v>
      </c>
    </row>
    <row r="44" spans="2:21" ht="14.25" outlineLevel="2">
      <c r="B44" s="22" t="s">
        <v>132</v>
      </c>
      <c r="C44" s="54" t="s">
        <v>67</v>
      </c>
      <c r="D44" s="63" t="s">
        <v>67</v>
      </c>
      <c r="E44" s="45">
        <f>0</f>
        <v>0</v>
      </c>
      <c r="F44" s="27">
        <f>0</f>
        <v>0</v>
      </c>
      <c r="G44" s="27">
        <f>0</f>
        <v>0</v>
      </c>
      <c r="H44" s="28">
        <f>0</f>
        <v>0</v>
      </c>
      <c r="I44" s="29">
        <f>0</f>
        <v>0</v>
      </c>
      <c r="J44" s="30">
        <f>0</f>
        <v>0</v>
      </c>
      <c r="K44" s="30">
        <f>0</f>
        <v>0</v>
      </c>
      <c r="L44" s="30">
        <f>0</f>
        <v>0</v>
      </c>
      <c r="M44" s="30">
        <f>0</f>
        <v>0</v>
      </c>
      <c r="N44" s="30">
        <f>0</f>
        <v>0</v>
      </c>
      <c r="O44" s="30">
        <f>0</f>
        <v>0</v>
      </c>
      <c r="P44" s="30">
        <f>0</f>
        <v>0</v>
      </c>
      <c r="Q44" s="30">
        <f>0</f>
        <v>0</v>
      </c>
      <c r="R44" s="30">
        <f>0</f>
        <v>0</v>
      </c>
      <c r="S44" s="30">
        <f>0</f>
        <v>0</v>
      </c>
      <c r="T44" s="30">
        <f>0</f>
        <v>0</v>
      </c>
      <c r="U44" s="30">
        <f>0</f>
        <v>0</v>
      </c>
    </row>
    <row r="45" spans="1:22" ht="15" outlineLevel="1">
      <c r="A45" s="67" t="s">
        <v>26</v>
      </c>
      <c r="B45" s="21">
        <v>6</v>
      </c>
      <c r="C45" s="78" t="s">
        <v>23</v>
      </c>
      <c r="D45" s="62" t="s">
        <v>23</v>
      </c>
      <c r="E45" s="44">
        <f>102898340.24</f>
        <v>102898340.24</v>
      </c>
      <c r="F45" s="23">
        <f>120625935.48</f>
        <v>120625935.48</v>
      </c>
      <c r="G45" s="23">
        <f>116312210.64</f>
        <v>116312210.64</v>
      </c>
      <c r="H45" s="24">
        <f>116312210.64</f>
        <v>116312210.64</v>
      </c>
      <c r="I45" s="25">
        <f>119339964.72</f>
        <v>119339964.72</v>
      </c>
      <c r="J45" s="26">
        <f>114911410</f>
        <v>114911410</v>
      </c>
      <c r="K45" s="26">
        <f>99462314</f>
        <v>99462314</v>
      </c>
      <c r="L45" s="26">
        <f>82013218</f>
        <v>82013218</v>
      </c>
      <c r="M45" s="26">
        <f>66786702</f>
        <v>66786702</v>
      </c>
      <c r="N45" s="26">
        <f>51560186</f>
        <v>51560186</v>
      </c>
      <c r="O45" s="26">
        <f>33855670</f>
        <v>33855670</v>
      </c>
      <c r="P45" s="26">
        <f>17591154</f>
        <v>17591154</v>
      </c>
      <c r="Q45" s="26">
        <f>6510638</f>
        <v>6510638</v>
      </c>
      <c r="R45" s="26">
        <f>3606122</f>
        <v>3606122</v>
      </c>
      <c r="S45" s="26">
        <f>1884100</f>
        <v>1884100</v>
      </c>
      <c r="T45" s="26">
        <f>222900</f>
        <v>222900</v>
      </c>
      <c r="U45" s="26">
        <f>0</f>
        <v>0</v>
      </c>
      <c r="V45" s="19"/>
    </row>
    <row r="46" spans="2:22" ht="24" outlineLevel="1">
      <c r="B46" s="21">
        <v>7</v>
      </c>
      <c r="C46" s="78" t="s">
        <v>68</v>
      </c>
      <c r="D46" s="62" t="s">
        <v>68</v>
      </c>
      <c r="E46" s="44">
        <f>0</f>
        <v>0</v>
      </c>
      <c r="F46" s="23">
        <f>0</f>
        <v>0</v>
      </c>
      <c r="G46" s="23">
        <f>0</f>
        <v>0</v>
      </c>
      <c r="H46" s="24">
        <f>0</f>
        <v>0</v>
      </c>
      <c r="I46" s="25">
        <f>0</f>
        <v>0</v>
      </c>
      <c r="J46" s="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  <c r="P46" s="26">
        <f>0</f>
        <v>0</v>
      </c>
      <c r="Q46" s="26">
        <f>0</f>
        <v>0</v>
      </c>
      <c r="R46" s="26">
        <f>0</f>
        <v>0</v>
      </c>
      <c r="S46" s="26">
        <f>0</f>
        <v>0</v>
      </c>
      <c r="T46" s="26">
        <f>0</f>
        <v>0</v>
      </c>
      <c r="U46" s="26">
        <f>0</f>
        <v>0</v>
      </c>
      <c r="V46" s="19"/>
    </row>
    <row r="47" spans="2:22" ht="15" outlineLevel="1">
      <c r="B47" s="21">
        <v>8</v>
      </c>
      <c r="C47" s="78" t="s">
        <v>133</v>
      </c>
      <c r="D47" s="62" t="s">
        <v>133</v>
      </c>
      <c r="E47" s="47" t="s">
        <v>26</v>
      </c>
      <c r="F47" s="35" t="s">
        <v>26</v>
      </c>
      <c r="G47" s="35" t="s">
        <v>26</v>
      </c>
      <c r="H47" s="36" t="s">
        <v>26</v>
      </c>
      <c r="I47" s="37" t="s">
        <v>26</v>
      </c>
      <c r="J47" s="38" t="s">
        <v>26</v>
      </c>
      <c r="K47" s="38" t="s">
        <v>26</v>
      </c>
      <c r="L47" s="38" t="s">
        <v>26</v>
      </c>
      <c r="M47" s="38" t="s">
        <v>26</v>
      </c>
      <c r="N47" s="38" t="s">
        <v>26</v>
      </c>
      <c r="O47" s="38" t="s">
        <v>26</v>
      </c>
      <c r="P47" s="38" t="s">
        <v>26</v>
      </c>
      <c r="Q47" s="38" t="s">
        <v>26</v>
      </c>
      <c r="R47" s="38" t="s">
        <v>26</v>
      </c>
      <c r="S47" s="38" t="s">
        <v>26</v>
      </c>
      <c r="T47" s="38" t="s">
        <v>26</v>
      </c>
      <c r="U47" s="38" t="s">
        <v>26</v>
      </c>
      <c r="V47" s="19"/>
    </row>
    <row r="48" spans="2:21" ht="14.25" outlineLevel="2">
      <c r="B48" s="22" t="s">
        <v>134</v>
      </c>
      <c r="C48" s="54" t="s">
        <v>69</v>
      </c>
      <c r="D48" s="63" t="s">
        <v>313</v>
      </c>
      <c r="E48" s="45">
        <f>17714622.63</f>
        <v>17714622.63</v>
      </c>
      <c r="F48" s="27">
        <f>20708206.72</f>
        <v>20708206.72</v>
      </c>
      <c r="G48" s="27">
        <f>14497005.75</f>
        <v>14497005.75</v>
      </c>
      <c r="H48" s="28">
        <f>13930705.25</f>
        <v>13930705.25</v>
      </c>
      <c r="I48" s="29">
        <f>25409917.21</f>
        <v>25409917.21</v>
      </c>
      <c r="J48" s="30">
        <f>30882336.04</f>
        <v>30882336.04</v>
      </c>
      <c r="K48" s="30">
        <f>35079513</f>
        <v>35079513</v>
      </c>
      <c r="L48" s="30">
        <f>39067419</f>
        <v>39067419</v>
      </c>
      <c r="M48" s="30">
        <f aca="true" t="shared" si="3" ref="M48:U49">39013970</f>
        <v>39013970</v>
      </c>
      <c r="N48" s="30">
        <f t="shared" si="3"/>
        <v>39013970</v>
      </c>
      <c r="O48" s="30">
        <f t="shared" si="3"/>
        <v>39013970</v>
      </c>
      <c r="P48" s="30">
        <f t="shared" si="3"/>
        <v>39013970</v>
      </c>
      <c r="Q48" s="30">
        <f t="shared" si="3"/>
        <v>39013970</v>
      </c>
      <c r="R48" s="30">
        <f t="shared" si="3"/>
        <v>39013970</v>
      </c>
      <c r="S48" s="30">
        <f t="shared" si="3"/>
        <v>39013970</v>
      </c>
      <c r="T48" s="30">
        <f t="shared" si="3"/>
        <v>39013970</v>
      </c>
      <c r="U48" s="30">
        <f t="shared" si="3"/>
        <v>39013970</v>
      </c>
    </row>
    <row r="49" spans="2:21" ht="24" outlineLevel="2">
      <c r="B49" s="22" t="s">
        <v>135</v>
      </c>
      <c r="C49" s="54" t="s">
        <v>226</v>
      </c>
      <c r="D49" s="63" t="s">
        <v>312</v>
      </c>
      <c r="E49" s="45">
        <f>20484622.63</f>
        <v>20484622.63</v>
      </c>
      <c r="F49" s="27">
        <f>26507270.72</f>
        <v>26507270.72</v>
      </c>
      <c r="G49" s="27">
        <f>25397005.75</f>
        <v>25397005.75</v>
      </c>
      <c r="H49" s="28">
        <f>24830705.25</f>
        <v>24830705.25</v>
      </c>
      <c r="I49" s="29">
        <f>36109917.21</f>
        <v>36109917.21</v>
      </c>
      <c r="J49" s="30">
        <f>30882336.04</f>
        <v>30882336.04</v>
      </c>
      <c r="K49" s="30">
        <f>35079513</f>
        <v>35079513</v>
      </c>
      <c r="L49" s="30">
        <f>39067419</f>
        <v>39067419</v>
      </c>
      <c r="M49" s="30">
        <f t="shared" si="3"/>
        <v>39013970</v>
      </c>
      <c r="N49" s="30">
        <f t="shared" si="3"/>
        <v>39013970</v>
      </c>
      <c r="O49" s="30">
        <f t="shared" si="3"/>
        <v>39013970</v>
      </c>
      <c r="P49" s="30">
        <f t="shared" si="3"/>
        <v>39013970</v>
      </c>
      <c r="Q49" s="30">
        <f t="shared" si="3"/>
        <v>39013970</v>
      </c>
      <c r="R49" s="30">
        <f t="shared" si="3"/>
        <v>39013970</v>
      </c>
      <c r="S49" s="30">
        <f t="shared" si="3"/>
        <v>39013970</v>
      </c>
      <c r="T49" s="30">
        <f t="shared" si="3"/>
        <v>39013970</v>
      </c>
      <c r="U49" s="30">
        <f t="shared" si="3"/>
        <v>39013970</v>
      </c>
    </row>
    <row r="50" spans="1:22" ht="15" outlineLevel="1">
      <c r="A50" s="67" t="s">
        <v>26</v>
      </c>
      <c r="B50" s="21">
        <v>9</v>
      </c>
      <c r="C50" s="78" t="s">
        <v>136</v>
      </c>
      <c r="D50" s="62" t="s">
        <v>136</v>
      </c>
      <c r="E50" s="47" t="s">
        <v>26</v>
      </c>
      <c r="F50" s="35" t="s">
        <v>26</v>
      </c>
      <c r="G50" s="35" t="s">
        <v>26</v>
      </c>
      <c r="H50" s="36" t="s">
        <v>26</v>
      </c>
      <c r="I50" s="37" t="s">
        <v>26</v>
      </c>
      <c r="J50" s="38" t="s">
        <v>26</v>
      </c>
      <c r="K50" s="38" t="s">
        <v>26</v>
      </c>
      <c r="L50" s="38" t="s">
        <v>26</v>
      </c>
      <c r="M50" s="38" t="s">
        <v>26</v>
      </c>
      <c r="N50" s="38" t="s">
        <v>26</v>
      </c>
      <c r="O50" s="38" t="s">
        <v>26</v>
      </c>
      <c r="P50" s="38" t="s">
        <v>26</v>
      </c>
      <c r="Q50" s="38" t="s">
        <v>26</v>
      </c>
      <c r="R50" s="38" t="s">
        <v>26</v>
      </c>
      <c r="S50" s="38" t="s">
        <v>26</v>
      </c>
      <c r="T50" s="38" t="s">
        <v>26</v>
      </c>
      <c r="U50" s="38" t="s">
        <v>26</v>
      </c>
      <c r="V50" s="19"/>
    </row>
    <row r="51" spans="1:21" ht="36" outlineLevel="2">
      <c r="A51" s="67" t="s">
        <v>26</v>
      </c>
      <c r="B51" s="22" t="s">
        <v>137</v>
      </c>
      <c r="C51" s="54" t="s">
        <v>272</v>
      </c>
      <c r="D51" s="63" t="s">
        <v>279</v>
      </c>
      <c r="E51" s="46">
        <f>0.0638</f>
        <v>0.0638</v>
      </c>
      <c r="F51" s="31">
        <f>0.0742</f>
        <v>0.0742</v>
      </c>
      <c r="G51" s="31">
        <f>0.0749</f>
        <v>0.0749</v>
      </c>
      <c r="H51" s="32">
        <f>0.0704</f>
        <v>0.0704</v>
      </c>
      <c r="I51" s="33">
        <f>0.0453</f>
        <v>0.0453</v>
      </c>
      <c r="J51" s="34">
        <f>0.0549</f>
        <v>0.0549</v>
      </c>
      <c r="K51" s="34">
        <f>0.0499</f>
        <v>0.0499</v>
      </c>
      <c r="L51" s="34">
        <f>0.0788</f>
        <v>0.0788</v>
      </c>
      <c r="M51" s="34">
        <f>0.0711</f>
        <v>0.0711</v>
      </c>
      <c r="N51" s="34">
        <f>0.0698</f>
        <v>0.0698</v>
      </c>
      <c r="O51" s="34">
        <f>0.0736</f>
        <v>0.0736</v>
      </c>
      <c r="P51" s="34">
        <f>0.0674</f>
        <v>0.0674</v>
      </c>
      <c r="Q51" s="34">
        <f>0.0524</f>
        <v>0.0524</v>
      </c>
      <c r="R51" s="34">
        <f>0.0309</f>
        <v>0.0309</v>
      </c>
      <c r="S51" s="34">
        <f>0.0271</f>
        <v>0.0271</v>
      </c>
      <c r="T51" s="34">
        <f>0.0263</f>
        <v>0.0263</v>
      </c>
      <c r="U51" s="34">
        <f>0.0221</f>
        <v>0.0221</v>
      </c>
    </row>
    <row r="52" spans="1:21" ht="36" outlineLevel="2">
      <c r="A52" s="67" t="s">
        <v>26</v>
      </c>
      <c r="B52" s="22" t="s">
        <v>138</v>
      </c>
      <c r="C52" s="54" t="s">
        <v>273</v>
      </c>
      <c r="D52" s="63" t="s">
        <v>280</v>
      </c>
      <c r="E52" s="46">
        <f>0.0638</f>
        <v>0.0638</v>
      </c>
      <c r="F52" s="31">
        <f>0.0742</f>
        <v>0.0742</v>
      </c>
      <c r="G52" s="31">
        <f>0.0749</f>
        <v>0.0749</v>
      </c>
      <c r="H52" s="32">
        <f>0.0704</f>
        <v>0.0704</v>
      </c>
      <c r="I52" s="33">
        <f>0.0453</f>
        <v>0.0453</v>
      </c>
      <c r="J52" s="34">
        <f>0.0549</f>
        <v>0.0549</v>
      </c>
      <c r="K52" s="34">
        <f>0.0499</f>
        <v>0.0499</v>
      </c>
      <c r="L52" s="34">
        <f>0.0788</f>
        <v>0.0788</v>
      </c>
      <c r="M52" s="34">
        <f>0.0711</f>
        <v>0.0711</v>
      </c>
      <c r="N52" s="34">
        <f>0.0698</f>
        <v>0.0698</v>
      </c>
      <c r="O52" s="34">
        <f>0.0736</f>
        <v>0.0736</v>
      </c>
      <c r="P52" s="34">
        <f>0.0674</f>
        <v>0.0674</v>
      </c>
      <c r="Q52" s="34">
        <f>0.0524</f>
        <v>0.0524</v>
      </c>
      <c r="R52" s="34">
        <f>0.0309</f>
        <v>0.0309</v>
      </c>
      <c r="S52" s="34">
        <f>0.0271</f>
        <v>0.0271</v>
      </c>
      <c r="T52" s="34">
        <f>0.0263</f>
        <v>0.0263</v>
      </c>
      <c r="U52" s="34">
        <f>0.0221</f>
        <v>0.0221</v>
      </c>
    </row>
    <row r="53" spans="1:21" ht="24" outlineLevel="2">
      <c r="A53" s="67" t="s">
        <v>26</v>
      </c>
      <c r="B53" s="22" t="s">
        <v>139</v>
      </c>
      <c r="C53" s="54" t="s">
        <v>231</v>
      </c>
      <c r="D53" s="63" t="s">
        <v>281</v>
      </c>
      <c r="E53" s="45">
        <f>0</f>
        <v>0</v>
      </c>
      <c r="F53" s="27">
        <f>0</f>
        <v>0</v>
      </c>
      <c r="G53" s="27">
        <f>0</f>
        <v>0</v>
      </c>
      <c r="H53" s="28">
        <f>0</f>
        <v>0</v>
      </c>
      <c r="I53" s="29">
        <f>0</f>
        <v>0</v>
      </c>
      <c r="J53" s="30">
        <f>0</f>
        <v>0</v>
      </c>
      <c r="K53" s="30">
        <f>0</f>
        <v>0</v>
      </c>
      <c r="L53" s="30">
        <f>0</f>
        <v>0</v>
      </c>
      <c r="M53" s="30">
        <f>0</f>
        <v>0</v>
      </c>
      <c r="N53" s="30">
        <f>0</f>
        <v>0</v>
      </c>
      <c r="O53" s="30">
        <f>0</f>
        <v>0</v>
      </c>
      <c r="P53" s="30">
        <f>0</f>
        <v>0</v>
      </c>
      <c r="Q53" s="30">
        <f>0</f>
        <v>0</v>
      </c>
      <c r="R53" s="30">
        <f>0</f>
        <v>0</v>
      </c>
      <c r="S53" s="30">
        <f>0</f>
        <v>0</v>
      </c>
      <c r="T53" s="30">
        <f>0</f>
        <v>0</v>
      </c>
      <c r="U53" s="30">
        <f>0</f>
        <v>0</v>
      </c>
    </row>
    <row r="54" spans="1:21" ht="36" outlineLevel="2">
      <c r="A54" s="67" t="s">
        <v>26</v>
      </c>
      <c r="B54" s="22" t="s">
        <v>140</v>
      </c>
      <c r="C54" s="54" t="s">
        <v>274</v>
      </c>
      <c r="D54" s="63" t="s">
        <v>282</v>
      </c>
      <c r="E54" s="46">
        <f>0.0638</f>
        <v>0.0638</v>
      </c>
      <c r="F54" s="31">
        <f>0.0742</f>
        <v>0.0742</v>
      </c>
      <c r="G54" s="31">
        <f>0.0749</f>
        <v>0.0749</v>
      </c>
      <c r="H54" s="32">
        <f>0.0704</f>
        <v>0.0704</v>
      </c>
      <c r="I54" s="33">
        <f>0.0453</f>
        <v>0.0453</v>
      </c>
      <c r="J54" s="34">
        <f>0.0549</f>
        <v>0.0549</v>
      </c>
      <c r="K54" s="34">
        <f>0.0499</f>
        <v>0.0499</v>
      </c>
      <c r="L54" s="34">
        <f>0.0788</f>
        <v>0.0788</v>
      </c>
      <c r="M54" s="34">
        <f>0.0711</f>
        <v>0.0711</v>
      </c>
      <c r="N54" s="34">
        <f>0.0698</f>
        <v>0.0698</v>
      </c>
      <c r="O54" s="34">
        <f>0.0736</f>
        <v>0.0736</v>
      </c>
      <c r="P54" s="34">
        <f>0.0674</f>
        <v>0.0674</v>
      </c>
      <c r="Q54" s="34">
        <f>0.0524</f>
        <v>0.0524</v>
      </c>
      <c r="R54" s="34">
        <f>0.0309</f>
        <v>0.0309</v>
      </c>
      <c r="S54" s="34">
        <f>0.0271</f>
        <v>0.0271</v>
      </c>
      <c r="T54" s="34">
        <f>0.0263</f>
        <v>0.0263</v>
      </c>
      <c r="U54" s="34">
        <f>0.0221</f>
        <v>0.0221</v>
      </c>
    </row>
    <row r="55" spans="1:22" ht="24" outlineLevel="2">
      <c r="A55" s="67" t="s">
        <v>26</v>
      </c>
      <c r="B55" s="53" t="s">
        <v>141</v>
      </c>
      <c r="C55" s="54" t="s">
        <v>235</v>
      </c>
      <c r="D55" s="82" t="s">
        <v>278</v>
      </c>
      <c r="E55" s="46">
        <f aca="true" t="shared" si="4" ref="E55:U55">+IF(AND(E6&gt;=2013,E6&lt;=2018),IF(E7&lt;&gt;0,(E8+E16-E19+E22)/E7,0),IF(E7&lt;&gt;0,(E8+E16-E19)/E7,0))</f>
        <v>0.052893076884298354</v>
      </c>
      <c r="F55" s="31">
        <f t="shared" si="4"/>
        <v>0.062447393517851404</v>
      </c>
      <c r="G55" s="31">
        <f t="shared" si="4"/>
        <v>0.05113395973087155</v>
      </c>
      <c r="H55" s="32">
        <f t="shared" si="4"/>
        <v>0.04326850047451542</v>
      </c>
      <c r="I55" s="33">
        <f t="shared" si="4"/>
        <v>0.07308460120292423</v>
      </c>
      <c r="J55" s="34">
        <f t="shared" si="4"/>
        <v>0.08190756893911695</v>
      </c>
      <c r="K55" s="34">
        <f t="shared" si="4"/>
        <v>0.0897135798362089</v>
      </c>
      <c r="L55" s="34">
        <f t="shared" si="4"/>
        <v>0.09796839340444365</v>
      </c>
      <c r="M55" s="34">
        <f t="shared" si="4"/>
        <v>0.09543556120101286</v>
      </c>
      <c r="N55" s="34">
        <f t="shared" si="4"/>
        <v>0.09543556120101286</v>
      </c>
      <c r="O55" s="34">
        <f t="shared" si="4"/>
        <v>0.09543556120101286</v>
      </c>
      <c r="P55" s="34">
        <f t="shared" si="4"/>
        <v>0.09543556120101286</v>
      </c>
      <c r="Q55" s="34">
        <f t="shared" si="4"/>
        <v>0.09543556120101286</v>
      </c>
      <c r="R55" s="34">
        <f t="shared" si="4"/>
        <v>0.09543556120101286</v>
      </c>
      <c r="S55" s="34">
        <f t="shared" si="4"/>
        <v>0.09543556120101286</v>
      </c>
      <c r="T55" s="34">
        <f t="shared" si="4"/>
        <v>0.09543556120101286</v>
      </c>
      <c r="U55" s="34">
        <f t="shared" si="4"/>
        <v>0.09543556120101286</v>
      </c>
      <c r="V55" s="43"/>
    </row>
    <row r="56" spans="1:22" ht="36" outlineLevel="2">
      <c r="A56" s="67" t="s">
        <v>26</v>
      </c>
      <c r="B56" s="22" t="s">
        <v>142</v>
      </c>
      <c r="C56" s="54" t="s">
        <v>270</v>
      </c>
      <c r="D56" s="63" t="s">
        <v>283</v>
      </c>
      <c r="E56" s="47" t="s">
        <v>26</v>
      </c>
      <c r="F56" s="35" t="s">
        <v>26</v>
      </c>
      <c r="G56" s="35" t="s">
        <v>26</v>
      </c>
      <c r="H56" s="36" t="s">
        <v>26</v>
      </c>
      <c r="I56" s="33">
        <f>0.0555</f>
        <v>0.0555</v>
      </c>
      <c r="J56" s="34">
        <f>0.0622</f>
        <v>0.0622</v>
      </c>
      <c r="K56" s="34">
        <f>0.0687</f>
        <v>0.0687</v>
      </c>
      <c r="L56" s="34">
        <f>0.0816</f>
        <v>0.0816</v>
      </c>
      <c r="M56" s="34">
        <f>0.0899</f>
        <v>0.0899</v>
      </c>
      <c r="N56" s="34">
        <f>0.0944</f>
        <v>0.0944</v>
      </c>
      <c r="O56" s="34">
        <f>0.0963</f>
        <v>0.0963</v>
      </c>
      <c r="P56" s="34">
        <f aca="true" t="shared" si="5" ref="P56:U57">0.0954</f>
        <v>0.0954</v>
      </c>
      <c r="Q56" s="34">
        <f t="shared" si="5"/>
        <v>0.0954</v>
      </c>
      <c r="R56" s="34">
        <f t="shared" si="5"/>
        <v>0.0954</v>
      </c>
      <c r="S56" s="34">
        <f t="shared" si="5"/>
        <v>0.0954</v>
      </c>
      <c r="T56" s="34">
        <f t="shared" si="5"/>
        <v>0.0954</v>
      </c>
      <c r="U56" s="34">
        <f t="shared" si="5"/>
        <v>0.0954</v>
      </c>
      <c r="V56" s="43"/>
    </row>
    <row r="57" spans="1:21" ht="36" outlineLevel="3">
      <c r="A57" s="67" t="s">
        <v>26</v>
      </c>
      <c r="B57" s="22" t="s">
        <v>70</v>
      </c>
      <c r="C57" s="54" t="s">
        <v>271</v>
      </c>
      <c r="D57" s="64" t="s">
        <v>284</v>
      </c>
      <c r="E57" s="47" t="s">
        <v>26</v>
      </c>
      <c r="F57" s="35" t="s">
        <v>26</v>
      </c>
      <c r="G57" s="35" t="s">
        <v>26</v>
      </c>
      <c r="H57" s="36" t="s">
        <v>26</v>
      </c>
      <c r="I57" s="33">
        <f>0.0529</f>
        <v>0.0529</v>
      </c>
      <c r="J57" s="34">
        <f>0.0596</f>
        <v>0.0596</v>
      </c>
      <c r="K57" s="34">
        <f>0.0661</f>
        <v>0.0661</v>
      </c>
      <c r="L57" s="34">
        <f>0.0816</f>
        <v>0.0816</v>
      </c>
      <c r="M57" s="34">
        <f>0.0899</f>
        <v>0.0899</v>
      </c>
      <c r="N57" s="34">
        <f>0.0944</f>
        <v>0.0944</v>
      </c>
      <c r="O57" s="34">
        <f>0.0963</f>
        <v>0.0963</v>
      </c>
      <c r="P57" s="34">
        <f t="shared" si="5"/>
        <v>0.0954</v>
      </c>
      <c r="Q57" s="34">
        <f t="shared" si="5"/>
        <v>0.0954</v>
      </c>
      <c r="R57" s="34">
        <f t="shared" si="5"/>
        <v>0.0954</v>
      </c>
      <c r="S57" s="34">
        <f t="shared" si="5"/>
        <v>0.0954</v>
      </c>
      <c r="T57" s="34">
        <f t="shared" si="5"/>
        <v>0.0954</v>
      </c>
      <c r="U57" s="34">
        <f t="shared" si="5"/>
        <v>0.0954</v>
      </c>
    </row>
    <row r="58" spans="1:21" ht="36" outlineLevel="2">
      <c r="A58" s="67" t="s">
        <v>26</v>
      </c>
      <c r="B58" s="22" t="s">
        <v>143</v>
      </c>
      <c r="C58" s="54" t="s">
        <v>239</v>
      </c>
      <c r="D58" s="63" t="s">
        <v>311</v>
      </c>
      <c r="E58" s="47" t="s">
        <v>26</v>
      </c>
      <c r="F58" s="35" t="s">
        <v>26</v>
      </c>
      <c r="G58" s="35" t="s">
        <v>26</v>
      </c>
      <c r="H58" s="36" t="s">
        <v>26</v>
      </c>
      <c r="I58" s="57" t="str">
        <f>IF(I54&lt;=I56,"Spełniona","Nie spełniona")</f>
        <v>Spełniona</v>
      </c>
      <c r="J58" s="58" t="str">
        <f aca="true" t="shared" si="6" ref="J58:U58">IF(J54&lt;=J56,"Spełniona","Nie spełniona")</f>
        <v>Spełniona</v>
      </c>
      <c r="K58" s="58" t="str">
        <f t="shared" si="6"/>
        <v>Spełniona</v>
      </c>
      <c r="L58" s="58" t="str">
        <f t="shared" si="6"/>
        <v>Spełniona</v>
      </c>
      <c r="M58" s="58" t="str">
        <f t="shared" si="6"/>
        <v>Spełniona</v>
      </c>
      <c r="N58" s="58" t="str">
        <f t="shared" si="6"/>
        <v>Spełniona</v>
      </c>
      <c r="O58" s="58" t="str">
        <f t="shared" si="6"/>
        <v>Spełniona</v>
      </c>
      <c r="P58" s="58" t="str">
        <f t="shared" si="6"/>
        <v>Spełniona</v>
      </c>
      <c r="Q58" s="58" t="str">
        <f t="shared" si="6"/>
        <v>Spełniona</v>
      </c>
      <c r="R58" s="58" t="str">
        <f t="shared" si="6"/>
        <v>Spełniona</v>
      </c>
      <c r="S58" s="58" t="str">
        <f t="shared" si="6"/>
        <v>Spełniona</v>
      </c>
      <c r="T58" s="58" t="str">
        <f t="shared" si="6"/>
        <v>Spełniona</v>
      </c>
      <c r="U58" s="58" t="str">
        <f t="shared" si="6"/>
        <v>Spełniona</v>
      </c>
    </row>
    <row r="59" spans="1:21" ht="36" outlineLevel="3">
      <c r="A59" s="67" t="s">
        <v>26</v>
      </c>
      <c r="B59" s="22" t="s">
        <v>71</v>
      </c>
      <c r="C59" s="54" t="s">
        <v>241</v>
      </c>
      <c r="D59" s="64" t="s">
        <v>285</v>
      </c>
      <c r="E59" s="47" t="s">
        <v>26</v>
      </c>
      <c r="F59" s="35" t="s">
        <v>26</v>
      </c>
      <c r="G59" s="35" t="s">
        <v>26</v>
      </c>
      <c r="H59" s="36" t="s">
        <v>26</v>
      </c>
      <c r="I59" s="57" t="str">
        <f>IF(I54&lt;=I57,"Spełniona","Nie spełniona")</f>
        <v>Spełniona</v>
      </c>
      <c r="J59" s="58" t="str">
        <f aca="true" t="shared" si="7" ref="J59:U59">IF(J54&lt;=J57,"Spełniona","Nie spełniona")</f>
        <v>Spełniona</v>
      </c>
      <c r="K59" s="58" t="str">
        <f t="shared" si="7"/>
        <v>Spełniona</v>
      </c>
      <c r="L59" s="58" t="str">
        <f t="shared" si="7"/>
        <v>Spełniona</v>
      </c>
      <c r="M59" s="58" t="str">
        <f t="shared" si="7"/>
        <v>Spełniona</v>
      </c>
      <c r="N59" s="58" t="str">
        <f t="shared" si="7"/>
        <v>Spełniona</v>
      </c>
      <c r="O59" s="58" t="str">
        <f t="shared" si="7"/>
        <v>Spełniona</v>
      </c>
      <c r="P59" s="58" t="str">
        <f t="shared" si="7"/>
        <v>Spełniona</v>
      </c>
      <c r="Q59" s="58" t="str">
        <f t="shared" si="7"/>
        <v>Spełniona</v>
      </c>
      <c r="R59" s="58" t="str">
        <f t="shared" si="7"/>
        <v>Spełniona</v>
      </c>
      <c r="S59" s="58" t="str">
        <f t="shared" si="7"/>
        <v>Spełniona</v>
      </c>
      <c r="T59" s="58" t="str">
        <f t="shared" si="7"/>
        <v>Spełniona</v>
      </c>
      <c r="U59" s="58" t="str">
        <f t="shared" si="7"/>
        <v>Spełniona</v>
      </c>
    </row>
    <row r="60" spans="2:22" ht="15" outlineLevel="1">
      <c r="B60" s="21">
        <v>10</v>
      </c>
      <c r="C60" s="78" t="s">
        <v>72</v>
      </c>
      <c r="D60" s="62" t="s">
        <v>72</v>
      </c>
      <c r="E60" s="44">
        <f>0</f>
        <v>0</v>
      </c>
      <c r="F60" s="23">
        <f>0</f>
        <v>0</v>
      </c>
      <c r="G60" s="23">
        <f>0</f>
        <v>0</v>
      </c>
      <c r="H60" s="24">
        <f>0</f>
        <v>0</v>
      </c>
      <c r="I60" s="25">
        <f>0</f>
        <v>0</v>
      </c>
      <c r="J60" s="26">
        <f>4428554.72</f>
        <v>4428554.72</v>
      </c>
      <c r="K60" s="26">
        <f>15449096</f>
        <v>15449096</v>
      </c>
      <c r="L60" s="26">
        <f>17449096</f>
        <v>17449096</v>
      </c>
      <c r="M60" s="26">
        <f>15226516</f>
        <v>15226516</v>
      </c>
      <c r="N60" s="26">
        <f>15226516</f>
        <v>15226516</v>
      </c>
      <c r="O60" s="26">
        <f>17704516</f>
        <v>17704516</v>
      </c>
      <c r="P60" s="26">
        <f>16264516</f>
        <v>16264516</v>
      </c>
      <c r="Q60" s="26">
        <f>11080516</f>
        <v>11080516</v>
      </c>
      <c r="R60" s="26">
        <f>2904516</f>
        <v>2904516</v>
      </c>
      <c r="S60" s="26">
        <f>1722022</f>
        <v>1722022</v>
      </c>
      <c r="T60" s="26">
        <f>1661200</f>
        <v>1661200</v>
      </c>
      <c r="U60" s="26">
        <f>222900</f>
        <v>222900</v>
      </c>
      <c r="V60" s="19"/>
    </row>
    <row r="61" spans="2:21" ht="14.25" outlineLevel="2">
      <c r="B61" s="22" t="s">
        <v>144</v>
      </c>
      <c r="C61" s="54" t="s">
        <v>73</v>
      </c>
      <c r="D61" s="63" t="s">
        <v>178</v>
      </c>
      <c r="E61" s="45">
        <f>0</f>
        <v>0</v>
      </c>
      <c r="F61" s="27">
        <f>0</f>
        <v>0</v>
      </c>
      <c r="G61" s="27">
        <f>0</f>
        <v>0</v>
      </c>
      <c r="H61" s="28">
        <f>0</f>
        <v>0</v>
      </c>
      <c r="I61" s="29">
        <f>0</f>
        <v>0</v>
      </c>
      <c r="J61" s="30">
        <f>4428554.72</f>
        <v>4428554.72</v>
      </c>
      <c r="K61" s="30">
        <f>15449096</f>
        <v>15449096</v>
      </c>
      <c r="L61" s="30">
        <f>17449096</f>
        <v>17449096</v>
      </c>
      <c r="M61" s="30">
        <f>15226516</f>
        <v>15226516</v>
      </c>
      <c r="N61" s="30">
        <f>15226516</f>
        <v>15226516</v>
      </c>
      <c r="O61" s="30">
        <f>17704516</f>
        <v>17704516</v>
      </c>
      <c r="P61" s="30">
        <f>16264516</f>
        <v>16264516</v>
      </c>
      <c r="Q61" s="30">
        <f>11080516</f>
        <v>11080516</v>
      </c>
      <c r="R61" s="30">
        <f>2904516</f>
        <v>2904516</v>
      </c>
      <c r="S61" s="30">
        <f>1722022</f>
        <v>1722022</v>
      </c>
      <c r="T61" s="30">
        <f>1661200</f>
        <v>1661200</v>
      </c>
      <c r="U61" s="30">
        <f>222900</f>
        <v>222900</v>
      </c>
    </row>
    <row r="62" spans="2:22" ht="15" outlineLevel="1">
      <c r="B62" s="21">
        <v>11</v>
      </c>
      <c r="C62" s="78" t="s">
        <v>74</v>
      </c>
      <c r="D62" s="62" t="s">
        <v>74</v>
      </c>
      <c r="E62" s="47" t="s">
        <v>26</v>
      </c>
      <c r="F62" s="35" t="s">
        <v>26</v>
      </c>
      <c r="G62" s="35" t="s">
        <v>26</v>
      </c>
      <c r="H62" s="36" t="s">
        <v>26</v>
      </c>
      <c r="I62" s="37" t="s">
        <v>26</v>
      </c>
      <c r="J62" s="38" t="s">
        <v>26</v>
      </c>
      <c r="K62" s="38" t="s">
        <v>26</v>
      </c>
      <c r="L62" s="38" t="s">
        <v>26</v>
      </c>
      <c r="M62" s="38" t="s">
        <v>26</v>
      </c>
      <c r="N62" s="38" t="s">
        <v>26</v>
      </c>
      <c r="O62" s="38" t="s">
        <v>26</v>
      </c>
      <c r="P62" s="38" t="s">
        <v>26</v>
      </c>
      <c r="Q62" s="38" t="s">
        <v>26</v>
      </c>
      <c r="R62" s="38" t="s">
        <v>26</v>
      </c>
      <c r="S62" s="38" t="s">
        <v>26</v>
      </c>
      <c r="T62" s="38" t="s">
        <v>26</v>
      </c>
      <c r="U62" s="38" t="s">
        <v>26</v>
      </c>
      <c r="V62" s="19"/>
    </row>
    <row r="63" spans="2:21" ht="14.25" outlineLevel="2">
      <c r="B63" s="22" t="s">
        <v>145</v>
      </c>
      <c r="C63" s="54" t="s">
        <v>75</v>
      </c>
      <c r="D63" s="63" t="s">
        <v>179</v>
      </c>
      <c r="E63" s="45">
        <f>172499788.22</f>
        <v>172499788.22</v>
      </c>
      <c r="F63" s="27">
        <f>179189854.16</f>
        <v>179189854.16</v>
      </c>
      <c r="G63" s="27">
        <f>184406135.46</f>
        <v>184406135.46</v>
      </c>
      <c r="H63" s="28">
        <f>186703572.98</f>
        <v>186703572.98</v>
      </c>
      <c r="I63" s="29">
        <f>183725683.76</f>
        <v>183725683.76</v>
      </c>
      <c r="J63" s="30">
        <f>185300000</f>
        <v>185300000</v>
      </c>
      <c r="K63" s="30">
        <f>187220000</f>
        <v>187220000</v>
      </c>
      <c r="L63" s="30">
        <f>189100000</f>
        <v>189100000</v>
      </c>
      <c r="M63" s="30">
        <f>0</f>
        <v>0</v>
      </c>
      <c r="N63" s="30">
        <f>0</f>
        <v>0</v>
      </c>
      <c r="O63" s="30">
        <f>0</f>
        <v>0</v>
      </c>
      <c r="P63" s="30">
        <f>0</f>
        <v>0</v>
      </c>
      <c r="Q63" s="30">
        <f>0</f>
        <v>0</v>
      </c>
      <c r="R63" s="30">
        <f>0</f>
        <v>0</v>
      </c>
      <c r="S63" s="30">
        <f>0</f>
        <v>0</v>
      </c>
      <c r="T63" s="30">
        <f>0</f>
        <v>0</v>
      </c>
      <c r="U63" s="30">
        <f>0</f>
        <v>0</v>
      </c>
    </row>
    <row r="64" spans="2:21" ht="14.25" outlineLevel="2">
      <c r="B64" s="22" t="s">
        <v>146</v>
      </c>
      <c r="C64" s="54" t="s">
        <v>76</v>
      </c>
      <c r="D64" s="63" t="s">
        <v>180</v>
      </c>
      <c r="E64" s="45">
        <f>0</f>
        <v>0</v>
      </c>
      <c r="F64" s="27">
        <f>0</f>
        <v>0</v>
      </c>
      <c r="G64" s="27">
        <f>30072120</f>
        <v>30072120</v>
      </c>
      <c r="H64" s="28">
        <f>28519749.39</f>
        <v>28519749.39</v>
      </c>
      <c r="I64" s="29">
        <f>32119116.26</f>
        <v>32119116.26</v>
      </c>
      <c r="J64" s="30">
        <f>32272300</f>
        <v>32272300</v>
      </c>
      <c r="K64" s="30">
        <f>32430000</f>
        <v>32430000</v>
      </c>
      <c r="L64" s="30">
        <f>32583000</f>
        <v>32583000</v>
      </c>
      <c r="M64" s="30">
        <f>0</f>
        <v>0</v>
      </c>
      <c r="N64" s="30">
        <f>0</f>
        <v>0</v>
      </c>
      <c r="O64" s="30">
        <f>0</f>
        <v>0</v>
      </c>
      <c r="P64" s="30">
        <f>0</f>
        <v>0</v>
      </c>
      <c r="Q64" s="30">
        <f>0</f>
        <v>0</v>
      </c>
      <c r="R64" s="30">
        <f>0</f>
        <v>0</v>
      </c>
      <c r="S64" s="30">
        <f>0</f>
        <v>0</v>
      </c>
      <c r="T64" s="30">
        <f>0</f>
        <v>0</v>
      </c>
      <c r="U64" s="30">
        <f>0</f>
        <v>0</v>
      </c>
    </row>
    <row r="65" spans="2:21" ht="14.25" outlineLevel="2">
      <c r="B65" s="22" t="s">
        <v>147</v>
      </c>
      <c r="C65" s="54" t="s">
        <v>243</v>
      </c>
      <c r="D65" s="63" t="s">
        <v>310</v>
      </c>
      <c r="E65" s="45">
        <f>19683480.59</f>
        <v>19683480.59</v>
      </c>
      <c r="F65" s="27">
        <f>43910083.25</f>
        <v>43910083.25</v>
      </c>
      <c r="G65" s="27">
        <f>0</f>
        <v>0</v>
      </c>
      <c r="H65" s="28">
        <f>24451613.34</f>
        <v>24451613.34</v>
      </c>
      <c r="I65" s="29">
        <f>42163157.73</f>
        <v>42163157.73</v>
      </c>
      <c r="J65" s="30">
        <f>41787363.43</f>
        <v>41787363.43</v>
      </c>
      <c r="K65" s="30">
        <f>10290826</f>
        <v>10290826</v>
      </c>
      <c r="L65" s="30">
        <f>1509024</f>
        <v>1509024</v>
      </c>
      <c r="M65" s="30">
        <f>9963</f>
        <v>9963</v>
      </c>
      <c r="N65" s="30">
        <f>9963</f>
        <v>9963</v>
      </c>
      <c r="O65" s="30">
        <f>0</f>
        <v>0</v>
      </c>
      <c r="P65" s="30">
        <f>0</f>
        <v>0</v>
      </c>
      <c r="Q65" s="30">
        <f>0</f>
        <v>0</v>
      </c>
      <c r="R65" s="30">
        <f>0</f>
        <v>0</v>
      </c>
      <c r="S65" s="30">
        <f>0</f>
        <v>0</v>
      </c>
      <c r="T65" s="30">
        <f>0</f>
        <v>0</v>
      </c>
      <c r="U65" s="30">
        <f>0</f>
        <v>0</v>
      </c>
    </row>
    <row r="66" spans="2:21" ht="14.25" outlineLevel="3">
      <c r="B66" s="22" t="s">
        <v>77</v>
      </c>
      <c r="C66" s="54" t="s">
        <v>268</v>
      </c>
      <c r="D66" s="64" t="s">
        <v>181</v>
      </c>
      <c r="E66" s="45">
        <f>9948267.62</f>
        <v>9948267.62</v>
      </c>
      <c r="F66" s="27">
        <f>13591790.28</f>
        <v>13591790.28</v>
      </c>
      <c r="G66" s="27">
        <f>0</f>
        <v>0</v>
      </c>
      <c r="H66" s="28">
        <f>13023798.51</f>
        <v>13023798.51</v>
      </c>
      <c r="I66" s="29">
        <f>23920365.56</f>
        <v>23920365.56</v>
      </c>
      <c r="J66" s="30">
        <f>17711115.99</f>
        <v>17711115.99</v>
      </c>
      <c r="K66" s="30">
        <f>2655826</f>
        <v>2655826</v>
      </c>
      <c r="L66" s="30">
        <f>1509024</f>
        <v>1509024</v>
      </c>
      <c r="M66" s="30">
        <f>9963</f>
        <v>9963</v>
      </c>
      <c r="N66" s="30">
        <f>9963</f>
        <v>9963</v>
      </c>
      <c r="O66" s="30">
        <f>0</f>
        <v>0</v>
      </c>
      <c r="P66" s="30">
        <f>0</f>
        <v>0</v>
      </c>
      <c r="Q66" s="30">
        <f>0</f>
        <v>0</v>
      </c>
      <c r="R66" s="30">
        <f>0</f>
        <v>0</v>
      </c>
      <c r="S66" s="30">
        <f>0</f>
        <v>0</v>
      </c>
      <c r="T66" s="30">
        <f>0</f>
        <v>0</v>
      </c>
      <c r="U66" s="30">
        <f>0</f>
        <v>0</v>
      </c>
    </row>
    <row r="67" spans="2:21" ht="14.25" outlineLevel="3">
      <c r="B67" s="22" t="s">
        <v>79</v>
      </c>
      <c r="C67" s="54" t="s">
        <v>269</v>
      </c>
      <c r="D67" s="64" t="s">
        <v>182</v>
      </c>
      <c r="E67" s="45">
        <f>9735212.97</f>
        <v>9735212.97</v>
      </c>
      <c r="F67" s="27">
        <f>30318292.97</f>
        <v>30318292.97</v>
      </c>
      <c r="G67" s="27">
        <f>0</f>
        <v>0</v>
      </c>
      <c r="H67" s="28">
        <f>11427814.83</f>
        <v>11427814.83</v>
      </c>
      <c r="I67" s="29">
        <f>18242792.17</f>
        <v>18242792.17</v>
      </c>
      <c r="J67" s="30">
        <f>24076247.44</f>
        <v>24076247.44</v>
      </c>
      <c r="K67" s="30">
        <f>7635000</f>
        <v>7635000</v>
      </c>
      <c r="L67" s="30">
        <f>0</f>
        <v>0</v>
      </c>
      <c r="M67" s="30">
        <f>0</f>
        <v>0</v>
      </c>
      <c r="N67" s="30">
        <f>0</f>
        <v>0</v>
      </c>
      <c r="O67" s="30">
        <f>0</f>
        <v>0</v>
      </c>
      <c r="P67" s="30">
        <f>0</f>
        <v>0</v>
      </c>
      <c r="Q67" s="30">
        <f>0</f>
        <v>0</v>
      </c>
      <c r="R67" s="30">
        <f>0</f>
        <v>0</v>
      </c>
      <c r="S67" s="30">
        <f>0</f>
        <v>0</v>
      </c>
      <c r="T67" s="30">
        <f>0</f>
        <v>0</v>
      </c>
      <c r="U67" s="30">
        <f>0</f>
        <v>0</v>
      </c>
    </row>
    <row r="68" spans="2:21" ht="14.25" outlineLevel="2">
      <c r="B68" s="22" t="s">
        <v>148</v>
      </c>
      <c r="C68" s="54" t="s">
        <v>81</v>
      </c>
      <c r="D68" s="63" t="s">
        <v>183</v>
      </c>
      <c r="E68" s="45">
        <f>0</f>
        <v>0</v>
      </c>
      <c r="F68" s="27">
        <f>0</f>
        <v>0</v>
      </c>
      <c r="G68" s="27">
        <f>24666584.14</f>
        <v>24666584.14</v>
      </c>
      <c r="H68" s="28">
        <f>26029497.98</f>
        <v>26029497.98</v>
      </c>
      <c r="I68" s="29">
        <f>34922583.9</f>
        <v>34922583.9</v>
      </c>
      <c r="J68" s="30">
        <f>24076247.44</f>
        <v>24076247.44</v>
      </c>
      <c r="K68" s="30">
        <f>7635000</f>
        <v>7635000</v>
      </c>
      <c r="L68" s="30">
        <f>0</f>
        <v>0</v>
      </c>
      <c r="M68" s="30">
        <f>0</f>
        <v>0</v>
      </c>
      <c r="N68" s="30">
        <f>0</f>
        <v>0</v>
      </c>
      <c r="O68" s="30">
        <f>0</f>
        <v>0</v>
      </c>
      <c r="P68" s="30">
        <f>0</f>
        <v>0</v>
      </c>
      <c r="Q68" s="30">
        <f>0</f>
        <v>0</v>
      </c>
      <c r="R68" s="30">
        <f>0</f>
        <v>0</v>
      </c>
      <c r="S68" s="30">
        <f>0</f>
        <v>0</v>
      </c>
      <c r="T68" s="30">
        <f>0</f>
        <v>0</v>
      </c>
      <c r="U68" s="30">
        <f>0</f>
        <v>0</v>
      </c>
    </row>
    <row r="69" spans="2:21" ht="14.25" outlineLevel="2">
      <c r="B69" s="22" t="s">
        <v>149</v>
      </c>
      <c r="C69" s="54" t="s">
        <v>82</v>
      </c>
      <c r="D69" s="63" t="s">
        <v>184</v>
      </c>
      <c r="E69" s="45">
        <f>0</f>
        <v>0</v>
      </c>
      <c r="F69" s="27">
        <f>0</f>
        <v>0</v>
      </c>
      <c r="G69" s="27">
        <f>18734776.29</f>
        <v>18734776.29</v>
      </c>
      <c r="H69" s="28">
        <f>16266907.05</f>
        <v>16266907.05</v>
      </c>
      <c r="I69" s="29">
        <f>1636500</f>
        <v>1636500</v>
      </c>
      <c r="J69" s="30">
        <f>9376594.2</f>
        <v>9376594.2</v>
      </c>
      <c r="K69" s="30">
        <f>12995417</f>
        <v>12995417</v>
      </c>
      <c r="L69" s="30">
        <f>22618323</f>
        <v>22618323</v>
      </c>
      <c r="M69" s="30">
        <f>23787454</f>
        <v>23787454</v>
      </c>
      <c r="N69" s="30">
        <f>23787454</f>
        <v>23787454</v>
      </c>
      <c r="O69" s="30">
        <f>21309454</f>
        <v>21309454</v>
      </c>
      <c r="P69" s="30">
        <f>22749454</f>
        <v>22749454</v>
      </c>
      <c r="Q69" s="30">
        <f>27933454</f>
        <v>27933454</v>
      </c>
      <c r="R69" s="30">
        <f>36109454</f>
        <v>36109454</v>
      </c>
      <c r="S69" s="30">
        <f>37291948</f>
        <v>37291948</v>
      </c>
      <c r="T69" s="30">
        <f>37352770</f>
        <v>37352770</v>
      </c>
      <c r="U69" s="30">
        <f>38791070</f>
        <v>38791070</v>
      </c>
    </row>
    <row r="70" spans="2:21" ht="14.25" outlineLevel="2">
      <c r="B70" s="22" t="s">
        <v>150</v>
      </c>
      <c r="C70" s="54" t="s">
        <v>83</v>
      </c>
      <c r="D70" s="63" t="s">
        <v>185</v>
      </c>
      <c r="E70" s="45">
        <f>0</f>
        <v>0</v>
      </c>
      <c r="F70" s="27">
        <f>0</f>
        <v>0</v>
      </c>
      <c r="G70" s="27">
        <f>2478000</f>
        <v>2478000</v>
      </c>
      <c r="H70" s="28">
        <f>2630762.89</f>
        <v>2630762.89</v>
      </c>
      <c r="I70" s="29">
        <f>1875867.98</f>
        <v>1875867.98</v>
      </c>
      <c r="J70" s="30">
        <f>0</f>
        <v>0</v>
      </c>
      <c r="K70" s="30">
        <f>0</f>
        <v>0</v>
      </c>
      <c r="L70" s="30">
        <f>0</f>
        <v>0</v>
      </c>
      <c r="M70" s="30">
        <f>0</f>
        <v>0</v>
      </c>
      <c r="N70" s="30">
        <f>0</f>
        <v>0</v>
      </c>
      <c r="O70" s="30">
        <f>0</f>
        <v>0</v>
      </c>
      <c r="P70" s="30">
        <f>0</f>
        <v>0</v>
      </c>
      <c r="Q70" s="30">
        <f>0</f>
        <v>0</v>
      </c>
      <c r="R70" s="30">
        <f>0</f>
        <v>0</v>
      </c>
      <c r="S70" s="30">
        <f>0</f>
        <v>0</v>
      </c>
      <c r="T70" s="30">
        <f>0</f>
        <v>0</v>
      </c>
      <c r="U70" s="30">
        <f>0</f>
        <v>0</v>
      </c>
    </row>
    <row r="71" spans="2:22" ht="24" outlineLevel="1">
      <c r="B71" s="21">
        <v>12</v>
      </c>
      <c r="C71" s="78" t="s">
        <v>84</v>
      </c>
      <c r="D71" s="62" t="s">
        <v>84</v>
      </c>
      <c r="E71" s="47" t="s">
        <v>26</v>
      </c>
      <c r="F71" s="35" t="s">
        <v>26</v>
      </c>
      <c r="G71" s="35" t="s">
        <v>26</v>
      </c>
      <c r="H71" s="36" t="s">
        <v>26</v>
      </c>
      <c r="I71" s="37" t="s">
        <v>26</v>
      </c>
      <c r="J71" s="38" t="s">
        <v>26</v>
      </c>
      <c r="K71" s="38" t="s">
        <v>26</v>
      </c>
      <c r="L71" s="38" t="s">
        <v>26</v>
      </c>
      <c r="M71" s="38" t="s">
        <v>26</v>
      </c>
      <c r="N71" s="38" t="s">
        <v>26</v>
      </c>
      <c r="O71" s="38" t="s">
        <v>26</v>
      </c>
      <c r="P71" s="38" t="s">
        <v>26</v>
      </c>
      <c r="Q71" s="38" t="s">
        <v>26</v>
      </c>
      <c r="R71" s="38" t="s">
        <v>26</v>
      </c>
      <c r="S71" s="38" t="s">
        <v>26</v>
      </c>
      <c r="T71" s="38" t="s">
        <v>26</v>
      </c>
      <c r="U71" s="38" t="s">
        <v>26</v>
      </c>
      <c r="V71" s="19"/>
    </row>
    <row r="72" spans="2:21" ht="24" outlineLevel="2">
      <c r="B72" s="22" t="s">
        <v>151</v>
      </c>
      <c r="C72" s="54" t="s">
        <v>85</v>
      </c>
      <c r="D72" s="63" t="s">
        <v>309</v>
      </c>
      <c r="E72" s="45">
        <f>0</f>
        <v>0</v>
      </c>
      <c r="F72" s="27">
        <f>0</f>
        <v>0</v>
      </c>
      <c r="G72" s="27">
        <f>7878043.21</f>
        <v>7878043.21</v>
      </c>
      <c r="H72" s="28">
        <f>7367195.51</f>
        <v>7367195.51</v>
      </c>
      <c r="I72" s="29">
        <f>3591480.25</f>
        <v>3591480.25</v>
      </c>
      <c r="J72" s="30">
        <f>1219063.77</f>
        <v>1219063.77</v>
      </c>
      <c r="K72" s="30">
        <f>0</f>
        <v>0</v>
      </c>
      <c r="L72" s="30">
        <f>0</f>
        <v>0</v>
      </c>
      <c r="M72" s="30">
        <f>0</f>
        <v>0</v>
      </c>
      <c r="N72" s="30">
        <f>0</f>
        <v>0</v>
      </c>
      <c r="O72" s="30">
        <f>0</f>
        <v>0</v>
      </c>
      <c r="P72" s="30">
        <f>0</f>
        <v>0</v>
      </c>
      <c r="Q72" s="30">
        <f>0</f>
        <v>0</v>
      </c>
      <c r="R72" s="30">
        <f>0</f>
        <v>0</v>
      </c>
      <c r="S72" s="30">
        <f>0</f>
        <v>0</v>
      </c>
      <c r="T72" s="30">
        <f>0</f>
        <v>0</v>
      </c>
      <c r="U72" s="30">
        <f>0</f>
        <v>0</v>
      </c>
    </row>
    <row r="73" spans="2:21" ht="14.25" outlineLevel="3">
      <c r="B73" s="22" t="s">
        <v>86</v>
      </c>
      <c r="C73" s="54" t="s">
        <v>87</v>
      </c>
      <c r="D73" s="84" t="s">
        <v>288</v>
      </c>
      <c r="E73" s="45">
        <f>4603323.29</f>
        <v>4603323.29</v>
      </c>
      <c r="F73" s="27">
        <f>7127485.12</f>
        <v>7127485.12</v>
      </c>
      <c r="G73" s="27">
        <f>7132787.01</f>
        <v>7132787.01</v>
      </c>
      <c r="H73" s="28">
        <f>6767913.08</f>
        <v>6767913.08</v>
      </c>
      <c r="I73" s="29">
        <f>3154742.54</f>
        <v>3154742.54</v>
      </c>
      <c r="J73" s="30">
        <f>1065184.75</f>
        <v>1065184.75</v>
      </c>
      <c r="K73" s="30">
        <f>0</f>
        <v>0</v>
      </c>
      <c r="L73" s="30">
        <f>0</f>
        <v>0</v>
      </c>
      <c r="M73" s="30">
        <f>0</f>
        <v>0</v>
      </c>
      <c r="N73" s="30">
        <f>0</f>
        <v>0</v>
      </c>
      <c r="O73" s="30">
        <f>0</f>
        <v>0</v>
      </c>
      <c r="P73" s="30">
        <f>0</f>
        <v>0</v>
      </c>
      <c r="Q73" s="30">
        <f>0</f>
        <v>0</v>
      </c>
      <c r="R73" s="30">
        <f>0</f>
        <v>0</v>
      </c>
      <c r="S73" s="30">
        <f>0</f>
        <v>0</v>
      </c>
      <c r="T73" s="30">
        <f>0</f>
        <v>0</v>
      </c>
      <c r="U73" s="30">
        <f>0</f>
        <v>0</v>
      </c>
    </row>
    <row r="74" spans="2:21" ht="24" outlineLevel="4">
      <c r="B74" s="22" t="s">
        <v>88</v>
      </c>
      <c r="C74" s="54" t="s">
        <v>89</v>
      </c>
      <c r="D74" s="83" t="s">
        <v>287</v>
      </c>
      <c r="E74" s="45">
        <f>0</f>
        <v>0</v>
      </c>
      <c r="F74" s="27">
        <f>0</f>
        <v>0</v>
      </c>
      <c r="G74" s="27">
        <f>7132787.01</f>
        <v>7132787.01</v>
      </c>
      <c r="H74" s="28">
        <f>6767913.08</f>
        <v>6767913.08</v>
      </c>
      <c r="I74" s="29">
        <f>3154742.54</f>
        <v>3154742.54</v>
      </c>
      <c r="J74" s="30">
        <f>1065184.75</f>
        <v>1065184.75</v>
      </c>
      <c r="K74" s="30">
        <f>0</f>
        <v>0</v>
      </c>
      <c r="L74" s="30">
        <f>0</f>
        <v>0</v>
      </c>
      <c r="M74" s="30">
        <f>0</f>
        <v>0</v>
      </c>
      <c r="N74" s="30">
        <f>0</f>
        <v>0</v>
      </c>
      <c r="O74" s="30">
        <f>0</f>
        <v>0</v>
      </c>
      <c r="P74" s="30">
        <f>0</f>
        <v>0</v>
      </c>
      <c r="Q74" s="30">
        <f>0</f>
        <v>0</v>
      </c>
      <c r="R74" s="30">
        <f>0</f>
        <v>0</v>
      </c>
      <c r="S74" s="30">
        <f>0</f>
        <v>0</v>
      </c>
      <c r="T74" s="30">
        <f>0</f>
        <v>0</v>
      </c>
      <c r="U74" s="30">
        <f>0</f>
        <v>0</v>
      </c>
    </row>
    <row r="75" spans="2:21" ht="24" outlineLevel="2">
      <c r="B75" s="22" t="s">
        <v>152</v>
      </c>
      <c r="C75" s="54" t="s">
        <v>90</v>
      </c>
      <c r="D75" s="63" t="s">
        <v>308</v>
      </c>
      <c r="E75" s="45">
        <f>0</f>
        <v>0</v>
      </c>
      <c r="F75" s="27">
        <f>0</f>
        <v>0</v>
      </c>
      <c r="G75" s="27">
        <f>2292204.36</f>
        <v>2292204.36</v>
      </c>
      <c r="H75" s="28">
        <f>1681225.77</f>
        <v>1681225.77</v>
      </c>
      <c r="I75" s="29">
        <f>8853019.62</f>
        <v>8853019.62</v>
      </c>
      <c r="J75" s="30">
        <f>4999060.32</f>
        <v>4999060.32</v>
      </c>
      <c r="K75" s="30">
        <f>0</f>
        <v>0</v>
      </c>
      <c r="L75" s="30">
        <f>0</f>
        <v>0</v>
      </c>
      <c r="M75" s="30">
        <f>0</f>
        <v>0</v>
      </c>
      <c r="N75" s="30">
        <f>0</f>
        <v>0</v>
      </c>
      <c r="O75" s="30">
        <f>0</f>
        <v>0</v>
      </c>
      <c r="P75" s="30">
        <f>0</f>
        <v>0</v>
      </c>
      <c r="Q75" s="30">
        <f>0</f>
        <v>0</v>
      </c>
      <c r="R75" s="30">
        <f>0</f>
        <v>0</v>
      </c>
      <c r="S75" s="30">
        <f>0</f>
        <v>0</v>
      </c>
      <c r="T75" s="30">
        <f>0</f>
        <v>0</v>
      </c>
      <c r="U75" s="30">
        <f>0</f>
        <v>0</v>
      </c>
    </row>
    <row r="76" spans="2:21" ht="14.25" outlineLevel="3">
      <c r="B76" s="22" t="s">
        <v>91</v>
      </c>
      <c r="C76" s="54" t="s">
        <v>92</v>
      </c>
      <c r="D76" s="84" t="s">
        <v>288</v>
      </c>
      <c r="E76" s="45">
        <f>11769688.29</f>
        <v>11769688.29</v>
      </c>
      <c r="F76" s="27">
        <f>2053733.92</f>
        <v>2053733.92</v>
      </c>
      <c r="G76" s="27">
        <f>2012368.5</f>
        <v>2012368.5</v>
      </c>
      <c r="H76" s="28">
        <f>1411062.32</f>
        <v>1411062.32</v>
      </c>
      <c r="I76" s="29">
        <f>8726722.34</f>
        <v>8726722.34</v>
      </c>
      <c r="J76" s="30">
        <f>4999060.32</f>
        <v>4999060.32</v>
      </c>
      <c r="K76" s="30">
        <f>0</f>
        <v>0</v>
      </c>
      <c r="L76" s="30">
        <f>0</f>
        <v>0</v>
      </c>
      <c r="M76" s="30">
        <f>0</f>
        <v>0</v>
      </c>
      <c r="N76" s="30">
        <f>0</f>
        <v>0</v>
      </c>
      <c r="O76" s="30">
        <f>0</f>
        <v>0</v>
      </c>
      <c r="P76" s="30">
        <f>0</f>
        <v>0</v>
      </c>
      <c r="Q76" s="30">
        <f>0</f>
        <v>0</v>
      </c>
      <c r="R76" s="30">
        <f>0</f>
        <v>0</v>
      </c>
      <c r="S76" s="30">
        <f>0</f>
        <v>0</v>
      </c>
      <c r="T76" s="30">
        <f>0</f>
        <v>0</v>
      </c>
      <c r="U76" s="30">
        <f>0</f>
        <v>0</v>
      </c>
    </row>
    <row r="77" spans="2:21" ht="24" outlineLevel="4">
      <c r="B77" s="22" t="s">
        <v>93</v>
      </c>
      <c r="C77" s="54" t="s">
        <v>94</v>
      </c>
      <c r="D77" s="83" t="s">
        <v>286</v>
      </c>
      <c r="E77" s="45">
        <f>0</f>
        <v>0</v>
      </c>
      <c r="F77" s="27">
        <f>0</f>
        <v>0</v>
      </c>
      <c r="G77" s="27">
        <f>2012368.5</f>
        <v>2012368.5</v>
      </c>
      <c r="H77" s="28">
        <f>1411062.32</f>
        <v>1411062.32</v>
      </c>
      <c r="I77" s="29">
        <f>8726722.34</f>
        <v>8726722.34</v>
      </c>
      <c r="J77" s="30">
        <f>4999060.32</f>
        <v>4999060.32</v>
      </c>
      <c r="K77" s="30">
        <f>0</f>
        <v>0</v>
      </c>
      <c r="L77" s="30">
        <f>0</f>
        <v>0</v>
      </c>
      <c r="M77" s="30">
        <f>0</f>
        <v>0</v>
      </c>
      <c r="N77" s="30">
        <f>0</f>
        <v>0</v>
      </c>
      <c r="O77" s="30">
        <f>0</f>
        <v>0</v>
      </c>
      <c r="P77" s="30">
        <f>0</f>
        <v>0</v>
      </c>
      <c r="Q77" s="30">
        <f>0</f>
        <v>0</v>
      </c>
      <c r="R77" s="30">
        <f>0</f>
        <v>0</v>
      </c>
      <c r="S77" s="30">
        <f>0</f>
        <v>0</v>
      </c>
      <c r="T77" s="30">
        <f>0</f>
        <v>0</v>
      </c>
      <c r="U77" s="30">
        <f>0</f>
        <v>0</v>
      </c>
    </row>
    <row r="78" spans="2:21" ht="24" outlineLevel="2">
      <c r="B78" s="22" t="s">
        <v>153</v>
      </c>
      <c r="C78" s="54" t="s">
        <v>95</v>
      </c>
      <c r="D78" s="63" t="s">
        <v>186</v>
      </c>
      <c r="E78" s="45">
        <f>0</f>
        <v>0</v>
      </c>
      <c r="F78" s="27">
        <f>0</f>
        <v>0</v>
      </c>
      <c r="G78" s="27">
        <f>8584595.16</f>
        <v>8584595.16</v>
      </c>
      <c r="H78" s="28">
        <f>7400852.64</f>
        <v>7400852.64</v>
      </c>
      <c r="I78" s="29">
        <f>4494579.03</f>
        <v>4494579.03</v>
      </c>
      <c r="J78" s="30">
        <f>1219063.77</f>
        <v>1219063.77</v>
      </c>
      <c r="K78" s="30">
        <f>0</f>
        <v>0</v>
      </c>
      <c r="L78" s="30">
        <f>0</f>
        <v>0</v>
      </c>
      <c r="M78" s="30">
        <f>0</f>
        <v>0</v>
      </c>
      <c r="N78" s="30">
        <f>0</f>
        <v>0</v>
      </c>
      <c r="O78" s="30">
        <f>0</f>
        <v>0</v>
      </c>
      <c r="P78" s="30">
        <f>0</f>
        <v>0</v>
      </c>
      <c r="Q78" s="30">
        <f>0</f>
        <v>0</v>
      </c>
      <c r="R78" s="30">
        <f>0</f>
        <v>0</v>
      </c>
      <c r="S78" s="30">
        <f>0</f>
        <v>0</v>
      </c>
      <c r="T78" s="30">
        <f>0</f>
        <v>0</v>
      </c>
      <c r="U78" s="30">
        <f>0</f>
        <v>0</v>
      </c>
    </row>
    <row r="79" spans="2:21" ht="14.25" outlineLevel="3">
      <c r="B79" s="22" t="s">
        <v>96</v>
      </c>
      <c r="C79" s="54" t="s">
        <v>97</v>
      </c>
      <c r="D79" s="84" t="s">
        <v>307</v>
      </c>
      <c r="E79" s="45">
        <f>0</f>
        <v>0</v>
      </c>
      <c r="F79" s="27">
        <f>0</f>
        <v>0</v>
      </c>
      <c r="G79" s="27">
        <f>7653083.91</f>
        <v>7653083.91</v>
      </c>
      <c r="H79" s="28">
        <f>6622482.01</f>
        <v>6622482.01</v>
      </c>
      <c r="I79" s="29">
        <f>4020192.8</f>
        <v>4020192.8</v>
      </c>
      <c r="J79" s="30">
        <f>1065184.75</f>
        <v>1065184.75</v>
      </c>
      <c r="K79" s="30">
        <f>0</f>
        <v>0</v>
      </c>
      <c r="L79" s="30">
        <f>0</f>
        <v>0</v>
      </c>
      <c r="M79" s="30">
        <f>0</f>
        <v>0</v>
      </c>
      <c r="N79" s="30">
        <f>0</f>
        <v>0</v>
      </c>
      <c r="O79" s="30">
        <f>0</f>
        <v>0</v>
      </c>
      <c r="P79" s="30">
        <f>0</f>
        <v>0</v>
      </c>
      <c r="Q79" s="30">
        <f>0</f>
        <v>0</v>
      </c>
      <c r="R79" s="30">
        <f>0</f>
        <v>0</v>
      </c>
      <c r="S79" s="30">
        <f>0</f>
        <v>0</v>
      </c>
      <c r="T79" s="30">
        <f>0</f>
        <v>0</v>
      </c>
      <c r="U79" s="30">
        <f>0</f>
        <v>0</v>
      </c>
    </row>
    <row r="80" spans="2:21" ht="24" outlineLevel="3">
      <c r="B80" s="22" t="s">
        <v>98</v>
      </c>
      <c r="C80" s="54" t="s">
        <v>99</v>
      </c>
      <c r="D80" s="64" t="s">
        <v>187</v>
      </c>
      <c r="E80" s="45">
        <f>0</f>
        <v>0</v>
      </c>
      <c r="F80" s="27">
        <f>0</f>
        <v>0</v>
      </c>
      <c r="G80" s="27">
        <f>8584595.16</f>
        <v>8584595.16</v>
      </c>
      <c r="H80" s="28">
        <f>7400852.64</f>
        <v>7400852.64</v>
      </c>
      <c r="I80" s="29">
        <f>4494579.03</f>
        <v>4494579.03</v>
      </c>
      <c r="J80" s="30">
        <f>1219063.77</f>
        <v>1219063.77</v>
      </c>
      <c r="K80" s="30">
        <f>0</f>
        <v>0</v>
      </c>
      <c r="L80" s="30">
        <f>0</f>
        <v>0</v>
      </c>
      <c r="M80" s="30">
        <f>0</f>
        <v>0</v>
      </c>
      <c r="N80" s="30">
        <f>0</f>
        <v>0</v>
      </c>
      <c r="O80" s="30">
        <f>0</f>
        <v>0</v>
      </c>
      <c r="P80" s="30">
        <f>0</f>
        <v>0</v>
      </c>
      <c r="Q80" s="30">
        <f>0</f>
        <v>0</v>
      </c>
      <c r="R80" s="30">
        <f>0</f>
        <v>0</v>
      </c>
      <c r="S80" s="30">
        <f>0</f>
        <v>0</v>
      </c>
      <c r="T80" s="30">
        <f>0</f>
        <v>0</v>
      </c>
      <c r="U80" s="30">
        <f>0</f>
        <v>0</v>
      </c>
    </row>
    <row r="81" spans="2:21" ht="24" outlineLevel="2">
      <c r="B81" s="22" t="s">
        <v>154</v>
      </c>
      <c r="C81" s="54" t="s">
        <v>100</v>
      </c>
      <c r="D81" s="63" t="s">
        <v>188</v>
      </c>
      <c r="E81" s="45">
        <f>0</f>
        <v>0</v>
      </c>
      <c r="F81" s="27">
        <f>0</f>
        <v>0</v>
      </c>
      <c r="G81" s="27">
        <f>2572910</f>
        <v>2572910</v>
      </c>
      <c r="H81" s="28">
        <f>2512951.34</f>
        <v>2512951.34</v>
      </c>
      <c r="I81" s="29">
        <f>13189774.05</f>
        <v>13189774.05</v>
      </c>
      <c r="J81" s="30">
        <f>5881247.44</f>
        <v>5881247.44</v>
      </c>
      <c r="K81" s="30">
        <f>0</f>
        <v>0</v>
      </c>
      <c r="L81" s="30">
        <f>0</f>
        <v>0</v>
      </c>
      <c r="M81" s="30">
        <f>0</f>
        <v>0</v>
      </c>
      <c r="N81" s="30">
        <f>0</f>
        <v>0</v>
      </c>
      <c r="O81" s="30">
        <f>0</f>
        <v>0</v>
      </c>
      <c r="P81" s="30">
        <f>0</f>
        <v>0</v>
      </c>
      <c r="Q81" s="30">
        <f>0</f>
        <v>0</v>
      </c>
      <c r="R81" s="30">
        <f>0</f>
        <v>0</v>
      </c>
      <c r="S81" s="30">
        <f>0</f>
        <v>0</v>
      </c>
      <c r="T81" s="30">
        <f>0</f>
        <v>0</v>
      </c>
      <c r="U81" s="30">
        <f>0</f>
        <v>0</v>
      </c>
    </row>
    <row r="82" spans="2:21" ht="14.25" outlineLevel="3">
      <c r="B82" s="22" t="s">
        <v>101</v>
      </c>
      <c r="C82" s="54" t="s">
        <v>102</v>
      </c>
      <c r="D82" s="84" t="s">
        <v>306</v>
      </c>
      <c r="E82" s="45">
        <f>0</f>
        <v>0</v>
      </c>
      <c r="F82" s="27">
        <f>0</f>
        <v>0</v>
      </c>
      <c r="G82" s="27">
        <f>2200218.5</f>
        <v>2200218.5</v>
      </c>
      <c r="H82" s="28">
        <f>2149246.39</f>
        <v>2149246.39</v>
      </c>
      <c r="I82" s="29">
        <f>8198338.44</f>
        <v>8198338.44</v>
      </c>
      <c r="J82" s="30">
        <f>4999060.32</f>
        <v>4999060.32</v>
      </c>
      <c r="K82" s="30">
        <f>0</f>
        <v>0</v>
      </c>
      <c r="L82" s="30">
        <f>0</f>
        <v>0</v>
      </c>
      <c r="M82" s="30">
        <f>0</f>
        <v>0</v>
      </c>
      <c r="N82" s="30">
        <f>0</f>
        <v>0</v>
      </c>
      <c r="O82" s="30">
        <f>0</f>
        <v>0</v>
      </c>
      <c r="P82" s="30">
        <f>0</f>
        <v>0</v>
      </c>
      <c r="Q82" s="30">
        <f>0</f>
        <v>0</v>
      </c>
      <c r="R82" s="30">
        <f>0</f>
        <v>0</v>
      </c>
      <c r="S82" s="30">
        <f>0</f>
        <v>0</v>
      </c>
      <c r="T82" s="30">
        <f>0</f>
        <v>0</v>
      </c>
      <c r="U82" s="30">
        <f>0</f>
        <v>0</v>
      </c>
    </row>
    <row r="83" spans="2:21" ht="24" outlineLevel="3">
      <c r="B83" s="22" t="s">
        <v>103</v>
      </c>
      <c r="C83" s="54" t="s">
        <v>104</v>
      </c>
      <c r="D83" s="64" t="s">
        <v>189</v>
      </c>
      <c r="E83" s="45">
        <f>0</f>
        <v>0</v>
      </c>
      <c r="F83" s="27">
        <f>0</f>
        <v>0</v>
      </c>
      <c r="G83" s="27">
        <f>2572910</f>
        <v>2572910</v>
      </c>
      <c r="H83" s="28">
        <f>2512951.34</f>
        <v>2512951.34</v>
      </c>
      <c r="I83" s="29">
        <f>13189774.05</f>
        <v>13189774.05</v>
      </c>
      <c r="J83" s="30">
        <f>5881247.44</f>
        <v>5881247.44</v>
      </c>
      <c r="K83" s="30">
        <f>0</f>
        <v>0</v>
      </c>
      <c r="L83" s="30">
        <f>0</f>
        <v>0</v>
      </c>
      <c r="M83" s="30">
        <f>0</f>
        <v>0</v>
      </c>
      <c r="N83" s="30">
        <f>0</f>
        <v>0</v>
      </c>
      <c r="O83" s="30">
        <f>0</f>
        <v>0</v>
      </c>
      <c r="P83" s="30">
        <f>0</f>
        <v>0</v>
      </c>
      <c r="Q83" s="30">
        <f>0</f>
        <v>0</v>
      </c>
      <c r="R83" s="30">
        <f>0</f>
        <v>0</v>
      </c>
      <c r="S83" s="30">
        <f>0</f>
        <v>0</v>
      </c>
      <c r="T83" s="30">
        <f>0</f>
        <v>0</v>
      </c>
      <c r="U83" s="30">
        <f>0</f>
        <v>0</v>
      </c>
    </row>
    <row r="84" spans="1:21" s="70" customFormat="1" ht="36" outlineLevel="2">
      <c r="A84" s="72"/>
      <c r="B84" s="22" t="s">
        <v>244</v>
      </c>
      <c r="C84" s="54" t="s">
        <v>245</v>
      </c>
      <c r="D84" s="63" t="s">
        <v>305</v>
      </c>
      <c r="E84" s="45">
        <f>0</f>
        <v>0</v>
      </c>
      <c r="F84" s="27">
        <f>0</f>
        <v>0</v>
      </c>
      <c r="G84" s="27">
        <f>0</f>
        <v>0</v>
      </c>
      <c r="H84" s="28">
        <f>1142075.58</f>
        <v>1142075.58</v>
      </c>
      <c r="I84" s="29">
        <f>5465821.84</f>
        <v>5465821.84</v>
      </c>
      <c r="J84" s="30">
        <f>1036066.14</f>
        <v>1036066.14</v>
      </c>
      <c r="K84" s="30">
        <f>0</f>
        <v>0</v>
      </c>
      <c r="L84" s="30">
        <f>0</f>
        <v>0</v>
      </c>
      <c r="M84" s="30">
        <f>0</f>
        <v>0</v>
      </c>
      <c r="N84" s="30">
        <f>0</f>
        <v>0</v>
      </c>
      <c r="O84" s="30">
        <f>0</f>
        <v>0</v>
      </c>
      <c r="P84" s="30">
        <f>0</f>
        <v>0</v>
      </c>
      <c r="Q84" s="30">
        <f>0</f>
        <v>0</v>
      </c>
      <c r="R84" s="30">
        <f>0</f>
        <v>0</v>
      </c>
      <c r="S84" s="30">
        <f>0</f>
        <v>0</v>
      </c>
      <c r="T84" s="30">
        <f>0</f>
        <v>0</v>
      </c>
      <c r="U84" s="30">
        <f>0</f>
        <v>0</v>
      </c>
    </row>
    <row r="85" spans="1:21" s="70" customFormat="1" ht="14.25" outlineLevel="3">
      <c r="A85" s="72"/>
      <c r="B85" s="22" t="s">
        <v>246</v>
      </c>
      <c r="C85" s="54" t="s">
        <v>247</v>
      </c>
      <c r="D85" s="64" t="s">
        <v>290</v>
      </c>
      <c r="E85" s="45">
        <f>0</f>
        <v>0</v>
      </c>
      <c r="F85" s="27">
        <f>0</f>
        <v>0</v>
      </c>
      <c r="G85" s="27">
        <f>0</f>
        <v>0</v>
      </c>
      <c r="H85" s="28">
        <f>1142075.58</f>
        <v>1142075.58</v>
      </c>
      <c r="I85" s="29">
        <f>5465821.84</f>
        <v>5465821.84</v>
      </c>
      <c r="J85" s="30">
        <f>1036066.14</f>
        <v>1036066.14</v>
      </c>
      <c r="K85" s="30">
        <f>0</f>
        <v>0</v>
      </c>
      <c r="L85" s="30">
        <f>0</f>
        <v>0</v>
      </c>
      <c r="M85" s="30">
        <f>0</f>
        <v>0</v>
      </c>
      <c r="N85" s="30">
        <f>0</f>
        <v>0</v>
      </c>
      <c r="O85" s="30">
        <f>0</f>
        <v>0</v>
      </c>
      <c r="P85" s="30">
        <f>0</f>
        <v>0</v>
      </c>
      <c r="Q85" s="30">
        <f>0</f>
        <v>0</v>
      </c>
      <c r="R85" s="30">
        <f>0</f>
        <v>0</v>
      </c>
      <c r="S85" s="30">
        <f>0</f>
        <v>0</v>
      </c>
      <c r="T85" s="30">
        <f>0</f>
        <v>0</v>
      </c>
      <c r="U85" s="30">
        <f>0</f>
        <v>0</v>
      </c>
    </row>
    <row r="86" spans="1:21" s="70" customFormat="1" ht="36" outlineLevel="2">
      <c r="A86" s="72"/>
      <c r="B86" s="22" t="s">
        <v>248</v>
      </c>
      <c r="C86" s="54" t="s">
        <v>249</v>
      </c>
      <c r="D86" s="63" t="s">
        <v>289</v>
      </c>
      <c r="E86" s="45">
        <f>0</f>
        <v>0</v>
      </c>
      <c r="F86" s="27">
        <f>0</f>
        <v>0</v>
      </c>
      <c r="G86" s="27">
        <f>0</f>
        <v>0</v>
      </c>
      <c r="H86" s="28">
        <f>190966.59</f>
        <v>190966.59</v>
      </c>
      <c r="I86" s="29">
        <f>5140072.95</f>
        <v>5140072.95</v>
      </c>
      <c r="J86" s="30">
        <f>998631.15</f>
        <v>998631.15</v>
      </c>
      <c r="K86" s="30">
        <f>0</f>
        <v>0</v>
      </c>
      <c r="L86" s="30">
        <f>0</f>
        <v>0</v>
      </c>
      <c r="M86" s="30">
        <f>0</f>
        <v>0</v>
      </c>
      <c r="N86" s="30">
        <f>0</f>
        <v>0</v>
      </c>
      <c r="O86" s="30">
        <f>0</f>
        <v>0</v>
      </c>
      <c r="P86" s="30">
        <f>0</f>
        <v>0</v>
      </c>
      <c r="Q86" s="30">
        <f>0</f>
        <v>0</v>
      </c>
      <c r="R86" s="30">
        <f>0</f>
        <v>0</v>
      </c>
      <c r="S86" s="30">
        <f>0</f>
        <v>0</v>
      </c>
      <c r="T86" s="30">
        <f>0</f>
        <v>0</v>
      </c>
      <c r="U86" s="30">
        <f>0</f>
        <v>0</v>
      </c>
    </row>
    <row r="87" spans="1:21" s="70" customFormat="1" ht="14.25" outlineLevel="3">
      <c r="A87" s="72"/>
      <c r="B87" s="22" t="s">
        <v>250</v>
      </c>
      <c r="C87" s="54" t="s">
        <v>247</v>
      </c>
      <c r="D87" s="64" t="s">
        <v>290</v>
      </c>
      <c r="E87" s="45">
        <f>0</f>
        <v>0</v>
      </c>
      <c r="F87" s="27">
        <f>0</f>
        <v>0</v>
      </c>
      <c r="G87" s="27">
        <f>0</f>
        <v>0</v>
      </c>
      <c r="H87" s="28">
        <f>190966.59</f>
        <v>190966.59</v>
      </c>
      <c r="I87" s="29">
        <f>5140072.95</f>
        <v>5140072.95</v>
      </c>
      <c r="J87" s="30">
        <f>998631.15</f>
        <v>998631.15</v>
      </c>
      <c r="K87" s="30">
        <f>0</f>
        <v>0</v>
      </c>
      <c r="L87" s="30">
        <f>0</f>
        <v>0</v>
      </c>
      <c r="M87" s="30">
        <f>0</f>
        <v>0</v>
      </c>
      <c r="N87" s="30">
        <f>0</f>
        <v>0</v>
      </c>
      <c r="O87" s="30">
        <f>0</f>
        <v>0</v>
      </c>
      <c r="P87" s="30">
        <f>0</f>
        <v>0</v>
      </c>
      <c r="Q87" s="30">
        <f>0</f>
        <v>0</v>
      </c>
      <c r="R87" s="30">
        <f>0</f>
        <v>0</v>
      </c>
      <c r="S87" s="30">
        <f>0</f>
        <v>0</v>
      </c>
      <c r="T87" s="30">
        <f>0</f>
        <v>0</v>
      </c>
      <c r="U87" s="30">
        <f>0</f>
        <v>0</v>
      </c>
    </row>
    <row r="88" spans="1:21" s="70" customFormat="1" ht="36" outlineLevel="2">
      <c r="A88" s="72"/>
      <c r="B88" s="22" t="s">
        <v>251</v>
      </c>
      <c r="C88" s="54" t="s">
        <v>252</v>
      </c>
      <c r="D88" s="63" t="s">
        <v>304</v>
      </c>
      <c r="E88" s="45">
        <f>0</f>
        <v>0</v>
      </c>
      <c r="F88" s="27">
        <f>0</f>
        <v>0</v>
      </c>
      <c r="G88" s="27">
        <f>0</f>
        <v>0</v>
      </c>
      <c r="H88" s="28">
        <f>0</f>
        <v>0</v>
      </c>
      <c r="I88" s="29">
        <f>0</f>
        <v>0</v>
      </c>
      <c r="J88" s="30">
        <f>0</f>
        <v>0</v>
      </c>
      <c r="K88" s="30">
        <f>0</f>
        <v>0</v>
      </c>
      <c r="L88" s="30">
        <f>0</f>
        <v>0</v>
      </c>
      <c r="M88" s="30">
        <f>0</f>
        <v>0</v>
      </c>
      <c r="N88" s="30">
        <f>0</f>
        <v>0</v>
      </c>
      <c r="O88" s="30">
        <f>0</f>
        <v>0</v>
      </c>
      <c r="P88" s="30">
        <f>0</f>
        <v>0</v>
      </c>
      <c r="Q88" s="30">
        <f>0</f>
        <v>0</v>
      </c>
      <c r="R88" s="30">
        <f>0</f>
        <v>0</v>
      </c>
      <c r="S88" s="30">
        <f>0</f>
        <v>0</v>
      </c>
      <c r="T88" s="30">
        <f>0</f>
        <v>0</v>
      </c>
      <c r="U88" s="30">
        <f>0</f>
        <v>0</v>
      </c>
    </row>
    <row r="89" spans="1:21" s="70" customFormat="1" ht="14.25" outlineLevel="3">
      <c r="A89" s="72"/>
      <c r="B89" s="22" t="s">
        <v>253</v>
      </c>
      <c r="C89" s="54" t="s">
        <v>247</v>
      </c>
      <c r="D89" s="64" t="s">
        <v>290</v>
      </c>
      <c r="E89" s="45">
        <f>0</f>
        <v>0</v>
      </c>
      <c r="F89" s="27">
        <f>0</f>
        <v>0</v>
      </c>
      <c r="G89" s="27">
        <f>0</f>
        <v>0</v>
      </c>
      <c r="H89" s="28">
        <f>0</f>
        <v>0</v>
      </c>
      <c r="I89" s="29">
        <f>0</f>
        <v>0</v>
      </c>
      <c r="J89" s="30">
        <f>0</f>
        <v>0</v>
      </c>
      <c r="K89" s="30">
        <f>0</f>
        <v>0</v>
      </c>
      <c r="L89" s="30">
        <f>0</f>
        <v>0</v>
      </c>
      <c r="M89" s="30">
        <f>0</f>
        <v>0</v>
      </c>
      <c r="N89" s="30">
        <f>0</f>
        <v>0</v>
      </c>
      <c r="O89" s="30">
        <f>0</f>
        <v>0</v>
      </c>
      <c r="P89" s="30">
        <f>0</f>
        <v>0</v>
      </c>
      <c r="Q89" s="30">
        <f>0</f>
        <v>0</v>
      </c>
      <c r="R89" s="30">
        <f>0</f>
        <v>0</v>
      </c>
      <c r="S89" s="30">
        <f>0</f>
        <v>0</v>
      </c>
      <c r="T89" s="30">
        <f>0</f>
        <v>0</v>
      </c>
      <c r="U89" s="30">
        <f>0</f>
        <v>0</v>
      </c>
    </row>
    <row r="90" spans="1:21" s="70" customFormat="1" ht="36" outlineLevel="2">
      <c r="A90" s="72"/>
      <c r="B90" s="22" t="s">
        <v>254</v>
      </c>
      <c r="C90" s="54" t="s">
        <v>255</v>
      </c>
      <c r="D90" s="63" t="s">
        <v>303</v>
      </c>
      <c r="E90" s="45">
        <f>0</f>
        <v>0</v>
      </c>
      <c r="F90" s="27">
        <f>0</f>
        <v>0</v>
      </c>
      <c r="G90" s="27">
        <f>0</f>
        <v>0</v>
      </c>
      <c r="H90" s="28">
        <f>0</f>
        <v>0</v>
      </c>
      <c r="I90" s="29">
        <f>0</f>
        <v>0</v>
      </c>
      <c r="J90" s="30">
        <f>0</f>
        <v>0</v>
      </c>
      <c r="K90" s="30">
        <f>0</f>
        <v>0</v>
      </c>
      <c r="L90" s="30">
        <f>0</f>
        <v>0</v>
      </c>
      <c r="M90" s="30">
        <f>0</f>
        <v>0</v>
      </c>
      <c r="N90" s="30">
        <f>0</f>
        <v>0</v>
      </c>
      <c r="O90" s="30">
        <f>0</f>
        <v>0</v>
      </c>
      <c r="P90" s="30">
        <f>0</f>
        <v>0</v>
      </c>
      <c r="Q90" s="30">
        <f>0</f>
        <v>0</v>
      </c>
      <c r="R90" s="30">
        <f>0</f>
        <v>0</v>
      </c>
      <c r="S90" s="30">
        <f>0</f>
        <v>0</v>
      </c>
      <c r="T90" s="30">
        <f>0</f>
        <v>0</v>
      </c>
      <c r="U90" s="30">
        <f>0</f>
        <v>0</v>
      </c>
    </row>
    <row r="91" spans="1:21" s="70" customFormat="1" ht="14.25" outlineLevel="3">
      <c r="A91" s="72"/>
      <c r="B91" s="22" t="s">
        <v>256</v>
      </c>
      <c r="C91" s="54" t="s">
        <v>247</v>
      </c>
      <c r="D91" s="64" t="s">
        <v>290</v>
      </c>
      <c r="E91" s="45">
        <f>0</f>
        <v>0</v>
      </c>
      <c r="F91" s="27">
        <f>0</f>
        <v>0</v>
      </c>
      <c r="G91" s="27">
        <f>0</f>
        <v>0</v>
      </c>
      <c r="H91" s="28">
        <f>0</f>
        <v>0</v>
      </c>
      <c r="I91" s="29">
        <f>0</f>
        <v>0</v>
      </c>
      <c r="J91" s="30">
        <f>0</f>
        <v>0</v>
      </c>
      <c r="K91" s="30">
        <f>0</f>
        <v>0</v>
      </c>
      <c r="L91" s="30">
        <f>0</f>
        <v>0</v>
      </c>
      <c r="M91" s="30">
        <f>0</f>
        <v>0</v>
      </c>
      <c r="N91" s="30">
        <f>0</f>
        <v>0</v>
      </c>
      <c r="O91" s="30">
        <f>0</f>
        <v>0</v>
      </c>
      <c r="P91" s="30">
        <f>0</f>
        <v>0</v>
      </c>
      <c r="Q91" s="30">
        <f>0</f>
        <v>0</v>
      </c>
      <c r="R91" s="30">
        <f>0</f>
        <v>0</v>
      </c>
      <c r="S91" s="30">
        <f>0</f>
        <v>0</v>
      </c>
      <c r="T91" s="30">
        <f>0</f>
        <v>0</v>
      </c>
      <c r="U91" s="30">
        <f>0</f>
        <v>0</v>
      </c>
    </row>
    <row r="92" spans="2:22" ht="24" outlineLevel="1">
      <c r="B92" s="21">
        <v>13</v>
      </c>
      <c r="C92" s="78" t="s">
        <v>105</v>
      </c>
      <c r="D92" s="61" t="s">
        <v>105</v>
      </c>
      <c r="E92" s="47" t="s">
        <v>26</v>
      </c>
      <c r="F92" s="35" t="s">
        <v>26</v>
      </c>
      <c r="G92" s="35" t="s">
        <v>26</v>
      </c>
      <c r="H92" s="36" t="s">
        <v>26</v>
      </c>
      <c r="I92" s="37" t="s">
        <v>26</v>
      </c>
      <c r="J92" s="38" t="s">
        <v>26</v>
      </c>
      <c r="K92" s="38" t="s">
        <v>26</v>
      </c>
      <c r="L92" s="38" t="s">
        <v>26</v>
      </c>
      <c r="M92" s="38" t="s">
        <v>26</v>
      </c>
      <c r="N92" s="38" t="s">
        <v>26</v>
      </c>
      <c r="O92" s="38" t="s">
        <v>26</v>
      </c>
      <c r="P92" s="38" t="s">
        <v>26</v>
      </c>
      <c r="Q92" s="38" t="s">
        <v>26</v>
      </c>
      <c r="R92" s="38" t="s">
        <v>26</v>
      </c>
      <c r="S92" s="38" t="s">
        <v>26</v>
      </c>
      <c r="T92" s="38" t="s">
        <v>26</v>
      </c>
      <c r="U92" s="38" t="s">
        <v>26</v>
      </c>
      <c r="V92" s="19"/>
    </row>
    <row r="93" spans="2:21" ht="24" outlineLevel="2">
      <c r="B93" s="22" t="s">
        <v>155</v>
      </c>
      <c r="C93" s="54" t="s">
        <v>106</v>
      </c>
      <c r="D93" s="63" t="s">
        <v>190</v>
      </c>
      <c r="E93" s="45">
        <f>0</f>
        <v>0</v>
      </c>
      <c r="F93" s="27">
        <f>0</f>
        <v>0</v>
      </c>
      <c r="G93" s="27">
        <f>0</f>
        <v>0</v>
      </c>
      <c r="H93" s="28">
        <f>0</f>
        <v>0</v>
      </c>
      <c r="I93" s="29">
        <f>0</f>
        <v>0</v>
      </c>
      <c r="J93" s="30">
        <f>0</f>
        <v>0</v>
      </c>
      <c r="K93" s="30">
        <f>0</f>
        <v>0</v>
      </c>
      <c r="L93" s="30">
        <f>0</f>
        <v>0</v>
      </c>
      <c r="M93" s="30">
        <f>0</f>
        <v>0</v>
      </c>
      <c r="N93" s="30">
        <f>0</f>
        <v>0</v>
      </c>
      <c r="O93" s="30">
        <f>0</f>
        <v>0</v>
      </c>
      <c r="P93" s="30">
        <f>0</f>
        <v>0</v>
      </c>
      <c r="Q93" s="30">
        <f>0</f>
        <v>0</v>
      </c>
      <c r="R93" s="30">
        <f>0</f>
        <v>0</v>
      </c>
      <c r="S93" s="30">
        <f>0</f>
        <v>0</v>
      </c>
      <c r="T93" s="30">
        <f>0</f>
        <v>0</v>
      </c>
      <c r="U93" s="30">
        <f>0</f>
        <v>0</v>
      </c>
    </row>
    <row r="94" spans="2:21" ht="24" outlineLevel="2">
      <c r="B94" s="22" t="s">
        <v>156</v>
      </c>
      <c r="C94" s="54" t="s">
        <v>107</v>
      </c>
      <c r="D94" s="63" t="s">
        <v>291</v>
      </c>
      <c r="E94" s="45">
        <f>0</f>
        <v>0</v>
      </c>
      <c r="F94" s="27">
        <f>0</f>
        <v>0</v>
      </c>
      <c r="G94" s="27">
        <f>0</f>
        <v>0</v>
      </c>
      <c r="H94" s="28">
        <f>0</f>
        <v>0</v>
      </c>
      <c r="I94" s="29">
        <f>0</f>
        <v>0</v>
      </c>
      <c r="J94" s="30">
        <f>0</f>
        <v>0</v>
      </c>
      <c r="K94" s="30">
        <f>0</f>
        <v>0</v>
      </c>
      <c r="L94" s="30">
        <f>0</f>
        <v>0</v>
      </c>
      <c r="M94" s="30">
        <f>0</f>
        <v>0</v>
      </c>
      <c r="N94" s="30">
        <f>0</f>
        <v>0</v>
      </c>
      <c r="O94" s="30">
        <f>0</f>
        <v>0</v>
      </c>
      <c r="P94" s="30">
        <f>0</f>
        <v>0</v>
      </c>
      <c r="Q94" s="30">
        <f>0</f>
        <v>0</v>
      </c>
      <c r="R94" s="30">
        <f>0</f>
        <v>0</v>
      </c>
      <c r="S94" s="30">
        <f>0</f>
        <v>0</v>
      </c>
      <c r="T94" s="30">
        <f>0</f>
        <v>0</v>
      </c>
      <c r="U94" s="30">
        <f>0</f>
        <v>0</v>
      </c>
    </row>
    <row r="95" spans="2:21" ht="14.25" outlineLevel="2">
      <c r="B95" s="22" t="s">
        <v>157</v>
      </c>
      <c r="C95" s="54" t="s">
        <v>108</v>
      </c>
      <c r="D95" s="63" t="s">
        <v>191</v>
      </c>
      <c r="E95" s="45">
        <f>0</f>
        <v>0</v>
      </c>
      <c r="F95" s="27">
        <f>0</f>
        <v>0</v>
      </c>
      <c r="G95" s="27">
        <f>0</f>
        <v>0</v>
      </c>
      <c r="H95" s="28">
        <f>0</f>
        <v>0</v>
      </c>
      <c r="I95" s="29">
        <f>0</f>
        <v>0</v>
      </c>
      <c r="J95" s="30">
        <f>0</f>
        <v>0</v>
      </c>
      <c r="K95" s="30">
        <f>0</f>
        <v>0</v>
      </c>
      <c r="L95" s="30">
        <f>0</f>
        <v>0</v>
      </c>
      <c r="M95" s="30">
        <f>0</f>
        <v>0</v>
      </c>
      <c r="N95" s="30">
        <f>0</f>
        <v>0</v>
      </c>
      <c r="O95" s="30">
        <f>0</f>
        <v>0</v>
      </c>
      <c r="P95" s="30">
        <f>0</f>
        <v>0</v>
      </c>
      <c r="Q95" s="30">
        <f>0</f>
        <v>0</v>
      </c>
      <c r="R95" s="30">
        <f>0</f>
        <v>0</v>
      </c>
      <c r="S95" s="30">
        <f>0</f>
        <v>0</v>
      </c>
      <c r="T95" s="30">
        <f>0</f>
        <v>0</v>
      </c>
      <c r="U95" s="30">
        <f>0</f>
        <v>0</v>
      </c>
    </row>
    <row r="96" spans="2:21" ht="24" outlineLevel="2">
      <c r="B96" s="22" t="s">
        <v>158</v>
      </c>
      <c r="C96" s="54" t="s">
        <v>109</v>
      </c>
      <c r="D96" s="63" t="s">
        <v>292</v>
      </c>
      <c r="E96" s="45">
        <f>0</f>
        <v>0</v>
      </c>
      <c r="F96" s="27">
        <f>0</f>
        <v>0</v>
      </c>
      <c r="G96" s="27">
        <f>0</f>
        <v>0</v>
      </c>
      <c r="H96" s="28">
        <f>0</f>
        <v>0</v>
      </c>
      <c r="I96" s="29">
        <f>0</f>
        <v>0</v>
      </c>
      <c r="J96" s="30">
        <f>0</f>
        <v>0</v>
      </c>
      <c r="K96" s="30">
        <f>0</f>
        <v>0</v>
      </c>
      <c r="L96" s="30">
        <f>0</f>
        <v>0</v>
      </c>
      <c r="M96" s="30">
        <f>0</f>
        <v>0</v>
      </c>
      <c r="N96" s="30">
        <f>0</f>
        <v>0</v>
      </c>
      <c r="O96" s="30">
        <f>0</f>
        <v>0</v>
      </c>
      <c r="P96" s="30">
        <f>0</f>
        <v>0</v>
      </c>
      <c r="Q96" s="30">
        <f>0</f>
        <v>0</v>
      </c>
      <c r="R96" s="30">
        <f>0</f>
        <v>0</v>
      </c>
      <c r="S96" s="30">
        <f>0</f>
        <v>0</v>
      </c>
      <c r="T96" s="30">
        <f>0</f>
        <v>0</v>
      </c>
      <c r="U96" s="30">
        <f>0</f>
        <v>0</v>
      </c>
    </row>
    <row r="97" spans="2:21" ht="24" outlineLevel="2">
      <c r="B97" s="22" t="s">
        <v>159</v>
      </c>
      <c r="C97" s="54" t="s">
        <v>110</v>
      </c>
      <c r="D97" s="63" t="s">
        <v>293</v>
      </c>
      <c r="E97" s="45">
        <f>0</f>
        <v>0</v>
      </c>
      <c r="F97" s="27">
        <f>0</f>
        <v>0</v>
      </c>
      <c r="G97" s="27">
        <f>0</f>
        <v>0</v>
      </c>
      <c r="H97" s="28">
        <f>0</f>
        <v>0</v>
      </c>
      <c r="I97" s="29">
        <f>0</f>
        <v>0</v>
      </c>
      <c r="J97" s="30">
        <f>0</f>
        <v>0</v>
      </c>
      <c r="K97" s="30">
        <f>0</f>
        <v>0</v>
      </c>
      <c r="L97" s="30">
        <f>0</f>
        <v>0</v>
      </c>
      <c r="M97" s="30">
        <f>0</f>
        <v>0</v>
      </c>
      <c r="N97" s="30">
        <f>0</f>
        <v>0</v>
      </c>
      <c r="O97" s="30">
        <f>0</f>
        <v>0</v>
      </c>
      <c r="P97" s="30">
        <f>0</f>
        <v>0</v>
      </c>
      <c r="Q97" s="30">
        <f>0</f>
        <v>0</v>
      </c>
      <c r="R97" s="30">
        <f>0</f>
        <v>0</v>
      </c>
      <c r="S97" s="30">
        <f>0</f>
        <v>0</v>
      </c>
      <c r="T97" s="30">
        <f>0</f>
        <v>0</v>
      </c>
      <c r="U97" s="30">
        <f>0</f>
        <v>0</v>
      </c>
    </row>
    <row r="98" spans="2:21" ht="24" outlineLevel="2">
      <c r="B98" s="22" t="s">
        <v>160</v>
      </c>
      <c r="C98" s="54" t="s">
        <v>111</v>
      </c>
      <c r="D98" s="63" t="s">
        <v>192</v>
      </c>
      <c r="E98" s="45">
        <f>0</f>
        <v>0</v>
      </c>
      <c r="F98" s="27">
        <f>0</f>
        <v>0</v>
      </c>
      <c r="G98" s="27">
        <f>0</f>
        <v>0</v>
      </c>
      <c r="H98" s="28">
        <f>0</f>
        <v>0</v>
      </c>
      <c r="I98" s="29">
        <f>0</f>
        <v>0</v>
      </c>
      <c r="J98" s="30">
        <f>0</f>
        <v>0</v>
      </c>
      <c r="K98" s="30">
        <f>0</f>
        <v>0</v>
      </c>
      <c r="L98" s="30">
        <f>0</f>
        <v>0</v>
      </c>
      <c r="M98" s="30">
        <f>0</f>
        <v>0</v>
      </c>
      <c r="N98" s="30">
        <f>0</f>
        <v>0</v>
      </c>
      <c r="O98" s="30">
        <f>0</f>
        <v>0</v>
      </c>
      <c r="P98" s="30">
        <f>0</f>
        <v>0</v>
      </c>
      <c r="Q98" s="30">
        <f>0</f>
        <v>0</v>
      </c>
      <c r="R98" s="30">
        <f>0</f>
        <v>0</v>
      </c>
      <c r="S98" s="30">
        <f>0</f>
        <v>0</v>
      </c>
      <c r="T98" s="30">
        <f>0</f>
        <v>0</v>
      </c>
      <c r="U98" s="30">
        <f>0</f>
        <v>0</v>
      </c>
    </row>
    <row r="99" spans="2:21" ht="24" outlineLevel="2">
      <c r="B99" s="22" t="s">
        <v>161</v>
      </c>
      <c r="C99" s="54" t="s">
        <v>112</v>
      </c>
      <c r="D99" s="63" t="s">
        <v>193</v>
      </c>
      <c r="E99" s="45">
        <f>0</f>
        <v>0</v>
      </c>
      <c r="F99" s="27">
        <f>0</f>
        <v>0</v>
      </c>
      <c r="G99" s="27">
        <f>0</f>
        <v>0</v>
      </c>
      <c r="H99" s="28">
        <f>0</f>
        <v>0</v>
      </c>
      <c r="I99" s="29">
        <f>0</f>
        <v>0</v>
      </c>
      <c r="J99" s="30">
        <f>0</f>
        <v>0</v>
      </c>
      <c r="K99" s="30">
        <f>0</f>
        <v>0</v>
      </c>
      <c r="L99" s="30">
        <f>0</f>
        <v>0</v>
      </c>
      <c r="M99" s="30">
        <f>0</f>
        <v>0</v>
      </c>
      <c r="N99" s="30">
        <f>0</f>
        <v>0</v>
      </c>
      <c r="O99" s="30">
        <f>0</f>
        <v>0</v>
      </c>
      <c r="P99" s="30">
        <f>0</f>
        <v>0</v>
      </c>
      <c r="Q99" s="30">
        <f>0</f>
        <v>0</v>
      </c>
      <c r="R99" s="30">
        <f>0</f>
        <v>0</v>
      </c>
      <c r="S99" s="30">
        <f>0</f>
        <v>0</v>
      </c>
      <c r="T99" s="30">
        <f>0</f>
        <v>0</v>
      </c>
      <c r="U99" s="30">
        <f>0</f>
        <v>0</v>
      </c>
    </row>
    <row r="100" spans="1:22" ht="15" outlineLevel="1">
      <c r="A100" s="67" t="s">
        <v>26</v>
      </c>
      <c r="B100" s="21">
        <v>14</v>
      </c>
      <c r="C100" s="78" t="s">
        <v>113</v>
      </c>
      <c r="D100" s="62" t="s">
        <v>113</v>
      </c>
      <c r="E100" s="47" t="s">
        <v>26</v>
      </c>
      <c r="F100" s="35" t="s">
        <v>26</v>
      </c>
      <c r="G100" s="35" t="s">
        <v>26</v>
      </c>
      <c r="H100" s="36" t="s">
        <v>26</v>
      </c>
      <c r="I100" s="37" t="s">
        <v>26</v>
      </c>
      <c r="J100" s="38" t="s">
        <v>26</v>
      </c>
      <c r="K100" s="38" t="s">
        <v>26</v>
      </c>
      <c r="L100" s="38" t="s">
        <v>26</v>
      </c>
      <c r="M100" s="38" t="s">
        <v>26</v>
      </c>
      <c r="N100" s="38" t="s">
        <v>26</v>
      </c>
      <c r="O100" s="38" t="s">
        <v>26</v>
      </c>
      <c r="P100" s="38" t="s">
        <v>26</v>
      </c>
      <c r="Q100" s="38" t="s">
        <v>26</v>
      </c>
      <c r="R100" s="38" t="s">
        <v>26</v>
      </c>
      <c r="S100" s="38" t="s">
        <v>26</v>
      </c>
      <c r="T100" s="38" t="s">
        <v>26</v>
      </c>
      <c r="U100" s="38" t="s">
        <v>26</v>
      </c>
      <c r="V100" s="19"/>
    </row>
    <row r="101" spans="1:21" ht="24" outlineLevel="2">
      <c r="A101" s="67" t="s">
        <v>26</v>
      </c>
      <c r="B101" s="22" t="s">
        <v>162</v>
      </c>
      <c r="C101" s="54" t="s">
        <v>114</v>
      </c>
      <c r="D101" s="63" t="s">
        <v>194</v>
      </c>
      <c r="E101" s="45">
        <f>0</f>
        <v>0</v>
      </c>
      <c r="F101" s="27">
        <f>24179068.76</f>
        <v>24179068.76</v>
      </c>
      <c r="G101" s="27">
        <f>23585724.84</f>
        <v>23585724.84</v>
      </c>
      <c r="H101" s="28">
        <f>23585724.84</f>
        <v>23585724.84</v>
      </c>
      <c r="I101" s="29">
        <f>13440424.92</f>
        <v>13440424.92</v>
      </c>
      <c r="J101" s="30">
        <f>17367725.72</f>
        <v>17367725.72</v>
      </c>
      <c r="K101" s="30">
        <f>13765780</f>
        <v>13765780</v>
      </c>
      <c r="L101" s="30">
        <f>13765780</f>
        <v>13765780</v>
      </c>
      <c r="M101" s="30">
        <f>11543200</f>
        <v>11543200</v>
      </c>
      <c r="N101" s="30">
        <f>11543200</f>
        <v>11543200</v>
      </c>
      <c r="O101" s="30">
        <f>14021200</f>
        <v>14021200</v>
      </c>
      <c r="P101" s="30">
        <f>12581200</f>
        <v>12581200</v>
      </c>
      <c r="Q101" s="30">
        <f>7397200</f>
        <v>7397200</v>
      </c>
      <c r="R101" s="30">
        <f>221200</f>
        <v>221200</v>
      </c>
      <c r="S101" s="30">
        <f>221200</f>
        <v>221200</v>
      </c>
      <c r="T101" s="30">
        <f>221200</f>
        <v>221200</v>
      </c>
      <c r="U101" s="30">
        <f>222900</f>
        <v>222900</v>
      </c>
    </row>
    <row r="102" spans="1:21" ht="14.25" outlineLevel="2">
      <c r="A102" s="67" t="s">
        <v>26</v>
      </c>
      <c r="B102" s="22" t="s">
        <v>163</v>
      </c>
      <c r="C102" s="54" t="s">
        <v>115</v>
      </c>
      <c r="D102" s="63" t="s">
        <v>195</v>
      </c>
      <c r="E102" s="45">
        <f>0</f>
        <v>0</v>
      </c>
      <c r="F102" s="27">
        <f>0</f>
        <v>0</v>
      </c>
      <c r="G102" s="27">
        <f>0</f>
        <v>0</v>
      </c>
      <c r="H102" s="28">
        <f>0</f>
        <v>0</v>
      </c>
      <c r="I102" s="29">
        <f>0</f>
        <v>0</v>
      </c>
      <c r="J102" s="30">
        <f>0</f>
        <v>0</v>
      </c>
      <c r="K102" s="30">
        <f>0</f>
        <v>0</v>
      </c>
      <c r="L102" s="30">
        <f>0</f>
        <v>0</v>
      </c>
      <c r="M102" s="30">
        <f>0</f>
        <v>0</v>
      </c>
      <c r="N102" s="30">
        <f>0</f>
        <v>0</v>
      </c>
      <c r="O102" s="30">
        <f>0</f>
        <v>0</v>
      </c>
      <c r="P102" s="30">
        <f>0</f>
        <v>0</v>
      </c>
      <c r="Q102" s="30">
        <f>0</f>
        <v>0</v>
      </c>
      <c r="R102" s="30">
        <f>0</f>
        <v>0</v>
      </c>
      <c r="S102" s="30">
        <f>0</f>
        <v>0</v>
      </c>
      <c r="T102" s="30">
        <f>0</f>
        <v>0</v>
      </c>
      <c r="U102" s="30">
        <f>0</f>
        <v>0</v>
      </c>
    </row>
    <row r="103" spans="1:21" ht="14.25" outlineLevel="2">
      <c r="A103" s="67" t="s">
        <v>26</v>
      </c>
      <c r="B103" s="22" t="s">
        <v>164</v>
      </c>
      <c r="C103" s="54" t="s">
        <v>116</v>
      </c>
      <c r="D103" s="63" t="s">
        <v>294</v>
      </c>
      <c r="E103" s="45">
        <f>0</f>
        <v>0</v>
      </c>
      <c r="F103" s="27">
        <f>0</f>
        <v>0</v>
      </c>
      <c r="G103" s="27">
        <f>0</f>
        <v>0</v>
      </c>
      <c r="H103" s="28">
        <f>0</f>
        <v>0</v>
      </c>
      <c r="I103" s="29">
        <f>0</f>
        <v>0</v>
      </c>
      <c r="J103" s="30">
        <f>0</f>
        <v>0</v>
      </c>
      <c r="K103" s="30">
        <f>0</f>
        <v>0</v>
      </c>
      <c r="L103" s="30">
        <f>0</f>
        <v>0</v>
      </c>
      <c r="M103" s="30">
        <f>0</f>
        <v>0</v>
      </c>
      <c r="N103" s="30">
        <f>0</f>
        <v>0</v>
      </c>
      <c r="O103" s="30">
        <f>0</f>
        <v>0</v>
      </c>
      <c r="P103" s="30">
        <f>0</f>
        <v>0</v>
      </c>
      <c r="Q103" s="30">
        <f>0</f>
        <v>0</v>
      </c>
      <c r="R103" s="30">
        <f>0</f>
        <v>0</v>
      </c>
      <c r="S103" s="30">
        <f>0</f>
        <v>0</v>
      </c>
      <c r="T103" s="30">
        <f>0</f>
        <v>0</v>
      </c>
      <c r="U103" s="30">
        <f>0</f>
        <v>0</v>
      </c>
    </row>
    <row r="104" spans="1:21" ht="14.25" outlineLevel="3">
      <c r="A104" s="67" t="s">
        <v>26</v>
      </c>
      <c r="B104" s="22" t="s">
        <v>117</v>
      </c>
      <c r="C104" s="54" t="s">
        <v>118</v>
      </c>
      <c r="D104" s="64" t="s">
        <v>196</v>
      </c>
      <c r="E104" s="45">
        <f>0</f>
        <v>0</v>
      </c>
      <c r="F104" s="27">
        <f>0</f>
        <v>0</v>
      </c>
      <c r="G104" s="27">
        <f>0</f>
        <v>0</v>
      </c>
      <c r="H104" s="28">
        <f>0</f>
        <v>0</v>
      </c>
      <c r="I104" s="29">
        <f>0</f>
        <v>0</v>
      </c>
      <c r="J104" s="30">
        <f>0</f>
        <v>0</v>
      </c>
      <c r="K104" s="30">
        <f>0</f>
        <v>0</v>
      </c>
      <c r="L104" s="30">
        <f>0</f>
        <v>0</v>
      </c>
      <c r="M104" s="30">
        <f>0</f>
        <v>0</v>
      </c>
      <c r="N104" s="30">
        <f>0</f>
        <v>0</v>
      </c>
      <c r="O104" s="30">
        <f>0</f>
        <v>0</v>
      </c>
      <c r="P104" s="30">
        <f>0</f>
        <v>0</v>
      </c>
      <c r="Q104" s="30">
        <f>0</f>
        <v>0</v>
      </c>
      <c r="R104" s="30">
        <f>0</f>
        <v>0</v>
      </c>
      <c r="S104" s="30">
        <f>0</f>
        <v>0</v>
      </c>
      <c r="T104" s="30">
        <f>0</f>
        <v>0</v>
      </c>
      <c r="U104" s="30">
        <f>0</f>
        <v>0</v>
      </c>
    </row>
    <row r="105" spans="1:21" ht="14.25" outlineLevel="3">
      <c r="A105" s="67" t="s">
        <v>26</v>
      </c>
      <c r="B105" s="22" t="s">
        <v>119</v>
      </c>
      <c r="C105" s="54" t="s">
        <v>257</v>
      </c>
      <c r="D105" s="64" t="s">
        <v>295</v>
      </c>
      <c r="E105" s="45">
        <f>0</f>
        <v>0</v>
      </c>
      <c r="F105" s="27">
        <f>0</f>
        <v>0</v>
      </c>
      <c r="G105" s="27">
        <f>0</f>
        <v>0</v>
      </c>
      <c r="H105" s="28">
        <f>0</f>
        <v>0</v>
      </c>
      <c r="I105" s="29">
        <f>0</f>
        <v>0</v>
      </c>
      <c r="J105" s="30">
        <f>0</f>
        <v>0</v>
      </c>
      <c r="K105" s="30">
        <f>0</f>
        <v>0</v>
      </c>
      <c r="L105" s="30">
        <f>0</f>
        <v>0</v>
      </c>
      <c r="M105" s="30">
        <f>0</f>
        <v>0</v>
      </c>
      <c r="N105" s="30">
        <f>0</f>
        <v>0</v>
      </c>
      <c r="O105" s="30">
        <f>0</f>
        <v>0</v>
      </c>
      <c r="P105" s="30">
        <f>0</f>
        <v>0</v>
      </c>
      <c r="Q105" s="30">
        <f>0</f>
        <v>0</v>
      </c>
      <c r="R105" s="30">
        <f>0</f>
        <v>0</v>
      </c>
      <c r="S105" s="30">
        <f>0</f>
        <v>0</v>
      </c>
      <c r="T105" s="30">
        <f>0</f>
        <v>0</v>
      </c>
      <c r="U105" s="30">
        <f>0</f>
        <v>0</v>
      </c>
    </row>
    <row r="106" spans="1:21" ht="14.25" outlineLevel="3">
      <c r="A106" s="67" t="s">
        <v>26</v>
      </c>
      <c r="B106" s="22" t="s">
        <v>120</v>
      </c>
      <c r="C106" s="54" t="s">
        <v>121</v>
      </c>
      <c r="D106" s="64" t="s">
        <v>197</v>
      </c>
      <c r="E106" s="45">
        <f>0</f>
        <v>0</v>
      </c>
      <c r="F106" s="27">
        <f>0</f>
        <v>0</v>
      </c>
      <c r="G106" s="27">
        <f>0</f>
        <v>0</v>
      </c>
      <c r="H106" s="28">
        <f>0</f>
        <v>0</v>
      </c>
      <c r="I106" s="29">
        <f>0</f>
        <v>0</v>
      </c>
      <c r="J106" s="30">
        <f>0</f>
        <v>0</v>
      </c>
      <c r="K106" s="30">
        <f>0</f>
        <v>0</v>
      </c>
      <c r="L106" s="30">
        <f>0</f>
        <v>0</v>
      </c>
      <c r="M106" s="30">
        <f>0</f>
        <v>0</v>
      </c>
      <c r="N106" s="30">
        <f>0</f>
        <v>0</v>
      </c>
      <c r="O106" s="30">
        <f>0</f>
        <v>0</v>
      </c>
      <c r="P106" s="30">
        <f>0</f>
        <v>0</v>
      </c>
      <c r="Q106" s="30">
        <f>0</f>
        <v>0</v>
      </c>
      <c r="R106" s="30">
        <f>0</f>
        <v>0</v>
      </c>
      <c r="S106" s="30">
        <f>0</f>
        <v>0</v>
      </c>
      <c r="T106" s="30">
        <f>0</f>
        <v>0</v>
      </c>
      <c r="U106" s="30">
        <f>0</f>
        <v>0</v>
      </c>
    </row>
    <row r="107" spans="1:21" ht="14.25" outlineLevel="2">
      <c r="A107" s="67" t="s">
        <v>26</v>
      </c>
      <c r="B107" s="22" t="s">
        <v>165</v>
      </c>
      <c r="C107" s="54" t="s">
        <v>122</v>
      </c>
      <c r="D107" s="63" t="s">
        <v>302</v>
      </c>
      <c r="E107" s="45">
        <f>0</f>
        <v>0</v>
      </c>
      <c r="F107" s="27">
        <f>0</f>
        <v>0</v>
      </c>
      <c r="G107" s="27">
        <f>0</f>
        <v>0</v>
      </c>
      <c r="H107" s="28">
        <f>0</f>
        <v>0</v>
      </c>
      <c r="I107" s="29">
        <f>0</f>
        <v>0</v>
      </c>
      <c r="J107" s="30">
        <f>0</f>
        <v>0</v>
      </c>
      <c r="K107" s="30">
        <f>0</f>
        <v>0</v>
      </c>
      <c r="L107" s="30">
        <f>0</f>
        <v>0</v>
      </c>
      <c r="M107" s="30">
        <f>0</f>
        <v>0</v>
      </c>
      <c r="N107" s="30">
        <f>0</f>
        <v>0</v>
      </c>
      <c r="O107" s="30">
        <f>0</f>
        <v>0</v>
      </c>
      <c r="P107" s="30">
        <f>0</f>
        <v>0</v>
      </c>
      <c r="Q107" s="30">
        <f>0</f>
        <v>0</v>
      </c>
      <c r="R107" s="30">
        <f>0</f>
        <v>0</v>
      </c>
      <c r="S107" s="30">
        <f>0</f>
        <v>0</v>
      </c>
      <c r="T107" s="30">
        <f>0</f>
        <v>0</v>
      </c>
      <c r="U107" s="30">
        <f>0</f>
        <v>0</v>
      </c>
    </row>
    <row r="108" spans="1:21" s="70" customFormat="1" ht="14.25" outlineLevel="1">
      <c r="A108" s="72"/>
      <c r="B108" s="21">
        <v>15</v>
      </c>
      <c r="C108" s="78" t="s">
        <v>258</v>
      </c>
      <c r="D108" s="62" t="s">
        <v>258</v>
      </c>
      <c r="E108" s="47" t="s">
        <v>26</v>
      </c>
      <c r="F108" s="35" t="s">
        <v>26</v>
      </c>
      <c r="G108" s="35" t="s">
        <v>26</v>
      </c>
      <c r="H108" s="36" t="s">
        <v>26</v>
      </c>
      <c r="I108" s="37" t="s">
        <v>26</v>
      </c>
      <c r="J108" s="38" t="s">
        <v>26</v>
      </c>
      <c r="K108" s="38" t="s">
        <v>26</v>
      </c>
      <c r="L108" s="38" t="s">
        <v>26</v>
      </c>
      <c r="M108" s="38" t="s">
        <v>26</v>
      </c>
      <c r="N108" s="38" t="s">
        <v>26</v>
      </c>
      <c r="O108" s="38" t="s">
        <v>26</v>
      </c>
      <c r="P108" s="38" t="s">
        <v>26</v>
      </c>
      <c r="Q108" s="38" t="s">
        <v>26</v>
      </c>
      <c r="R108" s="38" t="s">
        <v>26</v>
      </c>
      <c r="S108" s="38" t="s">
        <v>26</v>
      </c>
      <c r="T108" s="38" t="s">
        <v>26</v>
      </c>
      <c r="U108" s="38" t="s">
        <v>26</v>
      </c>
    </row>
    <row r="109" spans="1:21" s="70" customFormat="1" ht="14.25" outlineLevel="2">
      <c r="A109" s="72"/>
      <c r="B109" s="22" t="s">
        <v>259</v>
      </c>
      <c r="C109" s="54" t="s">
        <v>260</v>
      </c>
      <c r="D109" s="63" t="s">
        <v>297</v>
      </c>
      <c r="E109" s="45">
        <f>0</f>
        <v>0</v>
      </c>
      <c r="F109" s="27">
        <f>0</f>
        <v>0</v>
      </c>
      <c r="G109" s="27">
        <f>0</f>
        <v>0</v>
      </c>
      <c r="H109" s="28">
        <f>0</f>
        <v>0</v>
      </c>
      <c r="I109" s="29">
        <f>0</f>
        <v>0</v>
      </c>
      <c r="J109" s="30">
        <f>0</f>
        <v>0</v>
      </c>
      <c r="K109" s="30">
        <f>0</f>
        <v>0</v>
      </c>
      <c r="L109" s="30">
        <f>0</f>
        <v>0</v>
      </c>
      <c r="M109" s="30">
        <f>0</f>
        <v>0</v>
      </c>
      <c r="N109" s="30">
        <f>0</f>
        <v>0</v>
      </c>
      <c r="O109" s="30">
        <f>0</f>
        <v>0</v>
      </c>
      <c r="P109" s="30">
        <f>0</f>
        <v>0</v>
      </c>
      <c r="Q109" s="30">
        <f>0</f>
        <v>0</v>
      </c>
      <c r="R109" s="30">
        <f>0</f>
        <v>0</v>
      </c>
      <c r="S109" s="30">
        <f>0</f>
        <v>0</v>
      </c>
      <c r="T109" s="30">
        <f>0</f>
        <v>0</v>
      </c>
      <c r="U109" s="30">
        <f>0</f>
        <v>0</v>
      </c>
    </row>
    <row r="110" spans="1:21" s="70" customFormat="1" ht="14.25" outlineLevel="3">
      <c r="A110" s="72" t="s">
        <v>26</v>
      </c>
      <c r="B110" s="22" t="s">
        <v>261</v>
      </c>
      <c r="C110" s="54" t="s">
        <v>262</v>
      </c>
      <c r="D110" s="64" t="s">
        <v>296</v>
      </c>
      <c r="E110" s="45">
        <f>0</f>
        <v>0</v>
      </c>
      <c r="F110" s="27">
        <f>0</f>
        <v>0</v>
      </c>
      <c r="G110" s="27">
        <f>0</f>
        <v>0</v>
      </c>
      <c r="H110" s="28">
        <f>0</f>
        <v>0</v>
      </c>
      <c r="I110" s="29">
        <f>0</f>
        <v>0</v>
      </c>
      <c r="J110" s="30">
        <f>0</f>
        <v>0</v>
      </c>
      <c r="K110" s="30">
        <f>0</f>
        <v>0</v>
      </c>
      <c r="L110" s="30">
        <f>0</f>
        <v>0</v>
      </c>
      <c r="M110" s="30">
        <f>0</f>
        <v>0</v>
      </c>
      <c r="N110" s="30">
        <f>0</f>
        <v>0</v>
      </c>
      <c r="O110" s="30">
        <f>0</f>
        <v>0</v>
      </c>
      <c r="P110" s="30">
        <f>0</f>
        <v>0</v>
      </c>
      <c r="Q110" s="30">
        <f>0</f>
        <v>0</v>
      </c>
      <c r="R110" s="30">
        <f>0</f>
        <v>0</v>
      </c>
      <c r="S110" s="30">
        <f>0</f>
        <v>0</v>
      </c>
      <c r="T110" s="30">
        <f>0</f>
        <v>0</v>
      </c>
      <c r="U110" s="30">
        <f>0</f>
        <v>0</v>
      </c>
    </row>
    <row r="111" spans="1:21" s="70" customFormat="1" ht="24" outlineLevel="2">
      <c r="A111" s="72" t="s">
        <v>26</v>
      </c>
      <c r="B111" s="71" t="s">
        <v>263</v>
      </c>
      <c r="C111" s="79" t="s">
        <v>265</v>
      </c>
      <c r="D111" s="66" t="s">
        <v>265</v>
      </c>
      <c r="E111" s="48">
        <f>0</f>
        <v>0</v>
      </c>
      <c r="F111" s="39">
        <f>0</f>
        <v>0</v>
      </c>
      <c r="G111" s="39">
        <f>0</f>
        <v>0</v>
      </c>
      <c r="H111" s="40">
        <f>0</f>
        <v>0</v>
      </c>
      <c r="I111" s="41">
        <f>0</f>
        <v>0</v>
      </c>
      <c r="J111" s="42">
        <f>0</f>
        <v>0</v>
      </c>
      <c r="K111" s="42">
        <f>0</f>
        <v>0</v>
      </c>
      <c r="L111" s="42">
        <f>0</f>
        <v>0</v>
      </c>
      <c r="M111" s="42">
        <f>0</f>
        <v>0</v>
      </c>
      <c r="N111" s="42">
        <f>0</f>
        <v>0</v>
      </c>
      <c r="O111" s="42">
        <f>0</f>
        <v>0</v>
      </c>
      <c r="P111" s="42">
        <f>0</f>
        <v>0</v>
      </c>
      <c r="Q111" s="42">
        <f>0</f>
        <v>0</v>
      </c>
      <c r="R111" s="42">
        <f>0</f>
        <v>0</v>
      </c>
      <c r="S111" s="42">
        <f>0</f>
        <v>0</v>
      </c>
      <c r="T111" s="42">
        <f>0</f>
        <v>0</v>
      </c>
      <c r="U111" s="42">
        <f>0</f>
        <v>0</v>
      </c>
    </row>
  </sheetData>
  <sheetProtection formatCells="0" formatColumns="0" formatRows="0" insertColumns="0" deleteColumns="0"/>
  <autoFilter ref="A6:A107"/>
  <mergeCells count="1">
    <mergeCell ref="E5:F5"/>
  </mergeCells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123</v>
      </c>
      <c r="C11" s="15" t="s">
        <v>27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28</v>
      </c>
      <c r="C12" s="15" t="s">
        <v>29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30</v>
      </c>
      <c r="C13" s="15" t="s">
        <v>31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32</v>
      </c>
      <c r="C14" s="15" t="s">
        <v>33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34</v>
      </c>
      <c r="C15" s="15" t="s">
        <v>35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36</v>
      </c>
      <c r="C16" s="15" t="s">
        <v>37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38</v>
      </c>
      <c r="C17" s="15" t="s">
        <v>39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124</v>
      </c>
      <c r="C18" s="15" t="s">
        <v>40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41</v>
      </c>
      <c r="C19" s="15" t="s">
        <v>42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43</v>
      </c>
      <c r="C20" s="15" t="s">
        <v>44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125</v>
      </c>
      <c r="C22" s="15" t="s">
        <v>45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46</v>
      </c>
      <c r="C23" s="15" t="s">
        <v>47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48</v>
      </c>
      <c r="C24" s="15" t="s">
        <v>206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49</v>
      </c>
      <c r="C25" s="15" t="s">
        <v>207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50</v>
      </c>
      <c r="C26" s="15" t="s">
        <v>208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51</v>
      </c>
      <c r="C27" s="15" t="s">
        <v>209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210</v>
      </c>
      <c r="C28" s="15" t="s">
        <v>211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212</v>
      </c>
      <c r="C29" s="15" t="s">
        <v>213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126</v>
      </c>
      <c r="C30" s="15" t="s">
        <v>52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19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20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127</v>
      </c>
      <c r="C33" s="15" t="s">
        <v>53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54</v>
      </c>
      <c r="C34" s="15" t="s">
        <v>55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128</v>
      </c>
      <c r="C35" s="15" t="s">
        <v>56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57</v>
      </c>
      <c r="C36" s="15" t="s">
        <v>58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129</v>
      </c>
      <c r="C37" s="15" t="s">
        <v>59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60</v>
      </c>
      <c r="C38" s="15" t="s">
        <v>58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130</v>
      </c>
      <c r="C39" s="15" t="s">
        <v>61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62</v>
      </c>
      <c r="C40" s="15" t="s">
        <v>58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63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131</v>
      </c>
      <c r="C42" s="15" t="s">
        <v>64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65</v>
      </c>
      <c r="C43" s="15" t="s">
        <v>218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66</v>
      </c>
      <c r="C44" s="15" t="s">
        <v>219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220</v>
      </c>
      <c r="C45" s="15" t="s">
        <v>221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222</v>
      </c>
      <c r="C46" s="15" t="s">
        <v>223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132</v>
      </c>
      <c r="C47" s="15" t="s">
        <v>67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23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68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133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134</v>
      </c>
      <c r="C51" s="15" t="s">
        <v>69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135</v>
      </c>
      <c r="C52" s="15" t="s">
        <v>226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136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137</v>
      </c>
      <c r="C54" s="15" t="s">
        <v>228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138</v>
      </c>
      <c r="C55" s="15" t="s">
        <v>230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139</v>
      </c>
      <c r="C56" s="15" t="s">
        <v>231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140</v>
      </c>
      <c r="C57" s="15" t="s">
        <v>233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141</v>
      </c>
      <c r="C58" s="15" t="s">
        <v>235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142</v>
      </c>
      <c r="C59" s="15" t="s">
        <v>236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70</v>
      </c>
      <c r="C60" s="15" t="s">
        <v>237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143</v>
      </c>
      <c r="C61" s="15" t="s">
        <v>239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71</v>
      </c>
      <c r="C62" s="15" t="s">
        <v>241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72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144</v>
      </c>
      <c r="C64" s="15" t="s">
        <v>73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74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145</v>
      </c>
      <c r="C66" s="15" t="s">
        <v>75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146</v>
      </c>
      <c r="C67" s="15" t="s">
        <v>76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147</v>
      </c>
      <c r="C68" s="15" t="s">
        <v>243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77</v>
      </c>
      <c r="C69" s="15" t="s">
        <v>78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79</v>
      </c>
      <c r="C70" s="15" t="s">
        <v>80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148</v>
      </c>
      <c r="C71" s="15" t="s">
        <v>81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149</v>
      </c>
      <c r="C72" s="15" t="s">
        <v>82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150</v>
      </c>
      <c r="C73" s="15" t="s">
        <v>83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84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151</v>
      </c>
      <c r="C75" s="15" t="s">
        <v>85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86</v>
      </c>
      <c r="C76" s="15" t="s">
        <v>87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88</v>
      </c>
      <c r="C77" s="15" t="s">
        <v>89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152</v>
      </c>
      <c r="C78" s="15" t="s">
        <v>90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91</v>
      </c>
      <c r="C79" s="15" t="s">
        <v>92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93</v>
      </c>
      <c r="C80" s="15" t="s">
        <v>94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153</v>
      </c>
      <c r="C81" s="15" t="s">
        <v>95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96</v>
      </c>
      <c r="C82" s="15" t="s">
        <v>97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98</v>
      </c>
      <c r="C83" s="15" t="s">
        <v>99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154</v>
      </c>
      <c r="C84" s="15" t="s">
        <v>100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101</v>
      </c>
      <c r="C85" s="15" t="s">
        <v>102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103</v>
      </c>
      <c r="C86" s="15" t="s">
        <v>104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244</v>
      </c>
      <c r="C87" s="15" t="s">
        <v>245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246</v>
      </c>
      <c r="C88" s="15" t="s">
        <v>247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248</v>
      </c>
      <c r="C89" s="15" t="s">
        <v>249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250</v>
      </c>
      <c r="C90" s="15" t="s">
        <v>247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251</v>
      </c>
      <c r="C91" s="15" t="s">
        <v>252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253</v>
      </c>
      <c r="C92" s="15" t="s">
        <v>247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254</v>
      </c>
      <c r="C93" s="15" t="s">
        <v>255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256</v>
      </c>
      <c r="C94" s="15" t="s">
        <v>247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105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155</v>
      </c>
      <c r="C96" s="15" t="s">
        <v>106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156</v>
      </c>
      <c r="C97" s="15" t="s">
        <v>107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157</v>
      </c>
      <c r="C98" s="15" t="s">
        <v>108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158</v>
      </c>
      <c r="C99" s="15" t="s">
        <v>109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159</v>
      </c>
      <c r="C100" s="15" t="s">
        <v>110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160</v>
      </c>
      <c r="C101" s="15" t="s">
        <v>111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161</v>
      </c>
      <c r="C102" s="15" t="s">
        <v>112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113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162</v>
      </c>
      <c r="C104" s="15" t="s">
        <v>114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163</v>
      </c>
      <c r="C105" s="15" t="s">
        <v>115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164</v>
      </c>
      <c r="C106" s="15" t="s">
        <v>116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117</v>
      </c>
      <c r="C107" s="15" t="s">
        <v>118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119</v>
      </c>
      <c r="C108" s="15" t="s">
        <v>257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120</v>
      </c>
      <c r="C109" s="15" t="s">
        <v>121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165</v>
      </c>
      <c r="C110" s="15" t="s">
        <v>122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258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259</v>
      </c>
      <c r="C112" s="15" t="s">
        <v>260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261</v>
      </c>
      <c r="C113" s="15" t="s">
        <v>262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263</v>
      </c>
      <c r="C114" s="15" t="s">
        <v>264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0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3</v>
      </c>
      <c r="M4" s="6">
        <v>2017</v>
      </c>
      <c r="N4" s="7">
        <v>0</v>
      </c>
      <c r="O4" s="11">
        <v>41803</v>
      </c>
      <c r="P4" s="11">
        <v>41803</v>
      </c>
    </row>
    <row r="5" spans="1:16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11</v>
      </c>
      <c r="M5" s="6">
        <v>2025</v>
      </c>
      <c r="N5" s="7">
        <v>0</v>
      </c>
      <c r="O5" s="11">
        <v>41803</v>
      </c>
      <c r="P5" s="11">
        <v>41803</v>
      </c>
    </row>
    <row r="6" spans="1:16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8</v>
      </c>
      <c r="M6" s="6">
        <v>2022</v>
      </c>
      <c r="N6" s="7">
        <v>0</v>
      </c>
      <c r="O6" s="11">
        <v>41803</v>
      </c>
      <c r="P6" s="11">
        <v>41803</v>
      </c>
    </row>
    <row r="7" spans="1:16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0</v>
      </c>
      <c r="M7" s="6">
        <v>2014</v>
      </c>
      <c r="N7" s="7">
        <v>27168179</v>
      </c>
      <c r="O7" s="11">
        <v>41803</v>
      </c>
      <c r="P7" s="11">
        <v>41803</v>
      </c>
    </row>
    <row r="8" spans="1:16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6</v>
      </c>
      <c r="M8" s="6">
        <v>2020</v>
      </c>
      <c r="N8" s="7">
        <v>0</v>
      </c>
      <c r="O8" s="11">
        <v>41803</v>
      </c>
      <c r="P8" s="11">
        <v>41803</v>
      </c>
    </row>
    <row r="9" spans="1:16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12</v>
      </c>
      <c r="M9" s="6">
        <v>2026</v>
      </c>
      <c r="N9" s="7">
        <v>0</v>
      </c>
      <c r="O9" s="11">
        <v>41803</v>
      </c>
      <c r="P9" s="11">
        <v>41803</v>
      </c>
    </row>
    <row r="10" spans="1:16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5</v>
      </c>
      <c r="M10" s="6">
        <v>2019</v>
      </c>
      <c r="N10" s="7">
        <v>0</v>
      </c>
      <c r="O10" s="11">
        <v>41803</v>
      </c>
      <c r="P10" s="11">
        <v>41803</v>
      </c>
    </row>
    <row r="11" spans="1:16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2</v>
      </c>
      <c r="M11" s="6">
        <v>2016</v>
      </c>
      <c r="N11" s="7">
        <v>0</v>
      </c>
      <c r="O11" s="11">
        <v>41803</v>
      </c>
      <c r="P11" s="11">
        <v>41803</v>
      </c>
    </row>
    <row r="12" spans="1:16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1</v>
      </c>
      <c r="M12" s="6">
        <v>2015</v>
      </c>
      <c r="N12" s="7">
        <v>13000000</v>
      </c>
      <c r="O12" s="11">
        <v>41803</v>
      </c>
      <c r="P12" s="11">
        <v>41803</v>
      </c>
    </row>
    <row r="13" spans="1:16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4</v>
      </c>
      <c r="M13" s="6">
        <v>2018</v>
      </c>
      <c r="N13" s="7">
        <v>0</v>
      </c>
      <c r="O13" s="11">
        <v>41803</v>
      </c>
      <c r="P13" s="11">
        <v>41803</v>
      </c>
    </row>
    <row r="14" spans="1:16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9</v>
      </c>
      <c r="M14" s="6">
        <v>2023</v>
      </c>
      <c r="N14" s="7">
        <v>0</v>
      </c>
      <c r="O14" s="11">
        <v>41803</v>
      </c>
      <c r="P14" s="11">
        <v>41803</v>
      </c>
    </row>
    <row r="15" spans="1:16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10</v>
      </c>
      <c r="M15" s="6">
        <v>2024</v>
      </c>
      <c r="N15" s="7">
        <v>0</v>
      </c>
      <c r="O15" s="11">
        <v>41803</v>
      </c>
      <c r="P15" s="11">
        <v>41803</v>
      </c>
    </row>
    <row r="16" spans="1:16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7</v>
      </c>
      <c r="M16" s="6">
        <v>2021</v>
      </c>
      <c r="N16" s="7">
        <v>0</v>
      </c>
      <c r="O16" s="11">
        <v>41803</v>
      </c>
      <c r="P16" s="11">
        <v>41803</v>
      </c>
    </row>
    <row r="17" spans="1:16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8</v>
      </c>
      <c r="M17" s="6">
        <v>2022</v>
      </c>
      <c r="N17" s="7">
        <v>0</v>
      </c>
      <c r="O17" s="11">
        <v>41803</v>
      </c>
      <c r="P17" s="11">
        <v>41803</v>
      </c>
    </row>
    <row r="18" spans="1:16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12</v>
      </c>
      <c r="M18" s="6">
        <v>2026</v>
      </c>
      <c r="N18" s="7">
        <v>0</v>
      </c>
      <c r="O18" s="11">
        <v>41803</v>
      </c>
      <c r="P18" s="11">
        <v>41803</v>
      </c>
    </row>
    <row r="19" spans="1:16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7</v>
      </c>
      <c r="M19" s="6">
        <v>2021</v>
      </c>
      <c r="N19" s="7">
        <v>0</v>
      </c>
      <c r="O19" s="11">
        <v>41803</v>
      </c>
      <c r="P19" s="11">
        <v>41803</v>
      </c>
    </row>
    <row r="20" spans="1:16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0</v>
      </c>
      <c r="M20" s="6">
        <v>2014</v>
      </c>
      <c r="N20" s="7">
        <v>4020192.8</v>
      </c>
      <c r="O20" s="11">
        <v>41803</v>
      </c>
      <c r="P20" s="11">
        <v>41803</v>
      </c>
    </row>
    <row r="21" spans="1:16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9</v>
      </c>
      <c r="M21" s="6">
        <v>2023</v>
      </c>
      <c r="N21" s="7">
        <v>0</v>
      </c>
      <c r="O21" s="11">
        <v>41803</v>
      </c>
      <c r="P21" s="11">
        <v>41803</v>
      </c>
    </row>
    <row r="22" spans="1:16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1</v>
      </c>
      <c r="M22" s="6">
        <v>2015</v>
      </c>
      <c r="N22" s="7">
        <v>1065184.75</v>
      </c>
      <c r="O22" s="11">
        <v>41803</v>
      </c>
      <c r="P22" s="11">
        <v>41803</v>
      </c>
    </row>
    <row r="23" spans="1:16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2</v>
      </c>
      <c r="M23" s="6">
        <v>2016</v>
      </c>
      <c r="N23" s="7">
        <v>0</v>
      </c>
      <c r="O23" s="11">
        <v>41803</v>
      </c>
      <c r="P23" s="11">
        <v>41803</v>
      </c>
    </row>
    <row r="24" spans="1:16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5</v>
      </c>
      <c r="M24" s="6">
        <v>2019</v>
      </c>
      <c r="N24" s="7">
        <v>0</v>
      </c>
      <c r="O24" s="11">
        <v>41803</v>
      </c>
      <c r="P24" s="11">
        <v>41803</v>
      </c>
    </row>
    <row r="25" spans="1:16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11</v>
      </c>
      <c r="M25" s="6">
        <v>2025</v>
      </c>
      <c r="N25" s="7">
        <v>0</v>
      </c>
      <c r="O25" s="11">
        <v>41803</v>
      </c>
      <c r="P25" s="11">
        <v>41803</v>
      </c>
    </row>
    <row r="26" spans="1:16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4</v>
      </c>
      <c r="M26" s="6">
        <v>2018</v>
      </c>
      <c r="N26" s="7">
        <v>0</v>
      </c>
      <c r="O26" s="11">
        <v>41803</v>
      </c>
      <c r="P26" s="11">
        <v>41803</v>
      </c>
    </row>
    <row r="27" spans="1:16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10</v>
      </c>
      <c r="M27" s="6">
        <v>2024</v>
      </c>
      <c r="N27" s="7">
        <v>0</v>
      </c>
      <c r="O27" s="11">
        <v>41803</v>
      </c>
      <c r="P27" s="11">
        <v>41803</v>
      </c>
    </row>
    <row r="28" spans="1:16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6</v>
      </c>
      <c r="M28" s="6">
        <v>2020</v>
      </c>
      <c r="N28" s="7">
        <v>0</v>
      </c>
      <c r="O28" s="11">
        <v>41803</v>
      </c>
      <c r="P28" s="11">
        <v>41803</v>
      </c>
    </row>
    <row r="29" spans="1:16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3</v>
      </c>
      <c r="M29" s="6">
        <v>2017</v>
      </c>
      <c r="N29" s="7">
        <v>0</v>
      </c>
      <c r="O29" s="11">
        <v>41803</v>
      </c>
      <c r="P29" s="11">
        <v>41803</v>
      </c>
    </row>
    <row r="30" spans="1:16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3</v>
      </c>
      <c r="M30" s="6">
        <v>2017</v>
      </c>
      <c r="N30" s="7">
        <v>0</v>
      </c>
      <c r="O30" s="11">
        <v>41803</v>
      </c>
      <c r="P30" s="11">
        <v>41803</v>
      </c>
    </row>
    <row r="31" spans="1:16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12</v>
      </c>
      <c r="M31" s="6">
        <v>2026</v>
      </c>
      <c r="N31" s="7">
        <v>0</v>
      </c>
      <c r="O31" s="11">
        <v>41803</v>
      </c>
      <c r="P31" s="11">
        <v>41803</v>
      </c>
    </row>
    <row r="32" spans="1:16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0</v>
      </c>
      <c r="M32" s="6">
        <v>2014</v>
      </c>
      <c r="N32" s="7">
        <v>0</v>
      </c>
      <c r="O32" s="11">
        <v>41803</v>
      </c>
      <c r="P32" s="11">
        <v>41803</v>
      </c>
    </row>
    <row r="33" spans="1:16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11">
        <v>41803</v>
      </c>
      <c r="P33" s="11">
        <v>41803</v>
      </c>
    </row>
    <row r="34" spans="1:16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5</v>
      </c>
      <c r="M34" s="6">
        <v>2019</v>
      </c>
      <c r="N34" s="7">
        <v>0</v>
      </c>
      <c r="O34" s="11">
        <v>41803</v>
      </c>
      <c r="P34" s="11">
        <v>41803</v>
      </c>
    </row>
    <row r="35" spans="1:16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10</v>
      </c>
      <c r="M35" s="6">
        <v>2024</v>
      </c>
      <c r="N35" s="7">
        <v>0</v>
      </c>
      <c r="O35" s="11">
        <v>41803</v>
      </c>
      <c r="P35" s="11">
        <v>41803</v>
      </c>
    </row>
    <row r="36" spans="1:16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9</v>
      </c>
      <c r="M36" s="6">
        <v>2023</v>
      </c>
      <c r="N36" s="7">
        <v>0</v>
      </c>
      <c r="O36" s="11">
        <v>41803</v>
      </c>
      <c r="P36" s="11">
        <v>41803</v>
      </c>
    </row>
    <row r="37" spans="1:16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1</v>
      </c>
      <c r="M37" s="6">
        <v>2015</v>
      </c>
      <c r="N37" s="7">
        <v>0</v>
      </c>
      <c r="O37" s="11">
        <v>41803</v>
      </c>
      <c r="P37" s="11">
        <v>41803</v>
      </c>
    </row>
    <row r="38" spans="1:16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2</v>
      </c>
      <c r="M38" s="6">
        <v>2016</v>
      </c>
      <c r="N38" s="7">
        <v>0</v>
      </c>
      <c r="O38" s="11">
        <v>41803</v>
      </c>
      <c r="P38" s="11">
        <v>41803</v>
      </c>
    </row>
    <row r="39" spans="1:16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11</v>
      </c>
      <c r="M39" s="6">
        <v>2025</v>
      </c>
      <c r="N39" s="7">
        <v>0</v>
      </c>
      <c r="O39" s="11">
        <v>41803</v>
      </c>
      <c r="P39" s="11">
        <v>41803</v>
      </c>
    </row>
    <row r="40" spans="1:16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8</v>
      </c>
      <c r="M40" s="6">
        <v>2022</v>
      </c>
      <c r="N40" s="7">
        <v>0</v>
      </c>
      <c r="O40" s="11">
        <v>41803</v>
      </c>
      <c r="P40" s="11">
        <v>41803</v>
      </c>
    </row>
    <row r="41" spans="1:16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7</v>
      </c>
      <c r="M41" s="6">
        <v>2021</v>
      </c>
      <c r="N41" s="7">
        <v>0</v>
      </c>
      <c r="O41" s="11">
        <v>41803</v>
      </c>
      <c r="P41" s="11">
        <v>41803</v>
      </c>
    </row>
    <row r="42" spans="1:16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6</v>
      </c>
      <c r="M42" s="6">
        <v>2020</v>
      </c>
      <c r="N42" s="7">
        <v>0</v>
      </c>
      <c r="O42" s="11">
        <v>41803</v>
      </c>
      <c r="P42" s="11">
        <v>41803</v>
      </c>
    </row>
    <row r="43" spans="1:16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1</v>
      </c>
      <c r="M43" s="6">
        <v>2015</v>
      </c>
      <c r="N43" s="7">
        <v>0</v>
      </c>
      <c r="O43" s="11">
        <v>41803</v>
      </c>
      <c r="P43" s="11">
        <v>41803</v>
      </c>
    </row>
    <row r="44" spans="1:16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5</v>
      </c>
      <c r="M44" s="6">
        <v>2019</v>
      </c>
      <c r="N44" s="7">
        <v>0</v>
      </c>
      <c r="O44" s="11">
        <v>41803</v>
      </c>
      <c r="P44" s="11">
        <v>41803</v>
      </c>
    </row>
    <row r="45" spans="1:16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2</v>
      </c>
      <c r="M45" s="6">
        <v>2016</v>
      </c>
      <c r="N45" s="7">
        <v>0</v>
      </c>
      <c r="O45" s="11">
        <v>41803</v>
      </c>
      <c r="P45" s="11">
        <v>41803</v>
      </c>
    </row>
    <row r="46" spans="1:16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10</v>
      </c>
      <c r="M46" s="6">
        <v>2024</v>
      </c>
      <c r="N46" s="7">
        <v>0</v>
      </c>
      <c r="O46" s="11">
        <v>41803</v>
      </c>
      <c r="P46" s="11">
        <v>41803</v>
      </c>
    </row>
    <row r="47" spans="1:16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8</v>
      </c>
      <c r="M47" s="6">
        <v>2022</v>
      </c>
      <c r="N47" s="7">
        <v>0</v>
      </c>
      <c r="O47" s="11">
        <v>41803</v>
      </c>
      <c r="P47" s="11">
        <v>41803</v>
      </c>
    </row>
    <row r="48" spans="1:16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4</v>
      </c>
      <c r="M48" s="6">
        <v>2018</v>
      </c>
      <c r="N48" s="7">
        <v>0</v>
      </c>
      <c r="O48" s="11">
        <v>41803</v>
      </c>
      <c r="P48" s="11">
        <v>41803</v>
      </c>
    </row>
    <row r="49" spans="1:16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0</v>
      </c>
      <c r="M49" s="6">
        <v>2014</v>
      </c>
      <c r="N49" s="7">
        <v>0</v>
      </c>
      <c r="O49" s="11">
        <v>41803</v>
      </c>
      <c r="P49" s="11">
        <v>41803</v>
      </c>
    </row>
    <row r="50" spans="1:16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12</v>
      </c>
      <c r="M50" s="6">
        <v>2026</v>
      </c>
      <c r="N50" s="7">
        <v>0</v>
      </c>
      <c r="O50" s="11">
        <v>41803</v>
      </c>
      <c r="P50" s="11">
        <v>41803</v>
      </c>
    </row>
    <row r="51" spans="1:16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9</v>
      </c>
      <c r="M51" s="6">
        <v>2023</v>
      </c>
      <c r="N51" s="7">
        <v>0</v>
      </c>
      <c r="O51" s="11">
        <v>41803</v>
      </c>
      <c r="P51" s="11">
        <v>41803</v>
      </c>
    </row>
    <row r="52" spans="1:16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7</v>
      </c>
      <c r="M52" s="6">
        <v>2021</v>
      </c>
      <c r="N52" s="7">
        <v>0</v>
      </c>
      <c r="O52" s="11">
        <v>41803</v>
      </c>
      <c r="P52" s="11">
        <v>41803</v>
      </c>
    </row>
    <row r="53" spans="1:16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3</v>
      </c>
      <c r="M53" s="6">
        <v>2017</v>
      </c>
      <c r="N53" s="7">
        <v>0</v>
      </c>
      <c r="O53" s="11">
        <v>41803</v>
      </c>
      <c r="P53" s="11">
        <v>41803</v>
      </c>
    </row>
    <row r="54" spans="1:16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11</v>
      </c>
      <c r="M54" s="6">
        <v>2025</v>
      </c>
      <c r="N54" s="7">
        <v>0</v>
      </c>
      <c r="O54" s="11">
        <v>41803</v>
      </c>
      <c r="P54" s="11">
        <v>41803</v>
      </c>
    </row>
    <row r="55" spans="1:16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6</v>
      </c>
      <c r="M55" s="6">
        <v>2020</v>
      </c>
      <c r="N55" s="7">
        <v>0</v>
      </c>
      <c r="O55" s="11">
        <v>41803</v>
      </c>
      <c r="P55" s="11">
        <v>41803</v>
      </c>
    </row>
    <row r="56" spans="1:16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4</v>
      </c>
      <c r="M56" s="6">
        <v>2018</v>
      </c>
      <c r="N56" s="7">
        <v>15226516</v>
      </c>
      <c r="O56" s="11">
        <v>41803</v>
      </c>
      <c r="P56" s="11">
        <v>41803</v>
      </c>
    </row>
    <row r="57" spans="1:16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10</v>
      </c>
      <c r="M57" s="6">
        <v>2024</v>
      </c>
      <c r="N57" s="7">
        <v>1722022</v>
      </c>
      <c r="O57" s="11">
        <v>41803</v>
      </c>
      <c r="P57" s="11">
        <v>41803</v>
      </c>
    </row>
    <row r="58" spans="1:16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5</v>
      </c>
      <c r="M58" s="6">
        <v>2019</v>
      </c>
      <c r="N58" s="7">
        <v>15226516</v>
      </c>
      <c r="O58" s="11">
        <v>41803</v>
      </c>
      <c r="P58" s="11">
        <v>41803</v>
      </c>
    </row>
    <row r="59" spans="1:16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7</v>
      </c>
      <c r="M59" s="6">
        <v>2021</v>
      </c>
      <c r="N59" s="7">
        <v>16264516</v>
      </c>
      <c r="O59" s="11">
        <v>41803</v>
      </c>
      <c r="P59" s="11">
        <v>41803</v>
      </c>
    </row>
    <row r="60" spans="1:16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3</v>
      </c>
      <c r="M60" s="6">
        <v>2017</v>
      </c>
      <c r="N60" s="7">
        <v>17449096</v>
      </c>
      <c r="O60" s="11">
        <v>41803</v>
      </c>
      <c r="P60" s="11">
        <v>41803</v>
      </c>
    </row>
    <row r="61" spans="1:16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6</v>
      </c>
      <c r="M61" s="6">
        <v>2020</v>
      </c>
      <c r="N61" s="7">
        <v>17704516</v>
      </c>
      <c r="O61" s="11">
        <v>41803</v>
      </c>
      <c r="P61" s="11">
        <v>41803</v>
      </c>
    </row>
    <row r="62" spans="1:16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0</v>
      </c>
      <c r="M62" s="6">
        <v>2014</v>
      </c>
      <c r="N62" s="7">
        <v>-13727754.08</v>
      </c>
      <c r="O62" s="11">
        <v>41803</v>
      </c>
      <c r="P62" s="11">
        <v>41803</v>
      </c>
    </row>
    <row r="63" spans="1:16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9</v>
      </c>
      <c r="M63" s="6">
        <v>2023</v>
      </c>
      <c r="N63" s="7">
        <v>2904516</v>
      </c>
      <c r="O63" s="11">
        <v>41803</v>
      </c>
      <c r="P63" s="11">
        <v>41803</v>
      </c>
    </row>
    <row r="64" spans="1:16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2</v>
      </c>
      <c r="M64" s="6">
        <v>2016</v>
      </c>
      <c r="N64" s="7">
        <v>15449096</v>
      </c>
      <c r="O64" s="11">
        <v>41803</v>
      </c>
      <c r="P64" s="11">
        <v>41803</v>
      </c>
    </row>
    <row r="65" spans="1:16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1</v>
      </c>
      <c r="M65" s="6">
        <v>2015</v>
      </c>
      <c r="N65" s="7">
        <v>4428554.72</v>
      </c>
      <c r="O65" s="11">
        <v>41803</v>
      </c>
      <c r="P65" s="11">
        <v>41803</v>
      </c>
    </row>
    <row r="66" spans="1:16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8</v>
      </c>
      <c r="M66" s="6">
        <v>2022</v>
      </c>
      <c r="N66" s="7">
        <v>11080516</v>
      </c>
      <c r="O66" s="11">
        <v>41803</v>
      </c>
      <c r="P66" s="11">
        <v>41803</v>
      </c>
    </row>
    <row r="67" spans="1:16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12</v>
      </c>
      <c r="M67" s="6">
        <v>2026</v>
      </c>
      <c r="N67" s="7">
        <v>222900</v>
      </c>
      <c r="O67" s="11">
        <v>41803</v>
      </c>
      <c r="P67" s="11">
        <v>41803</v>
      </c>
    </row>
    <row r="68" spans="1:16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11</v>
      </c>
      <c r="M68" s="6">
        <v>2025</v>
      </c>
      <c r="N68" s="7">
        <v>1661200</v>
      </c>
      <c r="O68" s="11">
        <v>41803</v>
      </c>
      <c r="P68" s="11">
        <v>41803</v>
      </c>
    </row>
    <row r="69" spans="1:16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3</v>
      </c>
      <c r="M69" s="6">
        <v>2017</v>
      </c>
      <c r="N69" s="7">
        <v>17449096</v>
      </c>
      <c r="O69" s="11">
        <v>41803</v>
      </c>
      <c r="P69" s="11">
        <v>41803</v>
      </c>
    </row>
    <row r="70" spans="1:16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2020</v>
      </c>
      <c r="N70" s="7">
        <v>17704516</v>
      </c>
      <c r="O70" s="11">
        <v>41803</v>
      </c>
      <c r="P70" s="11">
        <v>41803</v>
      </c>
    </row>
    <row r="71" spans="1:16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5</v>
      </c>
      <c r="M71" s="6">
        <v>2019</v>
      </c>
      <c r="N71" s="7">
        <v>15226516</v>
      </c>
      <c r="O71" s="11">
        <v>41803</v>
      </c>
      <c r="P71" s="11">
        <v>41803</v>
      </c>
    </row>
    <row r="72" spans="1:16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9</v>
      </c>
      <c r="M72" s="6">
        <v>2023</v>
      </c>
      <c r="N72" s="7">
        <v>2904516</v>
      </c>
      <c r="O72" s="11">
        <v>41803</v>
      </c>
      <c r="P72" s="11">
        <v>41803</v>
      </c>
    </row>
    <row r="73" spans="1:16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2</v>
      </c>
      <c r="M73" s="6">
        <v>2016</v>
      </c>
      <c r="N73" s="7">
        <v>15449096</v>
      </c>
      <c r="O73" s="11">
        <v>41803</v>
      </c>
      <c r="P73" s="11">
        <v>41803</v>
      </c>
    </row>
    <row r="74" spans="1:16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0</v>
      </c>
      <c r="M74" s="6">
        <v>2014</v>
      </c>
      <c r="N74" s="7">
        <v>0</v>
      </c>
      <c r="O74" s="11">
        <v>41803</v>
      </c>
      <c r="P74" s="11">
        <v>41803</v>
      </c>
    </row>
    <row r="75" spans="1:16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11</v>
      </c>
      <c r="M75" s="6">
        <v>2025</v>
      </c>
      <c r="N75" s="7">
        <v>1661200</v>
      </c>
      <c r="O75" s="11">
        <v>41803</v>
      </c>
      <c r="P75" s="11">
        <v>41803</v>
      </c>
    </row>
    <row r="76" spans="1:16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4</v>
      </c>
      <c r="M76" s="6">
        <v>2018</v>
      </c>
      <c r="N76" s="7">
        <v>15226516</v>
      </c>
      <c r="O76" s="11">
        <v>41803</v>
      </c>
      <c r="P76" s="11">
        <v>41803</v>
      </c>
    </row>
    <row r="77" spans="1:16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12</v>
      </c>
      <c r="M77" s="6">
        <v>2026</v>
      </c>
      <c r="N77" s="7">
        <v>222900</v>
      </c>
      <c r="O77" s="11">
        <v>41803</v>
      </c>
      <c r="P77" s="11">
        <v>41803</v>
      </c>
    </row>
    <row r="78" spans="1:16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7</v>
      </c>
      <c r="M78" s="6">
        <v>2021</v>
      </c>
      <c r="N78" s="7">
        <v>16264516</v>
      </c>
      <c r="O78" s="11">
        <v>41803</v>
      </c>
      <c r="P78" s="11">
        <v>41803</v>
      </c>
    </row>
    <row r="79" spans="1:16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10</v>
      </c>
      <c r="M79" s="6">
        <v>2024</v>
      </c>
      <c r="N79" s="7">
        <v>1722022</v>
      </c>
      <c r="O79" s="11">
        <v>41803</v>
      </c>
      <c r="P79" s="11">
        <v>41803</v>
      </c>
    </row>
    <row r="80" spans="1:16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8</v>
      </c>
      <c r="M80" s="6">
        <v>2022</v>
      </c>
      <c r="N80" s="7">
        <v>11080516</v>
      </c>
      <c r="O80" s="11">
        <v>41803</v>
      </c>
      <c r="P80" s="11">
        <v>41803</v>
      </c>
    </row>
    <row r="81" spans="1:16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1</v>
      </c>
      <c r="M81" s="6">
        <v>2015</v>
      </c>
      <c r="N81" s="7">
        <v>4428554.72</v>
      </c>
      <c r="O81" s="11">
        <v>41803</v>
      </c>
      <c r="P81" s="11">
        <v>41803</v>
      </c>
    </row>
    <row r="82" spans="1:16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7</v>
      </c>
      <c r="M82" s="6">
        <v>2021</v>
      </c>
      <c r="N82" s="7">
        <v>0</v>
      </c>
      <c r="O82" s="11">
        <v>41803</v>
      </c>
      <c r="P82" s="11">
        <v>41803</v>
      </c>
    </row>
    <row r="83" spans="1:16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0</v>
      </c>
      <c r="M83" s="6">
        <v>2014</v>
      </c>
      <c r="N83" s="7">
        <v>4494579.03</v>
      </c>
      <c r="O83" s="11">
        <v>41803</v>
      </c>
      <c r="P83" s="11">
        <v>41803</v>
      </c>
    </row>
    <row r="84" spans="1:16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2</v>
      </c>
      <c r="M84" s="6">
        <v>2016</v>
      </c>
      <c r="N84" s="7">
        <v>0</v>
      </c>
      <c r="O84" s="11">
        <v>41803</v>
      </c>
      <c r="P84" s="11">
        <v>41803</v>
      </c>
    </row>
    <row r="85" spans="1:16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6</v>
      </c>
      <c r="M85" s="6">
        <v>2020</v>
      </c>
      <c r="N85" s="7">
        <v>0</v>
      </c>
      <c r="O85" s="11">
        <v>41803</v>
      </c>
      <c r="P85" s="11">
        <v>41803</v>
      </c>
    </row>
    <row r="86" spans="1:16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10</v>
      </c>
      <c r="M86" s="6">
        <v>2024</v>
      </c>
      <c r="N86" s="7">
        <v>0</v>
      </c>
      <c r="O86" s="11">
        <v>41803</v>
      </c>
      <c r="P86" s="11">
        <v>41803</v>
      </c>
    </row>
    <row r="87" spans="1:16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11</v>
      </c>
      <c r="M87" s="6">
        <v>2025</v>
      </c>
      <c r="N87" s="7">
        <v>0</v>
      </c>
      <c r="O87" s="11">
        <v>41803</v>
      </c>
      <c r="P87" s="11">
        <v>41803</v>
      </c>
    </row>
    <row r="88" spans="1:16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3</v>
      </c>
      <c r="M88" s="6">
        <v>2017</v>
      </c>
      <c r="N88" s="7">
        <v>0</v>
      </c>
      <c r="O88" s="11">
        <v>41803</v>
      </c>
      <c r="P88" s="11">
        <v>41803</v>
      </c>
    </row>
    <row r="89" spans="1:16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9</v>
      </c>
      <c r="M89" s="6">
        <v>2023</v>
      </c>
      <c r="N89" s="7">
        <v>0</v>
      </c>
      <c r="O89" s="11">
        <v>41803</v>
      </c>
      <c r="P89" s="11">
        <v>41803</v>
      </c>
    </row>
    <row r="90" spans="1:16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5</v>
      </c>
      <c r="M90" s="6">
        <v>2019</v>
      </c>
      <c r="N90" s="7">
        <v>0</v>
      </c>
      <c r="O90" s="11">
        <v>41803</v>
      </c>
      <c r="P90" s="11">
        <v>41803</v>
      </c>
    </row>
    <row r="91" spans="1:16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8</v>
      </c>
      <c r="M91" s="6">
        <v>2022</v>
      </c>
      <c r="N91" s="7">
        <v>0</v>
      </c>
      <c r="O91" s="11">
        <v>41803</v>
      </c>
      <c r="P91" s="11">
        <v>41803</v>
      </c>
    </row>
    <row r="92" spans="1:16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1</v>
      </c>
      <c r="M92" s="6">
        <v>2015</v>
      </c>
      <c r="N92" s="7">
        <v>1219063.77</v>
      </c>
      <c r="O92" s="11">
        <v>41803</v>
      </c>
      <c r="P92" s="11">
        <v>41803</v>
      </c>
    </row>
    <row r="93" spans="1:16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4</v>
      </c>
      <c r="M93" s="6">
        <v>2018</v>
      </c>
      <c r="N93" s="7">
        <v>0</v>
      </c>
      <c r="O93" s="11">
        <v>41803</v>
      </c>
      <c r="P93" s="11">
        <v>41803</v>
      </c>
    </row>
    <row r="94" spans="1:16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12</v>
      </c>
      <c r="M94" s="6">
        <v>2026</v>
      </c>
      <c r="N94" s="7">
        <v>0</v>
      </c>
      <c r="O94" s="11">
        <v>41803</v>
      </c>
      <c r="P94" s="11">
        <v>41803</v>
      </c>
    </row>
    <row r="95" spans="1:16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10</v>
      </c>
      <c r="M95" s="6">
        <v>2024</v>
      </c>
      <c r="N95" s="7">
        <v>408799084</v>
      </c>
      <c r="O95" s="11">
        <v>41803</v>
      </c>
      <c r="P95" s="11">
        <v>41803</v>
      </c>
    </row>
    <row r="96" spans="1:16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0</v>
      </c>
      <c r="M96" s="6">
        <v>2014</v>
      </c>
      <c r="N96" s="7">
        <v>388336272.41</v>
      </c>
      <c r="O96" s="11">
        <v>41803</v>
      </c>
      <c r="P96" s="11">
        <v>41803</v>
      </c>
    </row>
    <row r="97" spans="1:16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5</v>
      </c>
      <c r="M97" s="6">
        <v>2019</v>
      </c>
      <c r="N97" s="7">
        <v>408799084</v>
      </c>
      <c r="O97" s="11">
        <v>41803</v>
      </c>
      <c r="P97" s="11">
        <v>41803</v>
      </c>
    </row>
    <row r="98" spans="1:16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6</v>
      </c>
      <c r="M98" s="6">
        <v>2020</v>
      </c>
      <c r="N98" s="7">
        <v>408799084</v>
      </c>
      <c r="O98" s="11">
        <v>41803</v>
      </c>
      <c r="P98" s="11">
        <v>41803</v>
      </c>
    </row>
    <row r="99" spans="1:16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8</v>
      </c>
      <c r="M99" s="6">
        <v>2022</v>
      </c>
      <c r="N99" s="7">
        <v>408799084</v>
      </c>
      <c r="O99" s="11">
        <v>41803</v>
      </c>
      <c r="P99" s="11">
        <v>41803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3</v>
      </c>
      <c r="M100" s="6">
        <v>2017</v>
      </c>
      <c r="N100" s="7">
        <v>407983118</v>
      </c>
      <c r="O100" s="11">
        <v>41803</v>
      </c>
      <c r="P100" s="11">
        <v>41803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11</v>
      </c>
      <c r="M101" s="6">
        <v>2025</v>
      </c>
      <c r="N101" s="7">
        <v>408799084</v>
      </c>
      <c r="O101" s="11">
        <v>41803</v>
      </c>
      <c r="P101" s="11">
        <v>41803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7</v>
      </c>
      <c r="M102" s="6">
        <v>2021</v>
      </c>
      <c r="N102" s="7">
        <v>408799084</v>
      </c>
      <c r="O102" s="11">
        <v>41803</v>
      </c>
      <c r="P102" s="11">
        <v>41803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2</v>
      </c>
      <c r="M103" s="6">
        <v>2016</v>
      </c>
      <c r="N103" s="7">
        <v>401163341</v>
      </c>
      <c r="O103" s="11">
        <v>41803</v>
      </c>
      <c r="P103" s="11">
        <v>41803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1</v>
      </c>
      <c r="M104" s="6">
        <v>2015</v>
      </c>
      <c r="N104" s="7">
        <v>394457562.87</v>
      </c>
      <c r="O104" s="11">
        <v>41803</v>
      </c>
      <c r="P104" s="11">
        <v>41803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12</v>
      </c>
      <c r="M105" s="6">
        <v>2026</v>
      </c>
      <c r="N105" s="7">
        <v>408799084</v>
      </c>
      <c r="O105" s="11">
        <v>41803</v>
      </c>
      <c r="P105" s="11">
        <v>41803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9</v>
      </c>
      <c r="M106" s="6">
        <v>2023</v>
      </c>
      <c r="N106" s="7">
        <v>408799084</v>
      </c>
      <c r="O106" s="11">
        <v>41803</v>
      </c>
      <c r="P106" s="11">
        <v>41803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4</v>
      </c>
      <c r="M107" s="6">
        <v>2018</v>
      </c>
      <c r="N107" s="7">
        <v>408799084</v>
      </c>
      <c r="O107" s="11">
        <v>41803</v>
      </c>
      <c r="P107" s="11">
        <v>41803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7</v>
      </c>
      <c r="M108" s="6">
        <v>2021</v>
      </c>
      <c r="N108" s="7">
        <v>0</v>
      </c>
      <c r="O108" s="11">
        <v>41803</v>
      </c>
      <c r="P108" s="11">
        <v>41803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2</v>
      </c>
      <c r="M109" s="6">
        <v>2016</v>
      </c>
      <c r="N109" s="7">
        <v>76591995</v>
      </c>
      <c r="O109" s="11">
        <v>41803</v>
      </c>
      <c r="P109" s="11">
        <v>41803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6</v>
      </c>
      <c r="M110" s="6">
        <v>2020</v>
      </c>
      <c r="N110" s="7">
        <v>0</v>
      </c>
      <c r="O110" s="11">
        <v>41803</v>
      </c>
      <c r="P110" s="11">
        <v>41803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9</v>
      </c>
      <c r="M111" s="6">
        <v>2023</v>
      </c>
      <c r="N111" s="7">
        <v>0</v>
      </c>
      <c r="O111" s="11">
        <v>41803</v>
      </c>
      <c r="P111" s="11">
        <v>41803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5</v>
      </c>
      <c r="M112" s="6">
        <v>2019</v>
      </c>
      <c r="N112" s="7">
        <v>0</v>
      </c>
      <c r="O112" s="11">
        <v>41803</v>
      </c>
      <c r="P112" s="11">
        <v>41803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8</v>
      </c>
      <c r="M113" s="6">
        <v>2022</v>
      </c>
      <c r="N113" s="7">
        <v>0</v>
      </c>
      <c r="O113" s="11">
        <v>41803</v>
      </c>
      <c r="P113" s="11">
        <v>41803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4</v>
      </c>
      <c r="M114" s="6">
        <v>2018</v>
      </c>
      <c r="N114" s="7">
        <v>0</v>
      </c>
      <c r="O114" s="11">
        <v>41803</v>
      </c>
      <c r="P114" s="11">
        <v>41803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11</v>
      </c>
      <c r="M115" s="6">
        <v>2025</v>
      </c>
      <c r="N115" s="7">
        <v>0</v>
      </c>
      <c r="O115" s="11">
        <v>41803</v>
      </c>
      <c r="P115" s="11">
        <v>41803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3</v>
      </c>
      <c r="M116" s="6">
        <v>2017</v>
      </c>
      <c r="N116" s="7">
        <v>78123834</v>
      </c>
      <c r="O116" s="11">
        <v>41803</v>
      </c>
      <c r="P116" s="11">
        <v>41803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10</v>
      </c>
      <c r="M117" s="6">
        <v>2024</v>
      </c>
      <c r="N117" s="7">
        <v>0</v>
      </c>
      <c r="O117" s="11">
        <v>41803</v>
      </c>
      <c r="P117" s="11">
        <v>41803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0</v>
      </c>
      <c r="M118" s="6">
        <v>2014</v>
      </c>
      <c r="N118" s="7">
        <v>73617836</v>
      </c>
      <c r="O118" s="11">
        <v>41803</v>
      </c>
      <c r="P118" s="11">
        <v>41803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1</v>
      </c>
      <c r="M119" s="6">
        <v>2015</v>
      </c>
      <c r="N119" s="7">
        <v>75090192</v>
      </c>
      <c r="O119" s="11">
        <v>41803</v>
      </c>
      <c r="P119" s="11">
        <v>41803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12</v>
      </c>
      <c r="M120" s="6">
        <v>2026</v>
      </c>
      <c r="N120" s="7">
        <v>0</v>
      </c>
      <c r="O120" s="11">
        <v>41803</v>
      </c>
      <c r="P120" s="11">
        <v>41803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10</v>
      </c>
      <c r="M121" s="6">
        <v>2024</v>
      </c>
      <c r="N121" s="7">
        <v>0</v>
      </c>
      <c r="O121" s="11">
        <v>41803</v>
      </c>
      <c r="P121" s="11">
        <v>41803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5</v>
      </c>
      <c r="M122" s="6">
        <v>2019</v>
      </c>
      <c r="N122" s="7">
        <v>0</v>
      </c>
      <c r="O122" s="11">
        <v>41803</v>
      </c>
      <c r="P122" s="11">
        <v>41803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9</v>
      </c>
      <c r="M123" s="6">
        <v>2023</v>
      </c>
      <c r="N123" s="7">
        <v>0</v>
      </c>
      <c r="O123" s="11">
        <v>41803</v>
      </c>
      <c r="P123" s="11">
        <v>41803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7</v>
      </c>
      <c r="M124" s="6">
        <v>2021</v>
      </c>
      <c r="N124" s="7">
        <v>0</v>
      </c>
      <c r="O124" s="11">
        <v>41803</v>
      </c>
      <c r="P124" s="11">
        <v>41803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4</v>
      </c>
      <c r="M125" s="6">
        <v>2018</v>
      </c>
      <c r="N125" s="7">
        <v>0</v>
      </c>
      <c r="O125" s="11">
        <v>41803</v>
      </c>
      <c r="P125" s="11">
        <v>41803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</v>
      </c>
      <c r="M126" s="6">
        <v>2015</v>
      </c>
      <c r="N126" s="7">
        <v>0</v>
      </c>
      <c r="O126" s="11">
        <v>41803</v>
      </c>
      <c r="P126" s="11">
        <v>41803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11</v>
      </c>
      <c r="M127" s="6">
        <v>2025</v>
      </c>
      <c r="N127" s="7">
        <v>0</v>
      </c>
      <c r="O127" s="11">
        <v>41803</v>
      </c>
      <c r="P127" s="11">
        <v>41803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6</v>
      </c>
      <c r="M128" s="6">
        <v>2020</v>
      </c>
      <c r="N128" s="7">
        <v>0</v>
      </c>
      <c r="O128" s="11">
        <v>41803</v>
      </c>
      <c r="P128" s="11">
        <v>41803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3</v>
      </c>
      <c r="M129" s="6">
        <v>2017</v>
      </c>
      <c r="N129" s="7">
        <v>0</v>
      </c>
      <c r="O129" s="11">
        <v>41803</v>
      </c>
      <c r="P129" s="11">
        <v>41803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12</v>
      </c>
      <c r="M130" s="6">
        <v>2026</v>
      </c>
      <c r="N130" s="7">
        <v>0</v>
      </c>
      <c r="O130" s="11">
        <v>41803</v>
      </c>
      <c r="P130" s="11">
        <v>41803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8</v>
      </c>
      <c r="M131" s="6">
        <v>2022</v>
      </c>
      <c r="N131" s="7">
        <v>0</v>
      </c>
      <c r="O131" s="11">
        <v>41803</v>
      </c>
      <c r="P131" s="11">
        <v>41803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2</v>
      </c>
      <c r="M132" s="6">
        <v>2016</v>
      </c>
      <c r="N132" s="7">
        <v>0</v>
      </c>
      <c r="O132" s="11">
        <v>41803</v>
      </c>
      <c r="P132" s="11">
        <v>41803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0</v>
      </c>
      <c r="M133" s="6">
        <v>2014</v>
      </c>
      <c r="N133" s="7">
        <v>0</v>
      </c>
      <c r="O133" s="11">
        <v>41803</v>
      </c>
      <c r="P133" s="11">
        <v>41803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8</v>
      </c>
      <c r="M134" s="6">
        <v>2022</v>
      </c>
      <c r="N134" s="7">
        <v>0</v>
      </c>
      <c r="O134" s="11">
        <v>41803</v>
      </c>
      <c r="P134" s="11">
        <v>41803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1</v>
      </c>
      <c r="M135" s="6">
        <v>2015</v>
      </c>
      <c r="N135" s="7">
        <v>0</v>
      </c>
      <c r="O135" s="11">
        <v>41803</v>
      </c>
      <c r="P135" s="11">
        <v>41803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3</v>
      </c>
      <c r="M136" s="6">
        <v>2017</v>
      </c>
      <c r="N136" s="7">
        <v>0</v>
      </c>
      <c r="O136" s="11">
        <v>41803</v>
      </c>
      <c r="P136" s="11">
        <v>41803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10</v>
      </c>
      <c r="M137" s="6">
        <v>2024</v>
      </c>
      <c r="N137" s="7">
        <v>0</v>
      </c>
      <c r="O137" s="11">
        <v>41803</v>
      </c>
      <c r="P137" s="11">
        <v>41803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0</v>
      </c>
      <c r="M138" s="6">
        <v>2014</v>
      </c>
      <c r="N138" s="7">
        <v>0</v>
      </c>
      <c r="O138" s="11">
        <v>41803</v>
      </c>
      <c r="P138" s="11">
        <v>41803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9</v>
      </c>
      <c r="M139" s="6">
        <v>2023</v>
      </c>
      <c r="N139" s="7">
        <v>0</v>
      </c>
      <c r="O139" s="11">
        <v>41803</v>
      </c>
      <c r="P139" s="11">
        <v>41803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12</v>
      </c>
      <c r="M140" s="6">
        <v>2026</v>
      </c>
      <c r="N140" s="7">
        <v>0</v>
      </c>
      <c r="O140" s="11">
        <v>41803</v>
      </c>
      <c r="P140" s="11">
        <v>41803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11</v>
      </c>
      <c r="M141" s="6">
        <v>2025</v>
      </c>
      <c r="N141" s="7">
        <v>0</v>
      </c>
      <c r="O141" s="11">
        <v>41803</v>
      </c>
      <c r="P141" s="11">
        <v>41803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6</v>
      </c>
      <c r="M142" s="6">
        <v>2020</v>
      </c>
      <c r="N142" s="7">
        <v>0</v>
      </c>
      <c r="O142" s="11">
        <v>41803</v>
      </c>
      <c r="P142" s="11">
        <v>41803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2</v>
      </c>
      <c r="M143" s="6">
        <v>2016</v>
      </c>
      <c r="N143" s="7">
        <v>0</v>
      </c>
      <c r="O143" s="11">
        <v>41803</v>
      </c>
      <c r="P143" s="11">
        <v>41803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7</v>
      </c>
      <c r="M144" s="6">
        <v>2021</v>
      </c>
      <c r="N144" s="7">
        <v>0</v>
      </c>
      <c r="O144" s="11">
        <v>41803</v>
      </c>
      <c r="P144" s="11">
        <v>41803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5</v>
      </c>
      <c r="M145" s="6">
        <v>2019</v>
      </c>
      <c r="N145" s="7">
        <v>0</v>
      </c>
      <c r="O145" s="11">
        <v>41803</v>
      </c>
      <c r="P145" s="11">
        <v>41803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4</v>
      </c>
      <c r="M146" s="6">
        <v>2018</v>
      </c>
      <c r="N146" s="7">
        <v>0</v>
      </c>
      <c r="O146" s="11">
        <v>41803</v>
      </c>
      <c r="P146" s="11">
        <v>41803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12</v>
      </c>
      <c r="M147" s="6">
        <v>2026</v>
      </c>
      <c r="N147" s="7">
        <v>0</v>
      </c>
      <c r="O147" s="11">
        <v>41803</v>
      </c>
      <c r="P147" s="11">
        <v>41803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2</v>
      </c>
      <c r="M148" s="6">
        <v>2016</v>
      </c>
      <c r="N148" s="7">
        <v>0</v>
      </c>
      <c r="O148" s="11">
        <v>41803</v>
      </c>
      <c r="P148" s="11">
        <v>41803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3</v>
      </c>
      <c r="M149" s="6">
        <v>2017</v>
      </c>
      <c r="N149" s="7">
        <v>0</v>
      </c>
      <c r="O149" s="11">
        <v>41803</v>
      </c>
      <c r="P149" s="11">
        <v>41803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8</v>
      </c>
      <c r="M150" s="6">
        <v>2022</v>
      </c>
      <c r="N150" s="7">
        <v>0</v>
      </c>
      <c r="O150" s="11">
        <v>41803</v>
      </c>
      <c r="P150" s="11">
        <v>41803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7</v>
      </c>
      <c r="M151" s="6">
        <v>2021</v>
      </c>
      <c r="N151" s="7">
        <v>0</v>
      </c>
      <c r="O151" s="11">
        <v>41803</v>
      </c>
      <c r="P151" s="11">
        <v>41803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6</v>
      </c>
      <c r="M152" s="6">
        <v>2020</v>
      </c>
      <c r="N152" s="7">
        <v>0</v>
      </c>
      <c r="O152" s="11">
        <v>41803</v>
      </c>
      <c r="P152" s="11">
        <v>41803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5</v>
      </c>
      <c r="M153" s="6">
        <v>2019</v>
      </c>
      <c r="N153" s="7">
        <v>0</v>
      </c>
      <c r="O153" s="11">
        <v>41803</v>
      </c>
      <c r="P153" s="11">
        <v>41803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1</v>
      </c>
      <c r="M154" s="6">
        <v>2015</v>
      </c>
      <c r="N154" s="7">
        <v>4999060.32</v>
      </c>
      <c r="O154" s="11">
        <v>41803</v>
      </c>
      <c r="P154" s="11">
        <v>41803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0</v>
      </c>
      <c r="M155" s="6">
        <v>2014</v>
      </c>
      <c r="N155" s="7">
        <v>8853019.62</v>
      </c>
      <c r="O155" s="11">
        <v>41803</v>
      </c>
      <c r="P155" s="11">
        <v>41803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11</v>
      </c>
      <c r="M156" s="6">
        <v>2025</v>
      </c>
      <c r="N156" s="7">
        <v>0</v>
      </c>
      <c r="O156" s="11">
        <v>41803</v>
      </c>
      <c r="P156" s="11">
        <v>41803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4</v>
      </c>
      <c r="M157" s="6">
        <v>2018</v>
      </c>
      <c r="N157" s="7">
        <v>0</v>
      </c>
      <c r="O157" s="11">
        <v>41803</v>
      </c>
      <c r="P157" s="11">
        <v>41803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10</v>
      </c>
      <c r="M158" s="6">
        <v>2024</v>
      </c>
      <c r="N158" s="7">
        <v>0</v>
      </c>
      <c r="O158" s="11">
        <v>41803</v>
      </c>
      <c r="P158" s="11">
        <v>41803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9</v>
      </c>
      <c r="M159" s="6">
        <v>2023</v>
      </c>
      <c r="N159" s="7">
        <v>0</v>
      </c>
      <c r="O159" s="11">
        <v>41803</v>
      </c>
      <c r="P159" s="11">
        <v>41803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11</v>
      </c>
      <c r="M160" s="6">
        <v>2025</v>
      </c>
      <c r="N160" s="7">
        <v>0</v>
      </c>
      <c r="O160" s="11">
        <v>41803</v>
      </c>
      <c r="P160" s="11">
        <v>41803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10</v>
      </c>
      <c r="M161" s="6">
        <v>2024</v>
      </c>
      <c r="N161" s="7">
        <v>0</v>
      </c>
      <c r="O161" s="11">
        <v>41803</v>
      </c>
      <c r="P161" s="11">
        <v>41803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12</v>
      </c>
      <c r="M162" s="6">
        <v>2026</v>
      </c>
      <c r="N162" s="7">
        <v>0</v>
      </c>
      <c r="O162" s="11">
        <v>41803</v>
      </c>
      <c r="P162" s="11">
        <v>41803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6</v>
      </c>
      <c r="M163" s="6">
        <v>2020</v>
      </c>
      <c r="N163" s="7">
        <v>0</v>
      </c>
      <c r="O163" s="11">
        <v>41803</v>
      </c>
      <c r="P163" s="11">
        <v>41803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9</v>
      </c>
      <c r="M164" s="6">
        <v>2023</v>
      </c>
      <c r="N164" s="7">
        <v>0</v>
      </c>
      <c r="O164" s="11">
        <v>41803</v>
      </c>
      <c r="P164" s="11">
        <v>41803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4</v>
      </c>
      <c r="M165" s="6">
        <v>2018</v>
      </c>
      <c r="N165" s="7">
        <v>0</v>
      </c>
      <c r="O165" s="11">
        <v>41803</v>
      </c>
      <c r="P165" s="11">
        <v>41803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3</v>
      </c>
      <c r="M166" s="6">
        <v>2017</v>
      </c>
      <c r="N166" s="7">
        <v>0</v>
      </c>
      <c r="O166" s="11">
        <v>41803</v>
      </c>
      <c r="P166" s="11">
        <v>41803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5</v>
      </c>
      <c r="M167" s="6">
        <v>2019</v>
      </c>
      <c r="N167" s="7">
        <v>0</v>
      </c>
      <c r="O167" s="11">
        <v>41803</v>
      </c>
      <c r="P167" s="11">
        <v>41803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2</v>
      </c>
      <c r="M168" s="6">
        <v>2016</v>
      </c>
      <c r="N168" s="7">
        <v>0</v>
      </c>
      <c r="O168" s="11">
        <v>41803</v>
      </c>
      <c r="P168" s="11">
        <v>41803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7</v>
      </c>
      <c r="M169" s="6">
        <v>2021</v>
      </c>
      <c r="N169" s="7">
        <v>0</v>
      </c>
      <c r="O169" s="11">
        <v>41803</v>
      </c>
      <c r="P169" s="11">
        <v>41803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1</v>
      </c>
      <c r="M170" s="6">
        <v>2015</v>
      </c>
      <c r="N170" s="7">
        <v>0</v>
      </c>
      <c r="O170" s="11">
        <v>41803</v>
      </c>
      <c r="P170" s="11">
        <v>41803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8</v>
      </c>
      <c r="M171" s="6">
        <v>2022</v>
      </c>
      <c r="N171" s="7">
        <v>0</v>
      </c>
      <c r="O171" s="11">
        <v>41803</v>
      </c>
      <c r="P171" s="11">
        <v>41803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0</v>
      </c>
      <c r="M172" s="6">
        <v>2014</v>
      </c>
      <c r="N172" s="7">
        <v>0</v>
      </c>
      <c r="O172" s="11">
        <v>41803</v>
      </c>
      <c r="P172" s="11">
        <v>41803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8</v>
      </c>
      <c r="M173" s="6">
        <v>2022</v>
      </c>
      <c r="N173" s="7">
        <v>0.0524</v>
      </c>
      <c r="O173" s="11">
        <v>41803</v>
      </c>
      <c r="P173" s="11">
        <v>41803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0</v>
      </c>
      <c r="M174" s="6">
        <v>2014</v>
      </c>
      <c r="N174" s="7">
        <v>0.0453</v>
      </c>
      <c r="O174" s="11">
        <v>41803</v>
      </c>
      <c r="P174" s="11">
        <v>41803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6</v>
      </c>
      <c r="M175" s="6">
        <v>2020</v>
      </c>
      <c r="N175" s="7">
        <v>0.0736</v>
      </c>
      <c r="O175" s="11">
        <v>41803</v>
      </c>
      <c r="P175" s="11">
        <v>41803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12</v>
      </c>
      <c r="M176" s="6">
        <v>2026</v>
      </c>
      <c r="N176" s="7">
        <v>0.0221</v>
      </c>
      <c r="O176" s="11">
        <v>41803</v>
      </c>
      <c r="P176" s="11">
        <v>41803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710</v>
      </c>
      <c r="H177" s="10" t="s">
        <v>91</v>
      </c>
      <c r="I177" s="10"/>
      <c r="J177" s="10" t="s">
        <v>92</v>
      </c>
      <c r="K177" s="10" t="b">
        <v>0</v>
      </c>
      <c r="L177" s="10">
        <v>12</v>
      </c>
      <c r="M177" s="6">
        <v>2026</v>
      </c>
      <c r="N177" s="7">
        <v>0</v>
      </c>
      <c r="O177" s="11">
        <v>41803</v>
      </c>
      <c r="P177" s="11">
        <v>41803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10</v>
      </c>
      <c r="M178" s="6">
        <v>2024</v>
      </c>
      <c r="N178" s="7">
        <v>0.0271</v>
      </c>
      <c r="O178" s="11">
        <v>41803</v>
      </c>
      <c r="P178" s="11">
        <v>41803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</v>
      </c>
      <c r="M179" s="6">
        <v>2015</v>
      </c>
      <c r="N179" s="7">
        <v>0.0549</v>
      </c>
      <c r="O179" s="11">
        <v>41803</v>
      </c>
      <c r="P179" s="11">
        <v>41803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5</v>
      </c>
      <c r="M180" s="6">
        <v>2019</v>
      </c>
      <c r="N180" s="7">
        <v>0.0698</v>
      </c>
      <c r="O180" s="11">
        <v>41803</v>
      </c>
      <c r="P180" s="11">
        <v>41803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9</v>
      </c>
      <c r="M181" s="6">
        <v>2023</v>
      </c>
      <c r="N181" s="7">
        <v>0.0309</v>
      </c>
      <c r="O181" s="11">
        <v>41803</v>
      </c>
      <c r="P181" s="11">
        <v>41803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11</v>
      </c>
      <c r="M182" s="6">
        <v>2025</v>
      </c>
      <c r="N182" s="7">
        <v>0.0263</v>
      </c>
      <c r="O182" s="11">
        <v>41803</v>
      </c>
      <c r="P182" s="11">
        <v>41803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2</v>
      </c>
      <c r="M183" s="6">
        <v>2016</v>
      </c>
      <c r="N183" s="7">
        <v>0.0499</v>
      </c>
      <c r="O183" s="11">
        <v>41803</v>
      </c>
      <c r="P183" s="11">
        <v>41803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4</v>
      </c>
      <c r="M184" s="6">
        <v>2018</v>
      </c>
      <c r="N184" s="7">
        <v>0.0711</v>
      </c>
      <c r="O184" s="11">
        <v>41803</v>
      </c>
      <c r="P184" s="11">
        <v>41803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7</v>
      </c>
      <c r="M185" s="6">
        <v>2021</v>
      </c>
      <c r="N185" s="7">
        <v>0.0674</v>
      </c>
      <c r="O185" s="11">
        <v>41803</v>
      </c>
      <c r="P185" s="11">
        <v>41803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3</v>
      </c>
      <c r="M186" s="6">
        <v>2017</v>
      </c>
      <c r="N186" s="7">
        <v>0.0788</v>
      </c>
      <c r="O186" s="11">
        <v>41803</v>
      </c>
      <c r="P186" s="11">
        <v>41803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0</v>
      </c>
      <c r="M187" s="6">
        <v>2014</v>
      </c>
      <c r="N187" s="7">
        <v>8726722.34</v>
      </c>
      <c r="O187" s="11">
        <v>41803</v>
      </c>
      <c r="P187" s="11">
        <v>41803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6</v>
      </c>
      <c r="M188" s="6">
        <v>2020</v>
      </c>
      <c r="N188" s="7">
        <v>0</v>
      </c>
      <c r="O188" s="11">
        <v>41803</v>
      </c>
      <c r="P188" s="11">
        <v>41803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4</v>
      </c>
      <c r="M189" s="6">
        <v>2018</v>
      </c>
      <c r="N189" s="7">
        <v>0</v>
      </c>
      <c r="O189" s="11">
        <v>41803</v>
      </c>
      <c r="P189" s="11">
        <v>41803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1</v>
      </c>
      <c r="M190" s="6">
        <v>2015</v>
      </c>
      <c r="N190" s="7">
        <v>4999060.32</v>
      </c>
      <c r="O190" s="11">
        <v>41803</v>
      </c>
      <c r="P190" s="11">
        <v>41803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7</v>
      </c>
      <c r="M191" s="6">
        <v>2021</v>
      </c>
      <c r="N191" s="7">
        <v>0</v>
      </c>
      <c r="O191" s="11">
        <v>41803</v>
      </c>
      <c r="P191" s="11">
        <v>41803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8</v>
      </c>
      <c r="M192" s="6">
        <v>2022</v>
      </c>
      <c r="N192" s="7">
        <v>0</v>
      </c>
      <c r="O192" s="11">
        <v>41803</v>
      </c>
      <c r="P192" s="11">
        <v>41803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9</v>
      </c>
      <c r="M193" s="6">
        <v>2023</v>
      </c>
      <c r="N193" s="7">
        <v>0</v>
      </c>
      <c r="O193" s="11">
        <v>41803</v>
      </c>
      <c r="P193" s="11">
        <v>41803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10</v>
      </c>
      <c r="M194" s="6">
        <v>2024</v>
      </c>
      <c r="N194" s="7">
        <v>0</v>
      </c>
      <c r="O194" s="11">
        <v>41803</v>
      </c>
      <c r="P194" s="11">
        <v>41803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5</v>
      </c>
      <c r="M195" s="6">
        <v>2019</v>
      </c>
      <c r="N195" s="7">
        <v>0</v>
      </c>
      <c r="O195" s="11">
        <v>41803</v>
      </c>
      <c r="P195" s="11">
        <v>41803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2</v>
      </c>
      <c r="M196" s="6">
        <v>2016</v>
      </c>
      <c r="N196" s="7">
        <v>0</v>
      </c>
      <c r="O196" s="11">
        <v>41803</v>
      </c>
      <c r="P196" s="11">
        <v>41803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3</v>
      </c>
      <c r="M197" s="6">
        <v>2017</v>
      </c>
      <c r="N197" s="7">
        <v>0</v>
      </c>
      <c r="O197" s="11">
        <v>41803</v>
      </c>
      <c r="P197" s="11">
        <v>41803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11</v>
      </c>
      <c r="M198" s="6">
        <v>2025</v>
      </c>
      <c r="N198" s="7">
        <v>0</v>
      </c>
      <c r="O198" s="11">
        <v>41803</v>
      </c>
      <c r="P198" s="11">
        <v>41803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5</v>
      </c>
      <c r="M199" s="6">
        <v>2019</v>
      </c>
      <c r="N199" s="7">
        <v>0</v>
      </c>
      <c r="O199" s="11">
        <v>41803</v>
      </c>
      <c r="P199" s="11">
        <v>41803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10</v>
      </c>
      <c r="M200" s="6">
        <v>2024</v>
      </c>
      <c r="N200" s="7">
        <v>0</v>
      </c>
      <c r="O200" s="11">
        <v>41803</v>
      </c>
      <c r="P200" s="11">
        <v>41803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8</v>
      </c>
      <c r="M201" s="6">
        <v>2022</v>
      </c>
      <c r="N201" s="7">
        <v>0</v>
      </c>
      <c r="O201" s="11">
        <v>41803</v>
      </c>
      <c r="P201" s="11">
        <v>41803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7</v>
      </c>
      <c r="M202" s="6">
        <v>2021</v>
      </c>
      <c r="N202" s="7">
        <v>0</v>
      </c>
      <c r="O202" s="11">
        <v>41803</v>
      </c>
      <c r="P202" s="11">
        <v>41803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12</v>
      </c>
      <c r="M203" s="6">
        <v>2026</v>
      </c>
      <c r="N203" s="7">
        <v>0</v>
      </c>
      <c r="O203" s="11">
        <v>41803</v>
      </c>
      <c r="P203" s="11">
        <v>41803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2</v>
      </c>
      <c r="M204" s="6">
        <v>2016</v>
      </c>
      <c r="N204" s="7">
        <v>7635000</v>
      </c>
      <c r="O204" s="11">
        <v>41803</v>
      </c>
      <c r="P204" s="11">
        <v>41803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0</v>
      </c>
      <c r="M205" s="6">
        <v>2014</v>
      </c>
      <c r="N205" s="7">
        <v>34922583.9</v>
      </c>
      <c r="O205" s="11">
        <v>41803</v>
      </c>
      <c r="P205" s="11">
        <v>41803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</v>
      </c>
      <c r="M206" s="6">
        <v>2015</v>
      </c>
      <c r="N206" s="7">
        <v>24076247.44</v>
      </c>
      <c r="O206" s="11">
        <v>41803</v>
      </c>
      <c r="P206" s="11">
        <v>41803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9</v>
      </c>
      <c r="M207" s="6">
        <v>2023</v>
      </c>
      <c r="N207" s="7">
        <v>0</v>
      </c>
      <c r="O207" s="11">
        <v>41803</v>
      </c>
      <c r="P207" s="11">
        <v>41803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11</v>
      </c>
      <c r="M208" s="6">
        <v>2025</v>
      </c>
      <c r="N208" s="7">
        <v>0</v>
      </c>
      <c r="O208" s="11">
        <v>41803</v>
      </c>
      <c r="P208" s="11">
        <v>41803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4</v>
      </c>
      <c r="M209" s="6">
        <v>2018</v>
      </c>
      <c r="N209" s="7">
        <v>0</v>
      </c>
      <c r="O209" s="11">
        <v>41803</v>
      </c>
      <c r="P209" s="11">
        <v>41803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6</v>
      </c>
      <c r="M210" s="6">
        <v>2020</v>
      </c>
      <c r="N210" s="7">
        <v>0</v>
      </c>
      <c r="O210" s="11">
        <v>41803</v>
      </c>
      <c r="P210" s="11">
        <v>41803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3</v>
      </c>
      <c r="M211" s="6">
        <v>2017</v>
      </c>
      <c r="N211" s="7">
        <v>0</v>
      </c>
      <c r="O211" s="11">
        <v>41803</v>
      </c>
      <c r="P211" s="11">
        <v>41803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10</v>
      </c>
      <c r="M212" s="6">
        <v>2024</v>
      </c>
      <c r="N212" s="7">
        <v>39013970</v>
      </c>
      <c r="O212" s="11">
        <v>41803</v>
      </c>
      <c r="P212" s="11">
        <v>41803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9</v>
      </c>
      <c r="M213" s="6">
        <v>2023</v>
      </c>
      <c r="N213" s="7">
        <v>39013970</v>
      </c>
      <c r="O213" s="11">
        <v>41803</v>
      </c>
      <c r="P213" s="11">
        <v>41803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1</v>
      </c>
      <c r="M214" s="6">
        <v>2015</v>
      </c>
      <c r="N214" s="7">
        <v>30882336.04</v>
      </c>
      <c r="O214" s="11">
        <v>41803</v>
      </c>
      <c r="P214" s="11">
        <v>41803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2</v>
      </c>
      <c r="M215" s="6">
        <v>2016</v>
      </c>
      <c r="N215" s="7">
        <v>35079513</v>
      </c>
      <c r="O215" s="11">
        <v>41803</v>
      </c>
      <c r="P215" s="11">
        <v>41803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4</v>
      </c>
      <c r="M216" s="6">
        <v>2018</v>
      </c>
      <c r="N216" s="7">
        <v>39013970</v>
      </c>
      <c r="O216" s="11">
        <v>41803</v>
      </c>
      <c r="P216" s="11">
        <v>41803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3</v>
      </c>
      <c r="M217" s="6">
        <v>2017</v>
      </c>
      <c r="N217" s="7">
        <v>39067419</v>
      </c>
      <c r="O217" s="11">
        <v>41803</v>
      </c>
      <c r="P217" s="11">
        <v>41803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6</v>
      </c>
      <c r="M218" s="6">
        <v>2020</v>
      </c>
      <c r="N218" s="7">
        <v>39013970</v>
      </c>
      <c r="O218" s="11">
        <v>41803</v>
      </c>
      <c r="P218" s="11">
        <v>41803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11</v>
      </c>
      <c r="M219" s="6">
        <v>2025</v>
      </c>
      <c r="N219" s="7">
        <v>39013970</v>
      </c>
      <c r="O219" s="11">
        <v>41803</v>
      </c>
      <c r="P219" s="11">
        <v>41803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0</v>
      </c>
      <c r="M220" s="6">
        <v>2014</v>
      </c>
      <c r="N220" s="7">
        <v>25409917.21</v>
      </c>
      <c r="O220" s="11">
        <v>41803</v>
      </c>
      <c r="P220" s="11">
        <v>41803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8</v>
      </c>
      <c r="M221" s="6">
        <v>2022</v>
      </c>
      <c r="N221" s="7">
        <v>39013970</v>
      </c>
      <c r="O221" s="11">
        <v>41803</v>
      </c>
      <c r="P221" s="11">
        <v>41803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5</v>
      </c>
      <c r="M222" s="6">
        <v>2019</v>
      </c>
      <c r="N222" s="7">
        <v>39013970</v>
      </c>
      <c r="O222" s="11">
        <v>41803</v>
      </c>
      <c r="P222" s="11">
        <v>41803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12</v>
      </c>
      <c r="M223" s="6">
        <v>2026</v>
      </c>
      <c r="N223" s="7">
        <v>39013970</v>
      </c>
      <c r="O223" s="11">
        <v>41803</v>
      </c>
      <c r="P223" s="11">
        <v>41803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7</v>
      </c>
      <c r="M224" s="6">
        <v>2021</v>
      </c>
      <c r="N224" s="7">
        <v>39013970</v>
      </c>
      <c r="O224" s="11">
        <v>41803</v>
      </c>
      <c r="P224" s="11">
        <v>41803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10</v>
      </c>
      <c r="M225" s="6">
        <v>2024</v>
      </c>
      <c r="N225" s="7">
        <v>0</v>
      </c>
      <c r="O225" s="11">
        <v>41803</v>
      </c>
      <c r="P225" s="11">
        <v>41803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2</v>
      </c>
      <c r="M226" s="6">
        <v>2016</v>
      </c>
      <c r="N226" s="7">
        <v>0</v>
      </c>
      <c r="O226" s="11">
        <v>41803</v>
      </c>
      <c r="P226" s="11">
        <v>41803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12</v>
      </c>
      <c r="M227" s="6">
        <v>2026</v>
      </c>
      <c r="N227" s="7">
        <v>0</v>
      </c>
      <c r="O227" s="11">
        <v>41803</v>
      </c>
      <c r="P227" s="11">
        <v>41803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4</v>
      </c>
      <c r="M228" s="6">
        <v>2018</v>
      </c>
      <c r="N228" s="7">
        <v>0</v>
      </c>
      <c r="O228" s="11">
        <v>41803</v>
      </c>
      <c r="P228" s="11">
        <v>41803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8</v>
      </c>
      <c r="M229" s="6">
        <v>2022</v>
      </c>
      <c r="N229" s="7">
        <v>0</v>
      </c>
      <c r="O229" s="11">
        <v>41803</v>
      </c>
      <c r="P229" s="11">
        <v>41803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5</v>
      </c>
      <c r="M230" s="6">
        <v>2019</v>
      </c>
      <c r="N230" s="7">
        <v>0</v>
      </c>
      <c r="O230" s="11">
        <v>41803</v>
      </c>
      <c r="P230" s="11">
        <v>41803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15672092.62</v>
      </c>
      <c r="O231" s="11">
        <v>41803</v>
      </c>
      <c r="P231" s="11">
        <v>41803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6</v>
      </c>
      <c r="M232" s="6">
        <v>2020</v>
      </c>
      <c r="N232" s="7">
        <v>0</v>
      </c>
      <c r="O232" s="11">
        <v>41803</v>
      </c>
      <c r="P232" s="11">
        <v>41803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3</v>
      </c>
      <c r="M233" s="6">
        <v>2017</v>
      </c>
      <c r="N233" s="7">
        <v>0</v>
      </c>
      <c r="O233" s="11">
        <v>41803</v>
      </c>
      <c r="P233" s="11">
        <v>41803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7</v>
      </c>
      <c r="M234" s="6">
        <v>2021</v>
      </c>
      <c r="N234" s="7">
        <v>0</v>
      </c>
      <c r="O234" s="11">
        <v>41803</v>
      </c>
      <c r="P234" s="11">
        <v>41803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1</v>
      </c>
      <c r="M235" s="6">
        <v>2015</v>
      </c>
      <c r="N235" s="7">
        <v>4999060.32</v>
      </c>
      <c r="O235" s="11">
        <v>41803</v>
      </c>
      <c r="P235" s="11">
        <v>41803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11</v>
      </c>
      <c r="M236" s="6">
        <v>2025</v>
      </c>
      <c r="N236" s="7">
        <v>0</v>
      </c>
      <c r="O236" s="11">
        <v>41803</v>
      </c>
      <c r="P236" s="11">
        <v>41803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9</v>
      </c>
      <c r="M237" s="6">
        <v>2023</v>
      </c>
      <c r="N237" s="7">
        <v>0</v>
      </c>
      <c r="O237" s="11">
        <v>41803</v>
      </c>
      <c r="P237" s="11">
        <v>41803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6</v>
      </c>
      <c r="M238" s="6">
        <v>2020</v>
      </c>
      <c r="N238" s="7">
        <v>0</v>
      </c>
      <c r="O238" s="11">
        <v>41803</v>
      </c>
      <c r="P238" s="11">
        <v>41803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0</v>
      </c>
      <c r="M239" s="6">
        <v>2014</v>
      </c>
      <c r="N239" s="7">
        <v>0</v>
      </c>
      <c r="O239" s="11">
        <v>41803</v>
      </c>
      <c r="P239" s="11">
        <v>41803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10</v>
      </c>
      <c r="M240" s="6">
        <v>2024</v>
      </c>
      <c r="N240" s="7">
        <v>0</v>
      </c>
      <c r="O240" s="11">
        <v>41803</v>
      </c>
      <c r="P240" s="11">
        <v>41803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1</v>
      </c>
      <c r="M241" s="6">
        <v>2015</v>
      </c>
      <c r="N241" s="7">
        <v>0</v>
      </c>
      <c r="O241" s="11">
        <v>41803</v>
      </c>
      <c r="P241" s="11">
        <v>41803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2</v>
      </c>
      <c r="M242" s="6">
        <v>2016</v>
      </c>
      <c r="N242" s="7">
        <v>0</v>
      </c>
      <c r="O242" s="11">
        <v>41803</v>
      </c>
      <c r="P242" s="11">
        <v>41803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9</v>
      </c>
      <c r="M243" s="6">
        <v>2023</v>
      </c>
      <c r="N243" s="7">
        <v>0</v>
      </c>
      <c r="O243" s="11">
        <v>41803</v>
      </c>
      <c r="P243" s="11">
        <v>41803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12</v>
      </c>
      <c r="M244" s="6">
        <v>2026</v>
      </c>
      <c r="N244" s="7">
        <v>0</v>
      </c>
      <c r="O244" s="11">
        <v>41803</v>
      </c>
      <c r="P244" s="11">
        <v>41803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4</v>
      </c>
      <c r="M245" s="6">
        <v>2018</v>
      </c>
      <c r="N245" s="7">
        <v>0</v>
      </c>
      <c r="O245" s="11">
        <v>41803</v>
      </c>
      <c r="P245" s="11">
        <v>41803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7</v>
      </c>
      <c r="M246" s="6">
        <v>2021</v>
      </c>
      <c r="N246" s="7">
        <v>0</v>
      </c>
      <c r="O246" s="11">
        <v>41803</v>
      </c>
      <c r="P246" s="11">
        <v>41803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3</v>
      </c>
      <c r="M247" s="6">
        <v>2017</v>
      </c>
      <c r="N247" s="7">
        <v>0</v>
      </c>
      <c r="O247" s="11">
        <v>41803</v>
      </c>
      <c r="P247" s="11">
        <v>41803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8</v>
      </c>
      <c r="M248" s="6">
        <v>2022</v>
      </c>
      <c r="N248" s="7">
        <v>0</v>
      </c>
      <c r="O248" s="11">
        <v>41803</v>
      </c>
      <c r="P248" s="11">
        <v>41803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11</v>
      </c>
      <c r="M249" s="6">
        <v>2025</v>
      </c>
      <c r="N249" s="7">
        <v>0</v>
      </c>
      <c r="O249" s="11">
        <v>41803</v>
      </c>
      <c r="P249" s="11">
        <v>41803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5</v>
      </c>
      <c r="M250" s="6">
        <v>2019</v>
      </c>
      <c r="N250" s="7">
        <v>0</v>
      </c>
      <c r="O250" s="11">
        <v>41803</v>
      </c>
      <c r="P250" s="11">
        <v>41803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0</v>
      </c>
      <c r="M251" s="6">
        <v>2014</v>
      </c>
      <c r="N251" s="7">
        <v>119339964.72</v>
      </c>
      <c r="O251" s="11">
        <v>41803</v>
      </c>
      <c r="P251" s="11">
        <v>41803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7</v>
      </c>
      <c r="M252" s="6">
        <v>2021</v>
      </c>
      <c r="N252" s="7">
        <v>17591154</v>
      </c>
      <c r="O252" s="11">
        <v>41803</v>
      </c>
      <c r="P252" s="11">
        <v>41803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10</v>
      </c>
      <c r="M253" s="6">
        <v>2024</v>
      </c>
      <c r="N253" s="7">
        <v>1884100</v>
      </c>
      <c r="O253" s="11">
        <v>41803</v>
      </c>
      <c r="P253" s="11">
        <v>41803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6</v>
      </c>
      <c r="M254" s="6">
        <v>2020</v>
      </c>
      <c r="N254" s="7">
        <v>33855670</v>
      </c>
      <c r="O254" s="11">
        <v>41803</v>
      </c>
      <c r="P254" s="11">
        <v>41803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8</v>
      </c>
      <c r="M255" s="6">
        <v>2022</v>
      </c>
      <c r="N255" s="7">
        <v>6510638</v>
      </c>
      <c r="O255" s="11">
        <v>41803</v>
      </c>
      <c r="P255" s="11">
        <v>41803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5</v>
      </c>
      <c r="M256" s="6">
        <v>2019</v>
      </c>
      <c r="N256" s="7">
        <v>51560186</v>
      </c>
      <c r="O256" s="11">
        <v>41803</v>
      </c>
      <c r="P256" s="11">
        <v>41803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4</v>
      </c>
      <c r="M257" s="6">
        <v>2018</v>
      </c>
      <c r="N257" s="7">
        <v>66786702</v>
      </c>
      <c r="O257" s="11">
        <v>41803</v>
      </c>
      <c r="P257" s="11">
        <v>41803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3</v>
      </c>
      <c r="M258" s="6">
        <v>2017</v>
      </c>
      <c r="N258" s="7">
        <v>82013218</v>
      </c>
      <c r="O258" s="11">
        <v>41803</v>
      </c>
      <c r="P258" s="11">
        <v>41803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9</v>
      </c>
      <c r="M259" s="6">
        <v>2023</v>
      </c>
      <c r="N259" s="7">
        <v>3606122</v>
      </c>
      <c r="O259" s="11">
        <v>41803</v>
      </c>
      <c r="P259" s="11">
        <v>41803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2</v>
      </c>
      <c r="M260" s="6">
        <v>2016</v>
      </c>
      <c r="N260" s="7">
        <v>99462314</v>
      </c>
      <c r="O260" s="11">
        <v>41803</v>
      </c>
      <c r="P260" s="11">
        <v>41803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11</v>
      </c>
      <c r="M261" s="6">
        <v>2025</v>
      </c>
      <c r="N261" s="7">
        <v>222900</v>
      </c>
      <c r="O261" s="11">
        <v>41803</v>
      </c>
      <c r="P261" s="11">
        <v>41803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12</v>
      </c>
      <c r="M262" s="6">
        <v>2026</v>
      </c>
      <c r="N262" s="7">
        <v>0</v>
      </c>
      <c r="O262" s="11">
        <v>41803</v>
      </c>
      <c r="P262" s="11">
        <v>41803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1</v>
      </c>
      <c r="M263" s="6">
        <v>2015</v>
      </c>
      <c r="N263" s="7">
        <v>114911410</v>
      </c>
      <c r="O263" s="11">
        <v>41803</v>
      </c>
      <c r="P263" s="11">
        <v>41803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9</v>
      </c>
      <c r="M264" s="6">
        <v>2023</v>
      </c>
      <c r="N264" s="7">
        <v>300000</v>
      </c>
      <c r="O264" s="11">
        <v>41803</v>
      </c>
      <c r="P264" s="11">
        <v>41803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12</v>
      </c>
      <c r="M265" s="6">
        <v>2026</v>
      </c>
      <c r="N265" s="7">
        <v>50000</v>
      </c>
      <c r="O265" s="11">
        <v>41803</v>
      </c>
      <c r="P265" s="11">
        <v>41803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6</v>
      </c>
      <c r="M266" s="6">
        <v>2020</v>
      </c>
      <c r="N266" s="7">
        <v>2300000</v>
      </c>
      <c r="O266" s="11">
        <v>41803</v>
      </c>
      <c r="P266" s="11">
        <v>41803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3</v>
      </c>
      <c r="M267" s="6">
        <v>2017</v>
      </c>
      <c r="N267" s="7">
        <v>4000000</v>
      </c>
      <c r="O267" s="11">
        <v>41803</v>
      </c>
      <c r="P267" s="11">
        <v>41803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0</v>
      </c>
      <c r="M268" s="6">
        <v>2014</v>
      </c>
      <c r="N268" s="7">
        <v>5350000</v>
      </c>
      <c r="O268" s="11">
        <v>41803</v>
      </c>
      <c r="P268" s="11">
        <v>41803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1</v>
      </c>
      <c r="M269" s="6">
        <v>2015</v>
      </c>
      <c r="N269" s="7">
        <v>4700000</v>
      </c>
      <c r="O269" s="11">
        <v>41803</v>
      </c>
      <c r="P269" s="11">
        <v>41803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11</v>
      </c>
      <c r="M270" s="6">
        <v>2025</v>
      </c>
      <c r="N270" s="7">
        <v>100000</v>
      </c>
      <c r="O270" s="11">
        <v>41803</v>
      </c>
      <c r="P270" s="11">
        <v>41803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7</v>
      </c>
      <c r="M271" s="6">
        <v>2021</v>
      </c>
      <c r="N271" s="7">
        <v>1400000</v>
      </c>
      <c r="O271" s="11">
        <v>41803</v>
      </c>
      <c r="P271" s="11">
        <v>41803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10</v>
      </c>
      <c r="M272" s="6">
        <v>2024</v>
      </c>
      <c r="N272" s="7">
        <v>150000</v>
      </c>
      <c r="O272" s="11">
        <v>41803</v>
      </c>
      <c r="P272" s="11">
        <v>41803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5</v>
      </c>
      <c r="M273" s="6">
        <v>2019</v>
      </c>
      <c r="N273" s="7">
        <v>3000000</v>
      </c>
      <c r="O273" s="11">
        <v>41803</v>
      </c>
      <c r="P273" s="11">
        <v>41803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4</v>
      </c>
      <c r="M274" s="6">
        <v>2018</v>
      </c>
      <c r="N274" s="7">
        <v>3300000</v>
      </c>
      <c r="O274" s="11">
        <v>41803</v>
      </c>
      <c r="P274" s="11">
        <v>41803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8</v>
      </c>
      <c r="M275" s="6">
        <v>2022</v>
      </c>
      <c r="N275" s="7">
        <v>700000</v>
      </c>
      <c r="O275" s="11">
        <v>41803</v>
      </c>
      <c r="P275" s="11">
        <v>41803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2</v>
      </c>
      <c r="M276" s="6">
        <v>2016</v>
      </c>
      <c r="N276" s="7">
        <v>4600000</v>
      </c>
      <c r="O276" s="11">
        <v>41803</v>
      </c>
      <c r="P276" s="11">
        <v>41803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2</v>
      </c>
      <c r="M277" s="6">
        <v>2016</v>
      </c>
      <c r="N277" s="7">
        <v>0</v>
      </c>
      <c r="O277" s="11">
        <v>41803</v>
      </c>
      <c r="P277" s="11">
        <v>41803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6</v>
      </c>
      <c r="M278" s="6">
        <v>2020</v>
      </c>
      <c r="N278" s="7">
        <v>0</v>
      </c>
      <c r="O278" s="11">
        <v>41803</v>
      </c>
      <c r="P278" s="11">
        <v>41803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8</v>
      </c>
      <c r="M279" s="6">
        <v>2022</v>
      </c>
      <c r="N279" s="7">
        <v>0</v>
      </c>
      <c r="O279" s="11">
        <v>41803</v>
      </c>
      <c r="P279" s="11">
        <v>41803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5</v>
      </c>
      <c r="M280" s="6">
        <v>2019</v>
      </c>
      <c r="N280" s="7">
        <v>0</v>
      </c>
      <c r="O280" s="11">
        <v>41803</v>
      </c>
      <c r="P280" s="11">
        <v>41803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10</v>
      </c>
      <c r="M281" s="6">
        <v>2024</v>
      </c>
      <c r="N281" s="7">
        <v>0</v>
      </c>
      <c r="O281" s="11">
        <v>41803</v>
      </c>
      <c r="P281" s="11">
        <v>41803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11</v>
      </c>
      <c r="M282" s="6">
        <v>2025</v>
      </c>
      <c r="N282" s="7">
        <v>0</v>
      </c>
      <c r="O282" s="11">
        <v>41803</v>
      </c>
      <c r="P282" s="11">
        <v>41803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3</v>
      </c>
      <c r="M283" s="6">
        <v>2017</v>
      </c>
      <c r="N283" s="7">
        <v>0</v>
      </c>
      <c r="O283" s="11">
        <v>41803</v>
      </c>
      <c r="P283" s="11">
        <v>41803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7</v>
      </c>
      <c r="M284" s="6">
        <v>2021</v>
      </c>
      <c r="N284" s="7">
        <v>0</v>
      </c>
      <c r="O284" s="11">
        <v>41803</v>
      </c>
      <c r="P284" s="11">
        <v>41803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1</v>
      </c>
      <c r="M285" s="6">
        <v>2015</v>
      </c>
      <c r="N285" s="7">
        <v>0</v>
      </c>
      <c r="O285" s="11">
        <v>41803</v>
      </c>
      <c r="P285" s="11">
        <v>41803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4</v>
      </c>
      <c r="M286" s="6">
        <v>2018</v>
      </c>
      <c r="N286" s="7">
        <v>0</v>
      </c>
      <c r="O286" s="11">
        <v>41803</v>
      </c>
      <c r="P286" s="11">
        <v>41803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9</v>
      </c>
      <c r="M287" s="6">
        <v>2023</v>
      </c>
      <c r="N287" s="7">
        <v>0</v>
      </c>
      <c r="O287" s="11">
        <v>41803</v>
      </c>
      <c r="P287" s="11">
        <v>41803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0</v>
      </c>
      <c r="M288" s="6">
        <v>2014</v>
      </c>
      <c r="N288" s="7">
        <v>3027754.08</v>
      </c>
      <c r="O288" s="11">
        <v>41803</v>
      </c>
      <c r="P288" s="11">
        <v>41803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12</v>
      </c>
      <c r="M289" s="6">
        <v>2026</v>
      </c>
      <c r="N289" s="7">
        <v>0</v>
      </c>
      <c r="O289" s="11">
        <v>41803</v>
      </c>
      <c r="P289" s="11">
        <v>41803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1</v>
      </c>
      <c r="M290" s="6">
        <v>2015</v>
      </c>
      <c r="N290" s="7">
        <v>13000000</v>
      </c>
      <c r="O290" s="11">
        <v>41803</v>
      </c>
      <c r="P290" s="11">
        <v>41803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7</v>
      </c>
      <c r="M291" s="6">
        <v>2021</v>
      </c>
      <c r="N291" s="7">
        <v>0</v>
      </c>
      <c r="O291" s="11">
        <v>41803</v>
      </c>
      <c r="P291" s="11">
        <v>41803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2</v>
      </c>
      <c r="M292" s="6">
        <v>2016</v>
      </c>
      <c r="N292" s="7">
        <v>0</v>
      </c>
      <c r="O292" s="11">
        <v>41803</v>
      </c>
      <c r="P292" s="11">
        <v>41803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5</v>
      </c>
      <c r="M293" s="6">
        <v>2019</v>
      </c>
      <c r="N293" s="7">
        <v>0</v>
      </c>
      <c r="O293" s="11">
        <v>41803</v>
      </c>
      <c r="P293" s="11">
        <v>41803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4</v>
      </c>
      <c r="M294" s="6">
        <v>2018</v>
      </c>
      <c r="N294" s="7">
        <v>0</v>
      </c>
      <c r="O294" s="11">
        <v>41803</v>
      </c>
      <c r="P294" s="11">
        <v>41803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12</v>
      </c>
      <c r="M295" s="6">
        <v>2026</v>
      </c>
      <c r="N295" s="7">
        <v>0</v>
      </c>
      <c r="O295" s="11">
        <v>41803</v>
      </c>
      <c r="P295" s="11">
        <v>41803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0</v>
      </c>
      <c r="M296" s="6">
        <v>2014</v>
      </c>
      <c r="N296" s="7">
        <v>16468179</v>
      </c>
      <c r="O296" s="11">
        <v>41803</v>
      </c>
      <c r="P296" s="11">
        <v>41803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6</v>
      </c>
      <c r="M297" s="6">
        <v>2020</v>
      </c>
      <c r="N297" s="7">
        <v>0</v>
      </c>
      <c r="O297" s="11">
        <v>41803</v>
      </c>
      <c r="P297" s="11">
        <v>41803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3</v>
      </c>
      <c r="M298" s="6">
        <v>2017</v>
      </c>
      <c r="N298" s="7">
        <v>0</v>
      </c>
      <c r="O298" s="11">
        <v>41803</v>
      </c>
      <c r="P298" s="11">
        <v>41803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11</v>
      </c>
      <c r="M299" s="6">
        <v>2025</v>
      </c>
      <c r="N299" s="7">
        <v>0</v>
      </c>
      <c r="O299" s="11">
        <v>41803</v>
      </c>
      <c r="P299" s="11">
        <v>41803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8</v>
      </c>
      <c r="M300" s="6">
        <v>2022</v>
      </c>
      <c r="N300" s="7">
        <v>0</v>
      </c>
      <c r="O300" s="11">
        <v>41803</v>
      </c>
      <c r="P300" s="11">
        <v>41803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10</v>
      </c>
      <c r="M301" s="6">
        <v>2024</v>
      </c>
      <c r="N301" s="7">
        <v>0</v>
      </c>
      <c r="O301" s="11">
        <v>41803</v>
      </c>
      <c r="P301" s="11">
        <v>41803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9</v>
      </c>
      <c r="M302" s="6">
        <v>2023</v>
      </c>
      <c r="N302" s="7">
        <v>0</v>
      </c>
      <c r="O302" s="11">
        <v>41803</v>
      </c>
      <c r="P302" s="11">
        <v>41803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4</v>
      </c>
      <c r="M303" s="6">
        <v>2018</v>
      </c>
      <c r="N303" s="7">
        <v>15226516</v>
      </c>
      <c r="O303" s="11">
        <v>41803</v>
      </c>
      <c r="P303" s="11">
        <v>41803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1</v>
      </c>
      <c r="M304" s="6">
        <v>2015</v>
      </c>
      <c r="N304" s="7">
        <v>17428554.72</v>
      </c>
      <c r="O304" s="11">
        <v>41803</v>
      </c>
      <c r="P304" s="11">
        <v>41803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11</v>
      </c>
      <c r="M305" s="6">
        <v>2025</v>
      </c>
      <c r="N305" s="7">
        <v>1661200</v>
      </c>
      <c r="O305" s="11">
        <v>41803</v>
      </c>
      <c r="P305" s="11">
        <v>41803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2</v>
      </c>
      <c r="M306" s="6">
        <v>2016</v>
      </c>
      <c r="N306" s="7">
        <v>15449096</v>
      </c>
      <c r="O306" s="11">
        <v>41803</v>
      </c>
      <c r="P306" s="11">
        <v>41803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12</v>
      </c>
      <c r="M307" s="6">
        <v>2026</v>
      </c>
      <c r="N307" s="7">
        <v>222900</v>
      </c>
      <c r="O307" s="11">
        <v>41803</v>
      </c>
      <c r="P307" s="11">
        <v>41803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5</v>
      </c>
      <c r="M308" s="6">
        <v>2019</v>
      </c>
      <c r="N308" s="7">
        <v>15226516</v>
      </c>
      <c r="O308" s="11">
        <v>41803</v>
      </c>
      <c r="P308" s="11">
        <v>41803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0</v>
      </c>
      <c r="M309" s="6">
        <v>2014</v>
      </c>
      <c r="N309" s="7">
        <v>13440424.92</v>
      </c>
      <c r="O309" s="11">
        <v>41803</v>
      </c>
      <c r="P309" s="11">
        <v>41803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8</v>
      </c>
      <c r="M310" s="6">
        <v>2022</v>
      </c>
      <c r="N310" s="7">
        <v>11080516</v>
      </c>
      <c r="O310" s="11">
        <v>41803</v>
      </c>
      <c r="P310" s="11">
        <v>41803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10</v>
      </c>
      <c r="M311" s="6">
        <v>2024</v>
      </c>
      <c r="N311" s="7">
        <v>1722022</v>
      </c>
      <c r="O311" s="11">
        <v>41803</v>
      </c>
      <c r="P311" s="11">
        <v>41803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6</v>
      </c>
      <c r="M312" s="6">
        <v>2020</v>
      </c>
      <c r="N312" s="7">
        <v>17704516</v>
      </c>
      <c r="O312" s="11">
        <v>41803</v>
      </c>
      <c r="P312" s="11">
        <v>41803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9</v>
      </c>
      <c r="M313" s="6">
        <v>2023</v>
      </c>
      <c r="N313" s="7">
        <v>2904516</v>
      </c>
      <c r="O313" s="11">
        <v>41803</v>
      </c>
      <c r="P313" s="11">
        <v>41803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7</v>
      </c>
      <c r="M314" s="6">
        <v>2021</v>
      </c>
      <c r="N314" s="7">
        <v>16264516</v>
      </c>
      <c r="O314" s="11">
        <v>41803</v>
      </c>
      <c r="P314" s="11">
        <v>41803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3</v>
      </c>
      <c r="M315" s="6">
        <v>2017</v>
      </c>
      <c r="N315" s="7">
        <v>17449096</v>
      </c>
      <c r="O315" s="11">
        <v>41803</v>
      </c>
      <c r="P315" s="11">
        <v>41803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2</v>
      </c>
      <c r="M316" s="6">
        <v>2016</v>
      </c>
      <c r="N316" s="7">
        <v>1000000</v>
      </c>
      <c r="O316" s="11">
        <v>41803</v>
      </c>
      <c r="P316" s="11">
        <v>41803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4</v>
      </c>
      <c r="M317" s="6">
        <v>2018</v>
      </c>
      <c r="N317" s="7">
        <v>0</v>
      </c>
      <c r="O317" s="11">
        <v>41803</v>
      </c>
      <c r="P317" s="11">
        <v>41803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7</v>
      </c>
      <c r="M318" s="6">
        <v>2021</v>
      </c>
      <c r="N318" s="7">
        <v>0</v>
      </c>
      <c r="O318" s="11">
        <v>41803</v>
      </c>
      <c r="P318" s="11">
        <v>41803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12</v>
      </c>
      <c r="M319" s="6">
        <v>2026</v>
      </c>
      <c r="N319" s="7">
        <v>0</v>
      </c>
      <c r="O319" s="11">
        <v>41803</v>
      </c>
      <c r="P319" s="11">
        <v>41803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11</v>
      </c>
      <c r="M320" s="6">
        <v>2025</v>
      </c>
      <c r="N320" s="7">
        <v>0</v>
      </c>
      <c r="O320" s="11">
        <v>41803</v>
      </c>
      <c r="P320" s="11">
        <v>41803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6</v>
      </c>
      <c r="M321" s="6">
        <v>2020</v>
      </c>
      <c r="N321" s="7">
        <v>0</v>
      </c>
      <c r="O321" s="11">
        <v>41803</v>
      </c>
      <c r="P321" s="11">
        <v>41803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10</v>
      </c>
      <c r="M322" s="6">
        <v>2024</v>
      </c>
      <c r="N322" s="7">
        <v>0</v>
      </c>
      <c r="O322" s="11">
        <v>41803</v>
      </c>
      <c r="P322" s="11">
        <v>41803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9</v>
      </c>
      <c r="M323" s="6">
        <v>2023</v>
      </c>
      <c r="N323" s="7">
        <v>0</v>
      </c>
      <c r="O323" s="11">
        <v>41803</v>
      </c>
      <c r="P323" s="11">
        <v>41803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0</v>
      </c>
      <c r="M324" s="6">
        <v>2014</v>
      </c>
      <c r="N324" s="7">
        <v>21119573.52</v>
      </c>
      <c r="O324" s="11">
        <v>41803</v>
      </c>
      <c r="P324" s="11">
        <v>41803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1</v>
      </c>
      <c r="M325" s="6">
        <v>2015</v>
      </c>
      <c r="N325" s="7">
        <v>6999060.32</v>
      </c>
      <c r="O325" s="11">
        <v>41803</v>
      </c>
      <c r="P325" s="11">
        <v>41803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3</v>
      </c>
      <c r="M326" s="6">
        <v>2017</v>
      </c>
      <c r="N326" s="7">
        <v>1000000</v>
      </c>
      <c r="O326" s="11">
        <v>41803</v>
      </c>
      <c r="P326" s="11">
        <v>41803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5</v>
      </c>
      <c r="M327" s="6">
        <v>2019</v>
      </c>
      <c r="N327" s="7">
        <v>0</v>
      </c>
      <c r="O327" s="11">
        <v>41803</v>
      </c>
      <c r="P327" s="11">
        <v>41803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8</v>
      </c>
      <c r="M328" s="6">
        <v>2022</v>
      </c>
      <c r="N328" s="7">
        <v>0</v>
      </c>
      <c r="O328" s="11">
        <v>41803</v>
      </c>
      <c r="P328" s="11">
        <v>41803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3</v>
      </c>
      <c r="M329" s="6">
        <v>2017</v>
      </c>
      <c r="N329" s="7">
        <v>0</v>
      </c>
      <c r="O329" s="11">
        <v>41803</v>
      </c>
      <c r="P329" s="11">
        <v>41803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7</v>
      </c>
      <c r="M330" s="6">
        <v>2021</v>
      </c>
      <c r="N330" s="7">
        <v>0</v>
      </c>
      <c r="O330" s="11">
        <v>41803</v>
      </c>
      <c r="P330" s="11">
        <v>41803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860</v>
      </c>
      <c r="H331" s="10">
        <v>13.7</v>
      </c>
      <c r="I331" s="10"/>
      <c r="J331" s="10" t="s">
        <v>112</v>
      </c>
      <c r="K331" s="10" t="b">
        <v>1</v>
      </c>
      <c r="L331" s="10">
        <v>8</v>
      </c>
      <c r="M331" s="6">
        <v>2022</v>
      </c>
      <c r="N331" s="7">
        <v>0</v>
      </c>
      <c r="O331" s="11">
        <v>41803</v>
      </c>
      <c r="P331" s="11">
        <v>41803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10</v>
      </c>
      <c r="M332" s="6">
        <v>2024</v>
      </c>
      <c r="N332" s="7">
        <v>0</v>
      </c>
      <c r="O332" s="11">
        <v>41803</v>
      </c>
      <c r="P332" s="11">
        <v>41803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6</v>
      </c>
      <c r="M333" s="6">
        <v>2020</v>
      </c>
      <c r="N333" s="7">
        <v>0</v>
      </c>
      <c r="O333" s="11">
        <v>41803</v>
      </c>
      <c r="P333" s="11">
        <v>41803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8</v>
      </c>
      <c r="M334" s="6">
        <v>2022</v>
      </c>
      <c r="N334" s="7">
        <v>0</v>
      </c>
      <c r="O334" s="11">
        <v>41803</v>
      </c>
      <c r="P334" s="11">
        <v>41803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12</v>
      </c>
      <c r="M335" s="6">
        <v>2026</v>
      </c>
      <c r="N335" s="7">
        <v>0</v>
      </c>
      <c r="O335" s="11">
        <v>41803</v>
      </c>
      <c r="P335" s="11">
        <v>41803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0</v>
      </c>
      <c r="M336" s="6">
        <v>2014</v>
      </c>
      <c r="N336" s="7">
        <v>5465821.84</v>
      </c>
      <c r="O336" s="11">
        <v>41803</v>
      </c>
      <c r="P336" s="11">
        <v>41803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2</v>
      </c>
      <c r="M337" s="6">
        <v>2016</v>
      </c>
      <c r="N337" s="7">
        <v>0</v>
      </c>
      <c r="O337" s="11">
        <v>41803</v>
      </c>
      <c r="P337" s="11">
        <v>41803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5</v>
      </c>
      <c r="M338" s="6">
        <v>2019</v>
      </c>
      <c r="N338" s="7">
        <v>0</v>
      </c>
      <c r="O338" s="11">
        <v>41803</v>
      </c>
      <c r="P338" s="11">
        <v>41803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11</v>
      </c>
      <c r="M339" s="6">
        <v>2025</v>
      </c>
      <c r="N339" s="7">
        <v>0</v>
      </c>
      <c r="O339" s="11">
        <v>41803</v>
      </c>
      <c r="P339" s="11">
        <v>41803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9</v>
      </c>
      <c r="M340" s="6">
        <v>2023</v>
      </c>
      <c r="N340" s="7">
        <v>0</v>
      </c>
      <c r="O340" s="11">
        <v>41803</v>
      </c>
      <c r="P340" s="11">
        <v>41803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4</v>
      </c>
      <c r="M341" s="6">
        <v>2018</v>
      </c>
      <c r="N341" s="7">
        <v>0</v>
      </c>
      <c r="O341" s="11">
        <v>41803</v>
      </c>
      <c r="P341" s="11">
        <v>41803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245</v>
      </c>
      <c r="K342" s="10" t="b">
        <v>1</v>
      </c>
      <c r="L342" s="10">
        <v>1</v>
      </c>
      <c r="M342" s="6">
        <v>2015</v>
      </c>
      <c r="N342" s="7">
        <v>1036066.14</v>
      </c>
      <c r="O342" s="11">
        <v>41803</v>
      </c>
      <c r="P342" s="11">
        <v>41803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12</v>
      </c>
      <c r="M343" s="6">
        <v>2026</v>
      </c>
      <c r="N343" s="7">
        <v>0</v>
      </c>
      <c r="O343" s="11">
        <v>41803</v>
      </c>
      <c r="P343" s="11">
        <v>41803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2</v>
      </c>
      <c r="M344" s="6">
        <v>2016</v>
      </c>
      <c r="N344" s="7">
        <v>0</v>
      </c>
      <c r="O344" s="11">
        <v>41803</v>
      </c>
      <c r="P344" s="11">
        <v>41803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4</v>
      </c>
      <c r="M345" s="6">
        <v>2018</v>
      </c>
      <c r="N345" s="7">
        <v>0</v>
      </c>
      <c r="O345" s="11">
        <v>41803</v>
      </c>
      <c r="P345" s="11">
        <v>41803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1</v>
      </c>
      <c r="M346" s="6">
        <v>2015</v>
      </c>
      <c r="N346" s="7">
        <v>0</v>
      </c>
      <c r="O346" s="11">
        <v>41803</v>
      </c>
      <c r="P346" s="11">
        <v>41803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6</v>
      </c>
      <c r="M347" s="6">
        <v>2020</v>
      </c>
      <c r="N347" s="7">
        <v>0</v>
      </c>
      <c r="O347" s="11">
        <v>41803</v>
      </c>
      <c r="P347" s="11">
        <v>41803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3</v>
      </c>
      <c r="M348" s="6">
        <v>2017</v>
      </c>
      <c r="N348" s="7">
        <v>0</v>
      </c>
      <c r="O348" s="11">
        <v>41803</v>
      </c>
      <c r="P348" s="11">
        <v>41803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5</v>
      </c>
      <c r="M349" s="6">
        <v>2019</v>
      </c>
      <c r="N349" s="7">
        <v>0</v>
      </c>
      <c r="O349" s="11">
        <v>41803</v>
      </c>
      <c r="P349" s="11">
        <v>41803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0</v>
      </c>
      <c r="M350" s="6">
        <v>2014</v>
      </c>
      <c r="N350" s="7">
        <v>0</v>
      </c>
      <c r="O350" s="11">
        <v>41803</v>
      </c>
      <c r="P350" s="11">
        <v>41803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10</v>
      </c>
      <c r="M351" s="6">
        <v>2024</v>
      </c>
      <c r="N351" s="7">
        <v>0</v>
      </c>
      <c r="O351" s="11">
        <v>41803</v>
      </c>
      <c r="P351" s="11">
        <v>41803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9</v>
      </c>
      <c r="M352" s="6">
        <v>2023</v>
      </c>
      <c r="N352" s="7">
        <v>0</v>
      </c>
      <c r="O352" s="11">
        <v>41803</v>
      </c>
      <c r="P352" s="11">
        <v>41803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7</v>
      </c>
      <c r="M353" s="6">
        <v>2021</v>
      </c>
      <c r="N353" s="7">
        <v>0</v>
      </c>
      <c r="O353" s="11">
        <v>41803</v>
      </c>
      <c r="P353" s="11">
        <v>41803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11</v>
      </c>
      <c r="M354" s="6">
        <v>2025</v>
      </c>
      <c r="N354" s="7">
        <v>0</v>
      </c>
      <c r="O354" s="11">
        <v>41803</v>
      </c>
      <c r="P354" s="11">
        <v>41803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2</v>
      </c>
      <c r="M355" s="6">
        <v>2016</v>
      </c>
      <c r="N355" s="7">
        <v>0</v>
      </c>
      <c r="O355" s="11">
        <v>41803</v>
      </c>
      <c r="P355" s="11">
        <v>41803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11</v>
      </c>
      <c r="M356" s="6">
        <v>2025</v>
      </c>
      <c r="N356" s="7">
        <v>0</v>
      </c>
      <c r="O356" s="11">
        <v>41803</v>
      </c>
      <c r="P356" s="11">
        <v>41803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8</v>
      </c>
      <c r="M357" s="6">
        <v>2022</v>
      </c>
      <c r="N357" s="7">
        <v>0</v>
      </c>
      <c r="O357" s="11">
        <v>41803</v>
      </c>
      <c r="P357" s="11">
        <v>41803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7</v>
      </c>
      <c r="M358" s="6">
        <v>2021</v>
      </c>
      <c r="N358" s="7">
        <v>0</v>
      </c>
      <c r="O358" s="11">
        <v>41803</v>
      </c>
      <c r="P358" s="11">
        <v>41803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5</v>
      </c>
      <c r="M359" s="6">
        <v>2019</v>
      </c>
      <c r="N359" s="7">
        <v>0</v>
      </c>
      <c r="O359" s="11">
        <v>41803</v>
      </c>
      <c r="P359" s="11">
        <v>41803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9</v>
      </c>
      <c r="M360" s="6">
        <v>2023</v>
      </c>
      <c r="N360" s="7">
        <v>0</v>
      </c>
      <c r="O360" s="11">
        <v>41803</v>
      </c>
      <c r="P360" s="11">
        <v>41803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0</v>
      </c>
      <c r="M361" s="6">
        <v>2014</v>
      </c>
      <c r="N361" s="7">
        <v>0</v>
      </c>
      <c r="O361" s="11">
        <v>41803</v>
      </c>
      <c r="P361" s="11">
        <v>41803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3</v>
      </c>
      <c r="M362" s="6">
        <v>2017</v>
      </c>
      <c r="N362" s="7">
        <v>0</v>
      </c>
      <c r="O362" s="11">
        <v>41803</v>
      </c>
      <c r="P362" s="11">
        <v>41803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10</v>
      </c>
      <c r="M363" s="6">
        <v>2024</v>
      </c>
      <c r="N363" s="7">
        <v>0</v>
      </c>
      <c r="O363" s="11">
        <v>41803</v>
      </c>
      <c r="P363" s="11">
        <v>41803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12</v>
      </c>
      <c r="M364" s="6">
        <v>2026</v>
      </c>
      <c r="N364" s="7">
        <v>0</v>
      </c>
      <c r="O364" s="11">
        <v>41803</v>
      </c>
      <c r="P364" s="11">
        <v>41803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4</v>
      </c>
      <c r="M365" s="6">
        <v>2018</v>
      </c>
      <c r="N365" s="7">
        <v>0</v>
      </c>
      <c r="O365" s="11">
        <v>41803</v>
      </c>
      <c r="P365" s="11">
        <v>41803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1</v>
      </c>
      <c r="M366" s="6">
        <v>2015</v>
      </c>
      <c r="N366" s="7">
        <v>0</v>
      </c>
      <c r="O366" s="11">
        <v>41803</v>
      </c>
      <c r="P366" s="11">
        <v>41803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6</v>
      </c>
      <c r="M367" s="6">
        <v>2020</v>
      </c>
      <c r="N367" s="7">
        <v>0</v>
      </c>
      <c r="O367" s="11">
        <v>41803</v>
      </c>
      <c r="P367" s="11">
        <v>41803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5</v>
      </c>
      <c r="M368" s="6">
        <v>2019</v>
      </c>
      <c r="N368" s="7">
        <v>0</v>
      </c>
      <c r="O368" s="11">
        <v>41803</v>
      </c>
      <c r="P368" s="11">
        <v>41803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4</v>
      </c>
      <c r="M369" s="6">
        <v>2018</v>
      </c>
      <c r="N369" s="7">
        <v>0</v>
      </c>
      <c r="O369" s="11">
        <v>41803</v>
      </c>
      <c r="P369" s="11">
        <v>41803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9</v>
      </c>
      <c r="M370" s="6">
        <v>2023</v>
      </c>
      <c r="N370" s="7">
        <v>0</v>
      </c>
      <c r="O370" s="11">
        <v>41803</v>
      </c>
      <c r="P370" s="11">
        <v>41803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7</v>
      </c>
      <c r="M371" s="6">
        <v>2021</v>
      </c>
      <c r="N371" s="7">
        <v>0</v>
      </c>
      <c r="O371" s="11">
        <v>41803</v>
      </c>
      <c r="P371" s="11">
        <v>41803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1</v>
      </c>
      <c r="M372" s="6">
        <v>2015</v>
      </c>
      <c r="N372" s="7">
        <v>0</v>
      </c>
      <c r="O372" s="11">
        <v>41803</v>
      </c>
      <c r="P372" s="11">
        <v>41803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2</v>
      </c>
      <c r="M373" s="6">
        <v>2016</v>
      </c>
      <c r="N373" s="7">
        <v>0</v>
      </c>
      <c r="O373" s="11">
        <v>41803</v>
      </c>
      <c r="P373" s="11">
        <v>41803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11</v>
      </c>
      <c r="M374" s="6">
        <v>2025</v>
      </c>
      <c r="N374" s="7">
        <v>0</v>
      </c>
      <c r="O374" s="11">
        <v>41803</v>
      </c>
      <c r="P374" s="11">
        <v>41803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8</v>
      </c>
      <c r="M375" s="6">
        <v>2022</v>
      </c>
      <c r="N375" s="7">
        <v>0</v>
      </c>
      <c r="O375" s="11">
        <v>41803</v>
      </c>
      <c r="P375" s="11">
        <v>41803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3</v>
      </c>
      <c r="M376" s="6">
        <v>2017</v>
      </c>
      <c r="N376" s="7">
        <v>0</v>
      </c>
      <c r="O376" s="11">
        <v>41803</v>
      </c>
      <c r="P376" s="11">
        <v>41803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6</v>
      </c>
      <c r="M377" s="6">
        <v>2020</v>
      </c>
      <c r="N377" s="7">
        <v>0</v>
      </c>
      <c r="O377" s="11">
        <v>41803</v>
      </c>
      <c r="P377" s="11">
        <v>41803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12</v>
      </c>
      <c r="M378" s="6">
        <v>2026</v>
      </c>
      <c r="N378" s="7">
        <v>0</v>
      </c>
      <c r="O378" s="11">
        <v>41803</v>
      </c>
      <c r="P378" s="11">
        <v>41803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0</v>
      </c>
      <c r="M379" s="6">
        <v>2014</v>
      </c>
      <c r="N379" s="7">
        <v>0</v>
      </c>
      <c r="O379" s="11">
        <v>41803</v>
      </c>
      <c r="P379" s="11">
        <v>41803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10</v>
      </c>
      <c r="M380" s="6">
        <v>2024</v>
      </c>
      <c r="N380" s="7">
        <v>0</v>
      </c>
      <c r="O380" s="11">
        <v>41803</v>
      </c>
      <c r="P380" s="11">
        <v>41803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11</v>
      </c>
      <c r="M381" s="6">
        <v>2025</v>
      </c>
      <c r="N381" s="7">
        <v>0</v>
      </c>
      <c r="O381" s="11">
        <v>41803</v>
      </c>
      <c r="P381" s="11">
        <v>41803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5</v>
      </c>
      <c r="M382" s="6">
        <v>2019</v>
      </c>
      <c r="N382" s="7">
        <v>0</v>
      </c>
      <c r="O382" s="11">
        <v>41803</v>
      </c>
      <c r="P382" s="11">
        <v>41803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9</v>
      </c>
      <c r="M383" s="6">
        <v>2023</v>
      </c>
      <c r="N383" s="7">
        <v>0</v>
      </c>
      <c r="O383" s="11">
        <v>41803</v>
      </c>
      <c r="P383" s="11">
        <v>41803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0</v>
      </c>
      <c r="M384" s="6">
        <v>2014</v>
      </c>
      <c r="N384" s="7">
        <v>0</v>
      </c>
      <c r="O384" s="11">
        <v>41803</v>
      </c>
      <c r="P384" s="11">
        <v>41803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8</v>
      </c>
      <c r="M385" s="6">
        <v>2022</v>
      </c>
      <c r="N385" s="7">
        <v>0</v>
      </c>
      <c r="O385" s="11">
        <v>41803</v>
      </c>
      <c r="P385" s="11">
        <v>41803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6</v>
      </c>
      <c r="M386" s="6">
        <v>2020</v>
      </c>
      <c r="N386" s="7">
        <v>0</v>
      </c>
      <c r="O386" s="11">
        <v>41803</v>
      </c>
      <c r="P386" s="11">
        <v>41803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10</v>
      </c>
      <c r="M387" s="6">
        <v>2024</v>
      </c>
      <c r="N387" s="7">
        <v>0</v>
      </c>
      <c r="O387" s="11">
        <v>41803</v>
      </c>
      <c r="P387" s="11">
        <v>41803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12</v>
      </c>
      <c r="M388" s="6">
        <v>2026</v>
      </c>
      <c r="N388" s="7">
        <v>0</v>
      </c>
      <c r="O388" s="11">
        <v>41803</v>
      </c>
      <c r="P388" s="11">
        <v>41803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4</v>
      </c>
      <c r="M389" s="6">
        <v>2018</v>
      </c>
      <c r="N389" s="7">
        <v>0</v>
      </c>
      <c r="O389" s="11">
        <v>41803</v>
      </c>
      <c r="P389" s="11">
        <v>41803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7</v>
      </c>
      <c r="M390" s="6">
        <v>2021</v>
      </c>
      <c r="N390" s="7">
        <v>0</v>
      </c>
      <c r="O390" s="11">
        <v>41803</v>
      </c>
      <c r="P390" s="11">
        <v>41803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3</v>
      </c>
      <c r="M391" s="6">
        <v>2017</v>
      </c>
      <c r="N391" s="7">
        <v>0</v>
      </c>
      <c r="O391" s="11">
        <v>41803</v>
      </c>
      <c r="P391" s="11">
        <v>41803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2</v>
      </c>
      <c r="M392" s="6">
        <v>2016</v>
      </c>
      <c r="N392" s="7">
        <v>0</v>
      </c>
      <c r="O392" s="11">
        <v>41803</v>
      </c>
      <c r="P392" s="11">
        <v>41803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</v>
      </c>
      <c r="M393" s="6">
        <v>2015</v>
      </c>
      <c r="N393" s="7">
        <v>0</v>
      </c>
      <c r="O393" s="11">
        <v>41803</v>
      </c>
      <c r="P393" s="11">
        <v>41803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</v>
      </c>
      <c r="M394" s="6">
        <v>2015</v>
      </c>
      <c r="N394" s="7">
        <v>17367725.72</v>
      </c>
      <c r="O394" s="11">
        <v>41803</v>
      </c>
      <c r="P394" s="11">
        <v>41803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7</v>
      </c>
      <c r="M395" s="6">
        <v>2021</v>
      </c>
      <c r="N395" s="7">
        <v>12581200</v>
      </c>
      <c r="O395" s="11">
        <v>41803</v>
      </c>
      <c r="P395" s="11">
        <v>41803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6</v>
      </c>
      <c r="M396" s="6">
        <v>2020</v>
      </c>
      <c r="N396" s="7">
        <v>14021200</v>
      </c>
      <c r="O396" s="11">
        <v>41803</v>
      </c>
      <c r="P396" s="11">
        <v>41803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9</v>
      </c>
      <c r="M397" s="6">
        <v>2023</v>
      </c>
      <c r="N397" s="7">
        <v>221200</v>
      </c>
      <c r="O397" s="11">
        <v>41803</v>
      </c>
      <c r="P397" s="11">
        <v>41803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5</v>
      </c>
      <c r="M398" s="6">
        <v>2019</v>
      </c>
      <c r="N398" s="7">
        <v>11543200</v>
      </c>
      <c r="O398" s="11">
        <v>41803</v>
      </c>
      <c r="P398" s="11">
        <v>41803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0</v>
      </c>
      <c r="M399" s="6">
        <v>2014</v>
      </c>
      <c r="N399" s="7">
        <v>13440424.92</v>
      </c>
      <c r="O399" s="11">
        <v>41803</v>
      </c>
      <c r="P399" s="11">
        <v>41803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12</v>
      </c>
      <c r="M400" s="6">
        <v>2026</v>
      </c>
      <c r="N400" s="7">
        <v>222900</v>
      </c>
      <c r="O400" s="11">
        <v>41803</v>
      </c>
      <c r="P400" s="11">
        <v>41803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3</v>
      </c>
      <c r="M401" s="6">
        <v>2017</v>
      </c>
      <c r="N401" s="7">
        <v>13765780</v>
      </c>
      <c r="O401" s="11">
        <v>41803</v>
      </c>
      <c r="P401" s="11">
        <v>41803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4</v>
      </c>
      <c r="M402" s="6">
        <v>2018</v>
      </c>
      <c r="N402" s="7">
        <v>11543200</v>
      </c>
      <c r="O402" s="11">
        <v>41803</v>
      </c>
      <c r="P402" s="11">
        <v>41803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8</v>
      </c>
      <c r="M403" s="6">
        <v>2022</v>
      </c>
      <c r="N403" s="7">
        <v>7397200</v>
      </c>
      <c r="O403" s="11">
        <v>41803</v>
      </c>
      <c r="P403" s="11">
        <v>41803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10</v>
      </c>
      <c r="M404" s="6">
        <v>2024</v>
      </c>
      <c r="N404" s="7">
        <v>221200</v>
      </c>
      <c r="O404" s="11">
        <v>41803</v>
      </c>
      <c r="P404" s="11">
        <v>41803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2</v>
      </c>
      <c r="M405" s="6">
        <v>2016</v>
      </c>
      <c r="N405" s="7">
        <v>13765780</v>
      </c>
      <c r="O405" s="11">
        <v>41803</v>
      </c>
      <c r="P405" s="11">
        <v>41803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11</v>
      </c>
      <c r="M406" s="6">
        <v>2025</v>
      </c>
      <c r="N406" s="7">
        <v>221200</v>
      </c>
      <c r="O406" s="11">
        <v>41803</v>
      </c>
      <c r="P406" s="11">
        <v>41803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4</v>
      </c>
      <c r="M407" s="6">
        <v>2018</v>
      </c>
      <c r="N407" s="7">
        <v>0</v>
      </c>
      <c r="O407" s="11">
        <v>41803</v>
      </c>
      <c r="P407" s="11">
        <v>41803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0</v>
      </c>
      <c r="M408" s="6">
        <v>2014</v>
      </c>
      <c r="N408" s="7">
        <v>0</v>
      </c>
      <c r="O408" s="11">
        <v>41803</v>
      </c>
      <c r="P408" s="11">
        <v>41803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11</v>
      </c>
      <c r="M409" s="6">
        <v>2025</v>
      </c>
      <c r="N409" s="7">
        <v>0</v>
      </c>
      <c r="O409" s="11">
        <v>41803</v>
      </c>
      <c r="P409" s="11">
        <v>41803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1</v>
      </c>
      <c r="M410" s="6">
        <v>2015</v>
      </c>
      <c r="N410" s="7">
        <v>0</v>
      </c>
      <c r="O410" s="11">
        <v>41803</v>
      </c>
      <c r="P410" s="11">
        <v>41803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12</v>
      </c>
      <c r="M411" s="6">
        <v>2026</v>
      </c>
      <c r="N411" s="7">
        <v>0</v>
      </c>
      <c r="O411" s="11">
        <v>41803</v>
      </c>
      <c r="P411" s="11">
        <v>41803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7</v>
      </c>
      <c r="M412" s="6">
        <v>2021</v>
      </c>
      <c r="N412" s="7">
        <v>0</v>
      </c>
      <c r="O412" s="11">
        <v>41803</v>
      </c>
      <c r="P412" s="11">
        <v>41803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5</v>
      </c>
      <c r="M413" s="6">
        <v>2019</v>
      </c>
      <c r="N413" s="7">
        <v>0</v>
      </c>
      <c r="O413" s="11">
        <v>41803</v>
      </c>
      <c r="P413" s="11">
        <v>41803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10</v>
      </c>
      <c r="M414" s="6">
        <v>2024</v>
      </c>
      <c r="N414" s="7">
        <v>0</v>
      </c>
      <c r="O414" s="11">
        <v>41803</v>
      </c>
      <c r="P414" s="11">
        <v>41803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2</v>
      </c>
      <c r="M415" s="6">
        <v>2016</v>
      </c>
      <c r="N415" s="7">
        <v>0</v>
      </c>
      <c r="O415" s="11">
        <v>41803</v>
      </c>
      <c r="P415" s="11">
        <v>41803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3</v>
      </c>
      <c r="M416" s="6">
        <v>2017</v>
      </c>
      <c r="N416" s="7">
        <v>0</v>
      </c>
      <c r="O416" s="11">
        <v>41803</v>
      </c>
      <c r="P416" s="11">
        <v>41803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9</v>
      </c>
      <c r="M417" s="6">
        <v>2023</v>
      </c>
      <c r="N417" s="7">
        <v>0</v>
      </c>
      <c r="O417" s="11">
        <v>41803</v>
      </c>
      <c r="P417" s="11">
        <v>41803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6</v>
      </c>
      <c r="M418" s="6">
        <v>2020</v>
      </c>
      <c r="N418" s="7">
        <v>0</v>
      </c>
      <c r="O418" s="11">
        <v>41803</v>
      </c>
      <c r="P418" s="11">
        <v>41803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8</v>
      </c>
      <c r="M419" s="6">
        <v>2022</v>
      </c>
      <c r="N419" s="7">
        <v>0</v>
      </c>
      <c r="O419" s="11">
        <v>41803</v>
      </c>
      <c r="P419" s="11">
        <v>41803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11</v>
      </c>
      <c r="M420" s="6">
        <v>2025</v>
      </c>
      <c r="N420" s="7">
        <v>0</v>
      </c>
      <c r="O420" s="11">
        <v>41803</v>
      </c>
      <c r="P420" s="11">
        <v>41803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6</v>
      </c>
      <c r="M421" s="6">
        <v>2020</v>
      </c>
      <c r="N421" s="7">
        <v>0</v>
      </c>
      <c r="O421" s="11">
        <v>41803</v>
      </c>
      <c r="P421" s="11">
        <v>41803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7</v>
      </c>
      <c r="M422" s="6">
        <v>2021</v>
      </c>
      <c r="N422" s="7">
        <v>0</v>
      </c>
      <c r="O422" s="11">
        <v>41803</v>
      </c>
      <c r="P422" s="11">
        <v>41803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4</v>
      </c>
      <c r="M423" s="6">
        <v>2018</v>
      </c>
      <c r="N423" s="7">
        <v>0</v>
      </c>
      <c r="O423" s="11">
        <v>41803</v>
      </c>
      <c r="P423" s="11">
        <v>41803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5</v>
      </c>
      <c r="M424" s="6">
        <v>2019</v>
      </c>
      <c r="N424" s="7">
        <v>0</v>
      </c>
      <c r="O424" s="11">
        <v>41803</v>
      </c>
      <c r="P424" s="11">
        <v>41803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2</v>
      </c>
      <c r="M425" s="6">
        <v>2016</v>
      </c>
      <c r="N425" s="7">
        <v>0</v>
      </c>
      <c r="O425" s="11">
        <v>41803</v>
      </c>
      <c r="P425" s="11">
        <v>41803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10</v>
      </c>
      <c r="M426" s="6">
        <v>2024</v>
      </c>
      <c r="N426" s="7">
        <v>0</v>
      </c>
      <c r="O426" s="11">
        <v>41803</v>
      </c>
      <c r="P426" s="11">
        <v>41803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12</v>
      </c>
      <c r="M427" s="6">
        <v>2026</v>
      </c>
      <c r="N427" s="7">
        <v>0</v>
      </c>
      <c r="O427" s="11">
        <v>41803</v>
      </c>
      <c r="P427" s="11">
        <v>41803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3</v>
      </c>
      <c r="M428" s="6">
        <v>2017</v>
      </c>
      <c r="N428" s="7">
        <v>0</v>
      </c>
      <c r="O428" s="11">
        <v>41803</v>
      </c>
      <c r="P428" s="11">
        <v>41803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9</v>
      </c>
      <c r="M429" s="6">
        <v>2023</v>
      </c>
      <c r="N429" s="7">
        <v>0</v>
      </c>
      <c r="O429" s="11">
        <v>41803</v>
      </c>
      <c r="P429" s="11">
        <v>41803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0</v>
      </c>
      <c r="M430" s="6">
        <v>2014</v>
      </c>
      <c r="N430" s="7">
        <v>0</v>
      </c>
      <c r="O430" s="11">
        <v>41803</v>
      </c>
      <c r="P430" s="11">
        <v>41803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1</v>
      </c>
      <c r="M431" s="6">
        <v>2015</v>
      </c>
      <c r="N431" s="7">
        <v>0</v>
      </c>
      <c r="O431" s="11">
        <v>41803</v>
      </c>
      <c r="P431" s="11">
        <v>41803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8</v>
      </c>
      <c r="M432" s="6">
        <v>2022</v>
      </c>
      <c r="N432" s="7">
        <v>0</v>
      </c>
      <c r="O432" s="11">
        <v>41803</v>
      </c>
      <c r="P432" s="11">
        <v>41803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6</v>
      </c>
      <c r="M433" s="6">
        <v>2020</v>
      </c>
      <c r="N433" s="7">
        <v>0</v>
      </c>
      <c r="O433" s="11">
        <v>41803</v>
      </c>
      <c r="P433" s="11">
        <v>41803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12</v>
      </c>
      <c r="M434" s="6">
        <v>2026</v>
      </c>
      <c r="N434" s="7">
        <v>0</v>
      </c>
      <c r="O434" s="11">
        <v>41803</v>
      </c>
      <c r="P434" s="11">
        <v>41803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2</v>
      </c>
      <c r="M435" s="6">
        <v>2016</v>
      </c>
      <c r="N435" s="7">
        <v>0</v>
      </c>
      <c r="O435" s="11">
        <v>41803</v>
      </c>
      <c r="P435" s="11">
        <v>41803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9</v>
      </c>
      <c r="M436" s="6">
        <v>2023</v>
      </c>
      <c r="N436" s="7">
        <v>0</v>
      </c>
      <c r="O436" s="11">
        <v>41803</v>
      </c>
      <c r="P436" s="11">
        <v>41803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5</v>
      </c>
      <c r="M437" s="6">
        <v>2019</v>
      </c>
      <c r="N437" s="7">
        <v>0</v>
      </c>
      <c r="O437" s="11">
        <v>41803</v>
      </c>
      <c r="P437" s="11">
        <v>41803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</v>
      </c>
      <c r="M438" s="6">
        <v>2015</v>
      </c>
      <c r="N438" s="7">
        <v>0</v>
      </c>
      <c r="O438" s="11">
        <v>41803</v>
      </c>
      <c r="P438" s="11">
        <v>41803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7</v>
      </c>
      <c r="M439" s="6">
        <v>2021</v>
      </c>
      <c r="N439" s="7">
        <v>0</v>
      </c>
      <c r="O439" s="11">
        <v>41803</v>
      </c>
      <c r="P439" s="11">
        <v>41803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10</v>
      </c>
      <c r="M440" s="6">
        <v>2024</v>
      </c>
      <c r="N440" s="7">
        <v>0</v>
      </c>
      <c r="O440" s="11">
        <v>41803</v>
      </c>
      <c r="P440" s="11">
        <v>41803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11</v>
      </c>
      <c r="M441" s="6">
        <v>2025</v>
      </c>
      <c r="N441" s="7">
        <v>0</v>
      </c>
      <c r="O441" s="11">
        <v>41803</v>
      </c>
      <c r="P441" s="11">
        <v>41803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3</v>
      </c>
      <c r="M442" s="6">
        <v>2017</v>
      </c>
      <c r="N442" s="7">
        <v>0</v>
      </c>
      <c r="O442" s="11">
        <v>41803</v>
      </c>
      <c r="P442" s="11">
        <v>41803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0</v>
      </c>
      <c r="M443" s="6">
        <v>2014</v>
      </c>
      <c r="N443" s="7">
        <v>1875867.98</v>
      </c>
      <c r="O443" s="11">
        <v>41803</v>
      </c>
      <c r="P443" s="11">
        <v>41803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8</v>
      </c>
      <c r="M444" s="6">
        <v>2022</v>
      </c>
      <c r="N444" s="7">
        <v>0</v>
      </c>
      <c r="O444" s="11">
        <v>41803</v>
      </c>
      <c r="P444" s="11">
        <v>41803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4</v>
      </c>
      <c r="M445" s="6">
        <v>2018</v>
      </c>
      <c r="N445" s="7">
        <v>0</v>
      </c>
      <c r="O445" s="11">
        <v>41803</v>
      </c>
      <c r="P445" s="11">
        <v>41803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1</v>
      </c>
      <c r="M446" s="6">
        <v>2015</v>
      </c>
      <c r="N446" s="7">
        <v>0</v>
      </c>
      <c r="O446" s="11">
        <v>41803</v>
      </c>
      <c r="P446" s="11">
        <v>41803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4</v>
      </c>
      <c r="M447" s="6">
        <v>2018</v>
      </c>
      <c r="N447" s="7">
        <v>0</v>
      </c>
      <c r="O447" s="11">
        <v>41803</v>
      </c>
      <c r="P447" s="11">
        <v>41803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3</v>
      </c>
      <c r="M448" s="6">
        <v>2017</v>
      </c>
      <c r="N448" s="7">
        <v>0</v>
      </c>
      <c r="O448" s="11">
        <v>41803</v>
      </c>
      <c r="P448" s="11">
        <v>41803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7</v>
      </c>
      <c r="M449" s="6">
        <v>2021</v>
      </c>
      <c r="N449" s="7">
        <v>0</v>
      </c>
      <c r="O449" s="11">
        <v>41803</v>
      </c>
      <c r="P449" s="11">
        <v>41803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5</v>
      </c>
      <c r="M450" s="6">
        <v>2019</v>
      </c>
      <c r="N450" s="7">
        <v>0</v>
      </c>
      <c r="O450" s="11">
        <v>41803</v>
      </c>
      <c r="P450" s="11">
        <v>41803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9</v>
      </c>
      <c r="M451" s="6">
        <v>2023</v>
      </c>
      <c r="N451" s="7">
        <v>0</v>
      </c>
      <c r="O451" s="11">
        <v>41803</v>
      </c>
      <c r="P451" s="11">
        <v>41803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2</v>
      </c>
      <c r="M452" s="6">
        <v>2016</v>
      </c>
      <c r="N452" s="7">
        <v>0</v>
      </c>
      <c r="O452" s="11">
        <v>41803</v>
      </c>
      <c r="P452" s="11">
        <v>41803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8</v>
      </c>
      <c r="M453" s="6">
        <v>2022</v>
      </c>
      <c r="N453" s="7">
        <v>0</v>
      </c>
      <c r="O453" s="11">
        <v>41803</v>
      </c>
      <c r="P453" s="11">
        <v>41803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0</v>
      </c>
      <c r="M454" s="6">
        <v>2014</v>
      </c>
      <c r="N454" s="7">
        <v>10700000</v>
      </c>
      <c r="O454" s="11">
        <v>41803</v>
      </c>
      <c r="P454" s="11">
        <v>41803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12</v>
      </c>
      <c r="M455" s="6">
        <v>2026</v>
      </c>
      <c r="N455" s="7">
        <v>0</v>
      </c>
      <c r="O455" s="11">
        <v>41803</v>
      </c>
      <c r="P455" s="11">
        <v>41803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6</v>
      </c>
      <c r="M456" s="6">
        <v>2020</v>
      </c>
      <c r="N456" s="7">
        <v>0</v>
      </c>
      <c r="O456" s="11">
        <v>41803</v>
      </c>
      <c r="P456" s="11">
        <v>41803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11</v>
      </c>
      <c r="M457" s="6">
        <v>2025</v>
      </c>
      <c r="N457" s="7">
        <v>0</v>
      </c>
      <c r="O457" s="11">
        <v>41803</v>
      </c>
      <c r="P457" s="11">
        <v>41803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10</v>
      </c>
      <c r="M458" s="6">
        <v>2024</v>
      </c>
      <c r="N458" s="7">
        <v>0</v>
      </c>
      <c r="O458" s="11">
        <v>41803</v>
      </c>
      <c r="P458" s="11">
        <v>41803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4</v>
      </c>
      <c r="M459" s="6">
        <v>2018</v>
      </c>
      <c r="N459" s="7">
        <v>39013970</v>
      </c>
      <c r="O459" s="11">
        <v>41803</v>
      </c>
      <c r="P459" s="11">
        <v>41803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9</v>
      </c>
      <c r="M460" s="6">
        <v>2023</v>
      </c>
      <c r="N460" s="7">
        <v>39013970</v>
      </c>
      <c r="O460" s="11">
        <v>41803</v>
      </c>
      <c r="P460" s="11">
        <v>41803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7</v>
      </c>
      <c r="M461" s="6">
        <v>2021</v>
      </c>
      <c r="N461" s="7">
        <v>39013970</v>
      </c>
      <c r="O461" s="11">
        <v>41803</v>
      </c>
      <c r="P461" s="11">
        <v>41803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3</v>
      </c>
      <c r="M462" s="6">
        <v>2017</v>
      </c>
      <c r="N462" s="7">
        <v>39067419</v>
      </c>
      <c r="O462" s="11">
        <v>41803</v>
      </c>
      <c r="P462" s="11">
        <v>41803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2</v>
      </c>
      <c r="M463" s="6">
        <v>2016</v>
      </c>
      <c r="N463" s="7">
        <v>35079513</v>
      </c>
      <c r="O463" s="11">
        <v>41803</v>
      </c>
      <c r="P463" s="11">
        <v>41803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0</v>
      </c>
      <c r="M464" s="6">
        <v>2014</v>
      </c>
      <c r="N464" s="7">
        <v>36109917.21</v>
      </c>
      <c r="O464" s="11">
        <v>41803</v>
      </c>
      <c r="P464" s="11">
        <v>41803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12</v>
      </c>
      <c r="M465" s="6">
        <v>2026</v>
      </c>
      <c r="N465" s="7">
        <v>39013970</v>
      </c>
      <c r="O465" s="11">
        <v>41803</v>
      </c>
      <c r="P465" s="11">
        <v>41803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6</v>
      </c>
      <c r="M466" s="6">
        <v>2020</v>
      </c>
      <c r="N466" s="7">
        <v>39013970</v>
      </c>
      <c r="O466" s="11">
        <v>41803</v>
      </c>
      <c r="P466" s="11">
        <v>41803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11</v>
      </c>
      <c r="M467" s="6">
        <v>2025</v>
      </c>
      <c r="N467" s="7">
        <v>39013970</v>
      </c>
      <c r="O467" s="11">
        <v>41803</v>
      </c>
      <c r="P467" s="11">
        <v>41803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1</v>
      </c>
      <c r="M468" s="6">
        <v>2015</v>
      </c>
      <c r="N468" s="7">
        <v>30882336.04</v>
      </c>
      <c r="O468" s="11">
        <v>41803</v>
      </c>
      <c r="P468" s="11">
        <v>41803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5</v>
      </c>
      <c r="M469" s="6">
        <v>2019</v>
      </c>
      <c r="N469" s="7">
        <v>39013970</v>
      </c>
      <c r="O469" s="11">
        <v>41803</v>
      </c>
      <c r="P469" s="11">
        <v>41803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10</v>
      </c>
      <c r="M470" s="6">
        <v>2024</v>
      </c>
      <c r="N470" s="7">
        <v>39013970</v>
      </c>
      <c r="O470" s="11">
        <v>41803</v>
      </c>
      <c r="P470" s="11">
        <v>41803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8</v>
      </c>
      <c r="M471" s="6">
        <v>2022</v>
      </c>
      <c r="N471" s="7">
        <v>39013970</v>
      </c>
      <c r="O471" s="11">
        <v>41803</v>
      </c>
      <c r="P471" s="11">
        <v>41803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4</v>
      </c>
      <c r="M472" s="6">
        <v>2018</v>
      </c>
      <c r="N472" s="7">
        <v>0</v>
      </c>
      <c r="O472" s="11">
        <v>41803</v>
      </c>
      <c r="P472" s="11">
        <v>41803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2</v>
      </c>
      <c r="M473" s="6">
        <v>2016</v>
      </c>
      <c r="N473" s="7">
        <v>0</v>
      </c>
      <c r="O473" s="11">
        <v>41803</v>
      </c>
      <c r="P473" s="11">
        <v>41803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1</v>
      </c>
      <c r="M474" s="6">
        <v>2015</v>
      </c>
      <c r="N474" s="7">
        <v>0</v>
      </c>
      <c r="O474" s="11">
        <v>41803</v>
      </c>
      <c r="P474" s="11">
        <v>41803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7</v>
      </c>
      <c r="M475" s="6">
        <v>2021</v>
      </c>
      <c r="N475" s="7">
        <v>0</v>
      </c>
      <c r="O475" s="11">
        <v>41803</v>
      </c>
      <c r="P475" s="11">
        <v>41803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12</v>
      </c>
      <c r="M476" s="6">
        <v>2026</v>
      </c>
      <c r="N476" s="7">
        <v>0</v>
      </c>
      <c r="O476" s="11">
        <v>41803</v>
      </c>
      <c r="P476" s="11">
        <v>41803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3</v>
      </c>
      <c r="M477" s="6">
        <v>2017</v>
      </c>
      <c r="N477" s="7">
        <v>0</v>
      </c>
      <c r="O477" s="11">
        <v>41803</v>
      </c>
      <c r="P477" s="11">
        <v>41803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0</v>
      </c>
      <c r="M478" s="6">
        <v>2014</v>
      </c>
      <c r="N478" s="7">
        <v>0</v>
      </c>
      <c r="O478" s="11">
        <v>41803</v>
      </c>
      <c r="P478" s="11">
        <v>41803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5</v>
      </c>
      <c r="M479" s="6">
        <v>2019</v>
      </c>
      <c r="N479" s="7">
        <v>0</v>
      </c>
      <c r="O479" s="11">
        <v>41803</v>
      </c>
      <c r="P479" s="11">
        <v>41803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11</v>
      </c>
      <c r="M480" s="6">
        <v>2025</v>
      </c>
      <c r="N480" s="7">
        <v>0</v>
      </c>
      <c r="O480" s="11">
        <v>41803</v>
      </c>
      <c r="P480" s="11">
        <v>41803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10</v>
      </c>
      <c r="M481" s="6">
        <v>2024</v>
      </c>
      <c r="N481" s="7">
        <v>0</v>
      </c>
      <c r="O481" s="11">
        <v>41803</v>
      </c>
      <c r="P481" s="11">
        <v>41803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6</v>
      </c>
      <c r="M482" s="6">
        <v>2020</v>
      </c>
      <c r="N482" s="7">
        <v>0</v>
      </c>
      <c r="O482" s="11">
        <v>41803</v>
      </c>
      <c r="P482" s="11">
        <v>41803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9</v>
      </c>
      <c r="M483" s="6">
        <v>2023</v>
      </c>
      <c r="N483" s="7">
        <v>0</v>
      </c>
      <c r="O483" s="11">
        <v>41803</v>
      </c>
      <c r="P483" s="11">
        <v>41803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8</v>
      </c>
      <c r="M484" s="6">
        <v>2022</v>
      </c>
      <c r="N484" s="7">
        <v>0</v>
      </c>
      <c r="O484" s="11">
        <v>41803</v>
      </c>
      <c r="P484" s="11">
        <v>41803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120</v>
      </c>
      <c r="H485" s="10">
        <v>2</v>
      </c>
      <c r="I485" s="10" t="s">
        <v>325</v>
      </c>
      <c r="J485" s="10" t="s">
        <v>17</v>
      </c>
      <c r="K485" s="10" t="b">
        <v>0</v>
      </c>
      <c r="L485" s="10">
        <v>8</v>
      </c>
      <c r="M485" s="6">
        <v>2022</v>
      </c>
      <c r="N485" s="7">
        <v>397718568</v>
      </c>
      <c r="O485" s="11">
        <v>41803</v>
      </c>
      <c r="P485" s="11">
        <v>41803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120</v>
      </c>
      <c r="H486" s="10">
        <v>2</v>
      </c>
      <c r="I486" s="10" t="s">
        <v>325</v>
      </c>
      <c r="J486" s="10" t="s">
        <v>17</v>
      </c>
      <c r="K486" s="10" t="b">
        <v>0</v>
      </c>
      <c r="L486" s="10">
        <v>10</v>
      </c>
      <c r="M486" s="6">
        <v>2024</v>
      </c>
      <c r="N486" s="7">
        <v>407077062</v>
      </c>
      <c r="O486" s="11">
        <v>41803</v>
      </c>
      <c r="P486" s="11">
        <v>41803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0</v>
      </c>
      <c r="M487" s="6">
        <v>2014</v>
      </c>
      <c r="N487" s="7">
        <v>423183600.01</v>
      </c>
      <c r="O487" s="11">
        <v>41803</v>
      </c>
      <c r="P487" s="11">
        <v>41803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7</v>
      </c>
      <c r="M488" s="6">
        <v>2021</v>
      </c>
      <c r="N488" s="7">
        <v>392534568</v>
      </c>
      <c r="O488" s="11">
        <v>41803</v>
      </c>
      <c r="P488" s="11">
        <v>41803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6</v>
      </c>
      <c r="M489" s="6">
        <v>2020</v>
      </c>
      <c r="N489" s="7">
        <v>391094568</v>
      </c>
      <c r="O489" s="11">
        <v>41803</v>
      </c>
      <c r="P489" s="11">
        <v>41803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4</v>
      </c>
      <c r="M490" s="6">
        <v>2018</v>
      </c>
      <c r="N490" s="7">
        <v>393572568</v>
      </c>
      <c r="O490" s="11">
        <v>41803</v>
      </c>
      <c r="P490" s="11">
        <v>41803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11</v>
      </c>
      <c r="M491" s="6">
        <v>2025</v>
      </c>
      <c r="N491" s="7">
        <v>407137884</v>
      </c>
      <c r="O491" s="11">
        <v>41803</v>
      </c>
      <c r="P491" s="11">
        <v>41803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9</v>
      </c>
      <c r="M492" s="6">
        <v>2023</v>
      </c>
      <c r="N492" s="7">
        <v>405894568</v>
      </c>
      <c r="O492" s="11">
        <v>41803</v>
      </c>
      <c r="P492" s="11">
        <v>41803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2</v>
      </c>
      <c r="M493" s="6">
        <v>2016</v>
      </c>
      <c r="N493" s="7">
        <v>386714245</v>
      </c>
      <c r="O493" s="11">
        <v>41803</v>
      </c>
      <c r="P493" s="11">
        <v>41803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1</v>
      </c>
      <c r="M494" s="6">
        <v>2015</v>
      </c>
      <c r="N494" s="7">
        <v>397028068.47</v>
      </c>
      <c r="O494" s="11">
        <v>41803</v>
      </c>
      <c r="P494" s="11">
        <v>41803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3</v>
      </c>
      <c r="M495" s="6">
        <v>2017</v>
      </c>
      <c r="N495" s="7">
        <v>391534022</v>
      </c>
      <c r="O495" s="11">
        <v>41803</v>
      </c>
      <c r="P495" s="11">
        <v>41803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5</v>
      </c>
      <c r="M496" s="6">
        <v>2019</v>
      </c>
      <c r="N496" s="7">
        <v>393572568</v>
      </c>
      <c r="O496" s="11">
        <v>41803</v>
      </c>
      <c r="P496" s="11">
        <v>41803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12</v>
      </c>
      <c r="M497" s="6">
        <v>2026</v>
      </c>
      <c r="N497" s="7">
        <v>408576184</v>
      </c>
      <c r="O497" s="11">
        <v>41803</v>
      </c>
      <c r="P497" s="11">
        <v>41803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7</v>
      </c>
      <c r="M498" s="6">
        <v>2021</v>
      </c>
      <c r="N498" s="7">
        <v>280</v>
      </c>
      <c r="O498" s="11">
        <v>41803</v>
      </c>
      <c r="P498" s="11">
        <v>41803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290</v>
      </c>
      <c r="H499" s="10" t="s">
        <v>62</v>
      </c>
      <c r="I499" s="10"/>
      <c r="J499" s="10" t="s">
        <v>58</v>
      </c>
      <c r="K499" s="10" t="b">
        <v>0</v>
      </c>
      <c r="L499" s="10">
        <v>10</v>
      </c>
      <c r="M499" s="6">
        <v>2024</v>
      </c>
      <c r="N499" s="7">
        <v>0</v>
      </c>
      <c r="O499" s="11">
        <v>41803</v>
      </c>
      <c r="P499" s="11">
        <v>41803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290</v>
      </c>
      <c r="H500" s="10" t="s">
        <v>62</v>
      </c>
      <c r="I500" s="10"/>
      <c r="J500" s="10" t="s">
        <v>58</v>
      </c>
      <c r="K500" s="10" t="b">
        <v>0</v>
      </c>
      <c r="L500" s="10">
        <v>11</v>
      </c>
      <c r="M500" s="6">
        <v>2025</v>
      </c>
      <c r="N500" s="7">
        <v>0</v>
      </c>
      <c r="O500" s="11">
        <v>41803</v>
      </c>
      <c r="P500" s="11">
        <v>41803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2</v>
      </c>
      <c r="M501" s="6">
        <v>2016</v>
      </c>
      <c r="N501" s="7">
        <v>188</v>
      </c>
      <c r="O501" s="11">
        <v>41803</v>
      </c>
      <c r="P501" s="11">
        <v>41803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4</v>
      </c>
      <c r="M502" s="6">
        <v>2018</v>
      </c>
      <c r="N502" s="7">
        <v>188</v>
      </c>
      <c r="O502" s="11">
        <v>41803</v>
      </c>
      <c r="P502" s="11">
        <v>41803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6</v>
      </c>
      <c r="M503" s="6">
        <v>2020</v>
      </c>
      <c r="N503" s="7">
        <v>227</v>
      </c>
      <c r="O503" s="11">
        <v>41803</v>
      </c>
      <c r="P503" s="11">
        <v>41803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9</v>
      </c>
      <c r="M504" s="6">
        <v>2023</v>
      </c>
      <c r="N504" s="7">
        <v>645</v>
      </c>
      <c r="O504" s="11">
        <v>41803</v>
      </c>
      <c r="P504" s="11">
        <v>41803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8</v>
      </c>
      <c r="M505" s="6">
        <v>2022</v>
      </c>
      <c r="N505" s="7">
        <v>430</v>
      </c>
      <c r="O505" s="11">
        <v>41803</v>
      </c>
      <c r="P505" s="11">
        <v>41803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3</v>
      </c>
      <c r="M506" s="6">
        <v>2017</v>
      </c>
      <c r="N506" s="7">
        <v>28</v>
      </c>
      <c r="O506" s="11">
        <v>41803</v>
      </c>
      <c r="P506" s="11">
        <v>41803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10</v>
      </c>
      <c r="M507" s="6">
        <v>2024</v>
      </c>
      <c r="N507" s="7">
        <v>683</v>
      </c>
      <c r="O507" s="11">
        <v>41803</v>
      </c>
      <c r="P507" s="11">
        <v>41803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12</v>
      </c>
      <c r="M508" s="6">
        <v>2026</v>
      </c>
      <c r="N508" s="7">
        <v>733</v>
      </c>
      <c r="O508" s="11">
        <v>41803</v>
      </c>
      <c r="P508" s="11">
        <v>41803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</v>
      </c>
      <c r="M509" s="6">
        <v>2015</v>
      </c>
      <c r="N509" s="7">
        <v>73</v>
      </c>
      <c r="O509" s="11">
        <v>41803</v>
      </c>
      <c r="P509" s="11">
        <v>41803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0</v>
      </c>
      <c r="M510" s="6">
        <v>2014</v>
      </c>
      <c r="N510" s="7">
        <v>102</v>
      </c>
      <c r="O510" s="11">
        <v>41803</v>
      </c>
      <c r="P510" s="11">
        <v>41803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290</v>
      </c>
      <c r="H511" s="10" t="s">
        <v>62</v>
      </c>
      <c r="I511" s="10"/>
      <c r="J511" s="10" t="s">
        <v>58</v>
      </c>
      <c r="K511" s="10" t="b">
        <v>0</v>
      </c>
      <c r="L511" s="10">
        <v>1</v>
      </c>
      <c r="M511" s="6">
        <v>2015</v>
      </c>
      <c r="N511" s="7">
        <v>0</v>
      </c>
      <c r="O511" s="11">
        <v>41803</v>
      </c>
      <c r="P511" s="11">
        <v>41803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290</v>
      </c>
      <c r="H512" s="10" t="s">
        <v>62</v>
      </c>
      <c r="I512" s="10"/>
      <c r="J512" s="10" t="s">
        <v>58</v>
      </c>
      <c r="K512" s="10" t="b">
        <v>0</v>
      </c>
      <c r="L512" s="10">
        <v>12</v>
      </c>
      <c r="M512" s="6">
        <v>2026</v>
      </c>
      <c r="N512" s="7">
        <v>0</v>
      </c>
      <c r="O512" s="11">
        <v>41803</v>
      </c>
      <c r="P512" s="11">
        <v>41803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530</v>
      </c>
      <c r="H513" s="10">
        <v>9.7</v>
      </c>
      <c r="I513" s="10" t="s">
        <v>238</v>
      </c>
      <c r="J513" s="10" t="s">
        <v>239</v>
      </c>
      <c r="K513" s="10" t="b">
        <v>0</v>
      </c>
      <c r="L513" s="10">
        <v>11</v>
      </c>
      <c r="M513" s="6">
        <v>2025</v>
      </c>
      <c r="N513" s="7">
        <v>691</v>
      </c>
      <c r="O513" s="11">
        <v>41803</v>
      </c>
      <c r="P513" s="11">
        <v>41803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530</v>
      </c>
      <c r="H514" s="10">
        <v>9.7</v>
      </c>
      <c r="I514" s="10" t="s">
        <v>238</v>
      </c>
      <c r="J514" s="10" t="s">
        <v>239</v>
      </c>
      <c r="K514" s="10" t="b">
        <v>0</v>
      </c>
      <c r="L514" s="10">
        <v>5</v>
      </c>
      <c r="M514" s="6">
        <v>2019</v>
      </c>
      <c r="N514" s="7">
        <v>246</v>
      </c>
      <c r="O514" s="11">
        <v>41803</v>
      </c>
      <c r="P514" s="11">
        <v>41803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0</v>
      </c>
      <c r="M515" s="6">
        <v>2014</v>
      </c>
      <c r="N515" s="7">
        <v>0</v>
      </c>
      <c r="O515" s="11">
        <v>41803</v>
      </c>
      <c r="P515" s="11">
        <v>41803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3</v>
      </c>
      <c r="M516" s="6">
        <v>2017</v>
      </c>
      <c r="N516" s="7">
        <v>0</v>
      </c>
      <c r="O516" s="11">
        <v>41803</v>
      </c>
      <c r="P516" s="11">
        <v>41803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6</v>
      </c>
      <c r="M517" s="6">
        <v>2020</v>
      </c>
      <c r="N517" s="7">
        <v>0</v>
      </c>
      <c r="O517" s="11">
        <v>41803</v>
      </c>
      <c r="P517" s="11">
        <v>41803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9</v>
      </c>
      <c r="M518" s="6">
        <v>2023</v>
      </c>
      <c r="N518" s="7">
        <v>0</v>
      </c>
      <c r="O518" s="11">
        <v>41803</v>
      </c>
      <c r="P518" s="11">
        <v>41803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1</v>
      </c>
      <c r="M519" s="6">
        <v>2015</v>
      </c>
      <c r="N519" s="7">
        <v>0</v>
      </c>
      <c r="O519" s="11">
        <v>41803</v>
      </c>
      <c r="P519" s="11">
        <v>41803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11</v>
      </c>
      <c r="M520" s="6">
        <v>2025</v>
      </c>
      <c r="N520" s="7">
        <v>0</v>
      </c>
      <c r="O520" s="11">
        <v>41803</v>
      </c>
      <c r="P520" s="11">
        <v>41803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12</v>
      </c>
      <c r="M521" s="6">
        <v>2026</v>
      </c>
      <c r="N521" s="7">
        <v>0</v>
      </c>
      <c r="O521" s="11">
        <v>41803</v>
      </c>
      <c r="P521" s="11">
        <v>41803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10</v>
      </c>
      <c r="M522" s="6">
        <v>2024</v>
      </c>
      <c r="N522" s="7">
        <v>0</v>
      </c>
      <c r="O522" s="11">
        <v>41803</v>
      </c>
      <c r="P522" s="11">
        <v>41803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4</v>
      </c>
      <c r="M523" s="6">
        <v>2018</v>
      </c>
      <c r="N523" s="7">
        <v>0</v>
      </c>
      <c r="O523" s="11">
        <v>41803</v>
      </c>
      <c r="P523" s="11">
        <v>41803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8</v>
      </c>
      <c r="M524" s="6">
        <v>2022</v>
      </c>
      <c r="N524" s="7">
        <v>0</v>
      </c>
      <c r="O524" s="11">
        <v>41803</v>
      </c>
      <c r="P524" s="11">
        <v>41803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7</v>
      </c>
      <c r="M525" s="6">
        <v>2021</v>
      </c>
      <c r="N525" s="7">
        <v>0</v>
      </c>
      <c r="O525" s="11">
        <v>41803</v>
      </c>
      <c r="P525" s="11">
        <v>41803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830</v>
      </c>
      <c r="H526" s="10">
        <v>13.4</v>
      </c>
      <c r="I526" s="10"/>
      <c r="J526" s="10" t="s">
        <v>109</v>
      </c>
      <c r="K526" s="10" t="b">
        <v>1</v>
      </c>
      <c r="L526" s="10">
        <v>2</v>
      </c>
      <c r="M526" s="6">
        <v>2016</v>
      </c>
      <c r="N526" s="7">
        <v>0</v>
      </c>
      <c r="O526" s="11">
        <v>41803</v>
      </c>
      <c r="P526" s="11">
        <v>41803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830</v>
      </c>
      <c r="H527" s="10">
        <v>13.4</v>
      </c>
      <c r="I527" s="10"/>
      <c r="J527" s="10" t="s">
        <v>109</v>
      </c>
      <c r="K527" s="10" t="b">
        <v>1</v>
      </c>
      <c r="L527" s="10">
        <v>5</v>
      </c>
      <c r="M527" s="6">
        <v>2019</v>
      </c>
      <c r="N527" s="7">
        <v>0</v>
      </c>
      <c r="O527" s="11">
        <v>41803</v>
      </c>
      <c r="P527" s="11">
        <v>41803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4</v>
      </c>
      <c r="M528" s="6">
        <v>2018</v>
      </c>
      <c r="N528" s="7">
        <v>0</v>
      </c>
      <c r="O528" s="11">
        <v>41803</v>
      </c>
      <c r="P528" s="11">
        <v>41803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2</v>
      </c>
      <c r="M529" s="6">
        <v>2016</v>
      </c>
      <c r="N529" s="7">
        <v>0</v>
      </c>
      <c r="O529" s="11">
        <v>41803</v>
      </c>
      <c r="P529" s="11">
        <v>41803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3</v>
      </c>
      <c r="M530" s="6">
        <v>2017</v>
      </c>
      <c r="N530" s="7">
        <v>0</v>
      </c>
      <c r="O530" s="11">
        <v>41803</v>
      </c>
      <c r="P530" s="11">
        <v>41803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7</v>
      </c>
      <c r="M531" s="6">
        <v>2021</v>
      </c>
      <c r="N531" s="7">
        <v>0</v>
      </c>
      <c r="O531" s="11">
        <v>41803</v>
      </c>
      <c r="P531" s="11">
        <v>41803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6</v>
      </c>
      <c r="M532" s="6">
        <v>2020</v>
      </c>
      <c r="N532" s="7">
        <v>0</v>
      </c>
      <c r="O532" s="11">
        <v>41803</v>
      </c>
      <c r="P532" s="11">
        <v>41803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0</v>
      </c>
      <c r="M533" s="6">
        <v>2014</v>
      </c>
      <c r="N533" s="7">
        <v>0</v>
      </c>
      <c r="O533" s="11">
        <v>41803</v>
      </c>
      <c r="P533" s="11">
        <v>41803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8</v>
      </c>
      <c r="M534" s="6">
        <v>2022</v>
      </c>
      <c r="N534" s="7">
        <v>0</v>
      </c>
      <c r="O534" s="11">
        <v>41803</v>
      </c>
      <c r="P534" s="11">
        <v>41803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9</v>
      </c>
      <c r="M535" s="6">
        <v>2023</v>
      </c>
      <c r="N535" s="7">
        <v>0</v>
      </c>
      <c r="O535" s="11">
        <v>41803</v>
      </c>
      <c r="P535" s="11">
        <v>41803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5</v>
      </c>
      <c r="M536" s="6">
        <v>2019</v>
      </c>
      <c r="N536" s="7">
        <v>0</v>
      </c>
      <c r="O536" s="11">
        <v>41803</v>
      </c>
      <c r="P536" s="11">
        <v>41803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11</v>
      </c>
      <c r="M537" s="6">
        <v>2025</v>
      </c>
      <c r="N537" s="7">
        <v>0</v>
      </c>
      <c r="O537" s="11">
        <v>41803</v>
      </c>
      <c r="P537" s="11">
        <v>41803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9</v>
      </c>
      <c r="M538" s="6">
        <v>2023</v>
      </c>
      <c r="N538" s="7">
        <v>0</v>
      </c>
      <c r="O538" s="11">
        <v>41803</v>
      </c>
      <c r="P538" s="11">
        <v>41803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8</v>
      </c>
      <c r="M539" s="6">
        <v>2022</v>
      </c>
      <c r="N539" s="7">
        <v>0</v>
      </c>
      <c r="O539" s="11">
        <v>41803</v>
      </c>
      <c r="P539" s="11">
        <v>41803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0</v>
      </c>
      <c r="M540" s="6">
        <v>2014</v>
      </c>
      <c r="N540" s="7">
        <v>0</v>
      </c>
      <c r="O540" s="11">
        <v>41803</v>
      </c>
      <c r="P540" s="11">
        <v>41803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12</v>
      </c>
      <c r="M541" s="6">
        <v>2026</v>
      </c>
      <c r="N541" s="7">
        <v>0</v>
      </c>
      <c r="O541" s="11">
        <v>41803</v>
      </c>
      <c r="P541" s="11">
        <v>41803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6</v>
      </c>
      <c r="M542" s="6">
        <v>2020</v>
      </c>
      <c r="N542" s="7">
        <v>0</v>
      </c>
      <c r="O542" s="11">
        <v>41803</v>
      </c>
      <c r="P542" s="11">
        <v>41803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3</v>
      </c>
      <c r="M543" s="6">
        <v>2017</v>
      </c>
      <c r="N543" s="7">
        <v>0</v>
      </c>
      <c r="O543" s="11">
        <v>41803</v>
      </c>
      <c r="P543" s="11">
        <v>41803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2</v>
      </c>
      <c r="M544" s="6">
        <v>2016</v>
      </c>
      <c r="N544" s="7">
        <v>0</v>
      </c>
      <c r="O544" s="11">
        <v>41803</v>
      </c>
      <c r="P544" s="11">
        <v>41803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7</v>
      </c>
      <c r="M545" s="6">
        <v>2021</v>
      </c>
      <c r="N545" s="7">
        <v>0</v>
      </c>
      <c r="O545" s="11">
        <v>41803</v>
      </c>
      <c r="P545" s="11">
        <v>41803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1</v>
      </c>
      <c r="M546" s="6">
        <v>2015</v>
      </c>
      <c r="N546" s="7">
        <v>0</v>
      </c>
      <c r="O546" s="11">
        <v>41803</v>
      </c>
      <c r="P546" s="11">
        <v>41803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5</v>
      </c>
      <c r="M547" s="6">
        <v>2019</v>
      </c>
      <c r="N547" s="7">
        <v>0</v>
      </c>
      <c r="O547" s="11">
        <v>41803</v>
      </c>
      <c r="P547" s="11">
        <v>41803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10</v>
      </c>
      <c r="M548" s="6">
        <v>2024</v>
      </c>
      <c r="N548" s="7">
        <v>0</v>
      </c>
      <c r="O548" s="11">
        <v>41803</v>
      </c>
      <c r="P548" s="11">
        <v>41803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4</v>
      </c>
      <c r="M549" s="6">
        <v>2018</v>
      </c>
      <c r="N549" s="7">
        <v>0</v>
      </c>
      <c r="O549" s="11">
        <v>41803</v>
      </c>
      <c r="P549" s="11">
        <v>41803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4</v>
      </c>
      <c r="M550" s="6">
        <v>2018</v>
      </c>
      <c r="N550" s="7">
        <v>0</v>
      </c>
      <c r="O550" s="11">
        <v>41803</v>
      </c>
      <c r="P550" s="11">
        <v>41803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10</v>
      </c>
      <c r="M551" s="6">
        <v>2024</v>
      </c>
      <c r="N551" s="7">
        <v>0</v>
      </c>
      <c r="O551" s="11">
        <v>41803</v>
      </c>
      <c r="P551" s="11">
        <v>41803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11</v>
      </c>
      <c r="M552" s="6">
        <v>2025</v>
      </c>
      <c r="N552" s="7">
        <v>0</v>
      </c>
      <c r="O552" s="11">
        <v>41803</v>
      </c>
      <c r="P552" s="11">
        <v>41803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2</v>
      </c>
      <c r="M553" s="6">
        <v>2016</v>
      </c>
      <c r="N553" s="7">
        <v>0</v>
      </c>
      <c r="O553" s="11">
        <v>41803</v>
      </c>
      <c r="P553" s="11">
        <v>41803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12</v>
      </c>
      <c r="M554" s="6">
        <v>2026</v>
      </c>
      <c r="N554" s="7">
        <v>0</v>
      </c>
      <c r="O554" s="11">
        <v>41803</v>
      </c>
      <c r="P554" s="11">
        <v>41803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8</v>
      </c>
      <c r="M555" s="6">
        <v>2022</v>
      </c>
      <c r="N555" s="7">
        <v>0</v>
      </c>
      <c r="O555" s="11">
        <v>41803</v>
      </c>
      <c r="P555" s="11">
        <v>41803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1</v>
      </c>
      <c r="M556" s="6">
        <v>2015</v>
      </c>
      <c r="N556" s="7">
        <v>1036066.14</v>
      </c>
      <c r="O556" s="11">
        <v>41803</v>
      </c>
      <c r="P556" s="11">
        <v>41803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9</v>
      </c>
      <c r="M557" s="6">
        <v>2023</v>
      </c>
      <c r="N557" s="7">
        <v>0</v>
      </c>
      <c r="O557" s="11">
        <v>41803</v>
      </c>
      <c r="P557" s="11">
        <v>41803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5</v>
      </c>
      <c r="M558" s="6">
        <v>2019</v>
      </c>
      <c r="N558" s="7">
        <v>0</v>
      </c>
      <c r="O558" s="11">
        <v>41803</v>
      </c>
      <c r="P558" s="11">
        <v>41803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6</v>
      </c>
      <c r="M559" s="6">
        <v>2020</v>
      </c>
      <c r="N559" s="7">
        <v>0</v>
      </c>
      <c r="O559" s="11">
        <v>41803</v>
      </c>
      <c r="P559" s="11">
        <v>41803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0</v>
      </c>
      <c r="M560" s="6">
        <v>2014</v>
      </c>
      <c r="N560" s="7">
        <v>5465821.84</v>
      </c>
      <c r="O560" s="11">
        <v>41803</v>
      </c>
      <c r="P560" s="11">
        <v>41803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3</v>
      </c>
      <c r="M561" s="6">
        <v>2017</v>
      </c>
      <c r="N561" s="7">
        <v>0</v>
      </c>
      <c r="O561" s="11">
        <v>41803</v>
      </c>
      <c r="P561" s="11">
        <v>41803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7</v>
      </c>
      <c r="M562" s="6">
        <v>2021</v>
      </c>
      <c r="N562" s="7">
        <v>0</v>
      </c>
      <c r="O562" s="11">
        <v>41803</v>
      </c>
      <c r="P562" s="11">
        <v>41803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11</v>
      </c>
      <c r="M563" s="6">
        <v>2025</v>
      </c>
      <c r="N563" s="7">
        <v>0</v>
      </c>
      <c r="O563" s="11">
        <v>41803</v>
      </c>
      <c r="P563" s="11">
        <v>41803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7</v>
      </c>
      <c r="M564" s="6">
        <v>2021</v>
      </c>
      <c r="N564" s="7">
        <v>0</v>
      </c>
      <c r="O564" s="11">
        <v>41803</v>
      </c>
      <c r="P564" s="11">
        <v>41803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6</v>
      </c>
      <c r="M565" s="6">
        <v>2020</v>
      </c>
      <c r="N565" s="7">
        <v>0</v>
      </c>
      <c r="O565" s="11">
        <v>41803</v>
      </c>
      <c r="P565" s="11">
        <v>41803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10</v>
      </c>
      <c r="M566" s="6">
        <v>2024</v>
      </c>
      <c r="N566" s="7">
        <v>0</v>
      </c>
      <c r="O566" s="11">
        <v>41803</v>
      </c>
      <c r="P566" s="11">
        <v>41803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1</v>
      </c>
      <c r="M567" s="6">
        <v>2015</v>
      </c>
      <c r="N567" s="7">
        <v>67116000</v>
      </c>
      <c r="O567" s="11">
        <v>41803</v>
      </c>
      <c r="P567" s="11">
        <v>41803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9</v>
      </c>
      <c r="M568" s="6">
        <v>2023</v>
      </c>
      <c r="N568" s="7">
        <v>0</v>
      </c>
      <c r="O568" s="11">
        <v>41803</v>
      </c>
      <c r="P568" s="11">
        <v>41803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8</v>
      </c>
      <c r="M569" s="6">
        <v>2022</v>
      </c>
      <c r="N569" s="7">
        <v>0</v>
      </c>
      <c r="O569" s="11">
        <v>41803</v>
      </c>
      <c r="P569" s="11">
        <v>41803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2</v>
      </c>
      <c r="M570" s="6">
        <v>2016</v>
      </c>
      <c r="N570" s="7">
        <v>68458320</v>
      </c>
      <c r="O570" s="11">
        <v>41803</v>
      </c>
      <c r="P570" s="11">
        <v>41803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3</v>
      </c>
      <c r="M571" s="6">
        <v>2017</v>
      </c>
      <c r="N571" s="7">
        <v>69827486</v>
      </c>
      <c r="O571" s="11">
        <v>41803</v>
      </c>
      <c r="P571" s="11">
        <v>41803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0</v>
      </c>
      <c r="M572" s="6">
        <v>2014</v>
      </c>
      <c r="N572" s="7">
        <v>67971050</v>
      </c>
      <c r="O572" s="11">
        <v>41803</v>
      </c>
      <c r="P572" s="11">
        <v>41803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12</v>
      </c>
      <c r="M573" s="6">
        <v>2026</v>
      </c>
      <c r="N573" s="7">
        <v>0</v>
      </c>
      <c r="O573" s="11">
        <v>41803</v>
      </c>
      <c r="P573" s="11">
        <v>41803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5</v>
      </c>
      <c r="M574" s="6">
        <v>2019</v>
      </c>
      <c r="N574" s="7">
        <v>0</v>
      </c>
      <c r="O574" s="11">
        <v>41803</v>
      </c>
      <c r="P574" s="11">
        <v>41803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4</v>
      </c>
      <c r="M575" s="6">
        <v>2018</v>
      </c>
      <c r="N575" s="7">
        <v>0</v>
      </c>
      <c r="O575" s="11">
        <v>41803</v>
      </c>
      <c r="P575" s="11">
        <v>41803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12</v>
      </c>
      <c r="M576" s="6">
        <v>2026</v>
      </c>
      <c r="N576" s="7">
        <v>0.0954</v>
      </c>
      <c r="O576" s="11">
        <v>41803</v>
      </c>
      <c r="P576" s="11">
        <v>41803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3</v>
      </c>
      <c r="M577" s="6">
        <v>2017</v>
      </c>
      <c r="N577" s="7">
        <v>0.098</v>
      </c>
      <c r="O577" s="11">
        <v>41803</v>
      </c>
      <c r="P577" s="11">
        <v>41803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9</v>
      </c>
      <c r="M578" s="6">
        <v>2023</v>
      </c>
      <c r="N578" s="7">
        <v>0.0954</v>
      </c>
      <c r="O578" s="11">
        <v>41803</v>
      </c>
      <c r="P578" s="11">
        <v>41803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11</v>
      </c>
      <c r="M579" s="6">
        <v>2025</v>
      </c>
      <c r="N579" s="7">
        <v>0.0954</v>
      </c>
      <c r="O579" s="11">
        <v>41803</v>
      </c>
      <c r="P579" s="11">
        <v>41803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680</v>
      </c>
      <c r="H580" s="10" t="s">
        <v>86</v>
      </c>
      <c r="I580" s="10"/>
      <c r="J580" s="10" t="s">
        <v>87</v>
      </c>
      <c r="K580" s="10" t="b">
        <v>1</v>
      </c>
      <c r="L580" s="10">
        <v>11</v>
      </c>
      <c r="M580" s="6">
        <v>2025</v>
      </c>
      <c r="N580" s="7">
        <v>0</v>
      </c>
      <c r="O580" s="11">
        <v>41803</v>
      </c>
      <c r="P580" s="11">
        <v>41803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680</v>
      </c>
      <c r="H581" s="10" t="s">
        <v>86</v>
      </c>
      <c r="I581" s="10"/>
      <c r="J581" s="10" t="s">
        <v>87</v>
      </c>
      <c r="K581" s="10" t="b">
        <v>1</v>
      </c>
      <c r="L581" s="10">
        <v>6</v>
      </c>
      <c r="M581" s="6">
        <v>2020</v>
      </c>
      <c r="N581" s="7">
        <v>0</v>
      </c>
      <c r="O581" s="11">
        <v>41803</v>
      </c>
      <c r="P581" s="11">
        <v>41803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8</v>
      </c>
      <c r="M582" s="6">
        <v>2022</v>
      </c>
      <c r="N582" s="7">
        <v>0.0954</v>
      </c>
      <c r="O582" s="11">
        <v>41803</v>
      </c>
      <c r="P582" s="11">
        <v>41803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4</v>
      </c>
      <c r="M583" s="6">
        <v>2018</v>
      </c>
      <c r="N583" s="7">
        <v>0.0954</v>
      </c>
      <c r="O583" s="11">
        <v>41803</v>
      </c>
      <c r="P583" s="11">
        <v>41803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10</v>
      </c>
      <c r="M584" s="6">
        <v>2024</v>
      </c>
      <c r="N584" s="7">
        <v>0.0954</v>
      </c>
      <c r="O584" s="11">
        <v>41803</v>
      </c>
      <c r="P584" s="11">
        <v>41803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1</v>
      </c>
      <c r="M585" s="6">
        <v>2015</v>
      </c>
      <c r="N585" s="7">
        <v>0.0819</v>
      </c>
      <c r="O585" s="11">
        <v>41803</v>
      </c>
      <c r="P585" s="11">
        <v>41803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2</v>
      </c>
      <c r="M586" s="6">
        <v>2016</v>
      </c>
      <c r="N586" s="7">
        <v>0.0897</v>
      </c>
      <c r="O586" s="11">
        <v>41803</v>
      </c>
      <c r="P586" s="11">
        <v>41803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6</v>
      </c>
      <c r="M587" s="6">
        <v>2020</v>
      </c>
      <c r="N587" s="7">
        <v>0.0954</v>
      </c>
      <c r="O587" s="11">
        <v>41803</v>
      </c>
      <c r="P587" s="11">
        <v>41803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7</v>
      </c>
      <c r="M588" s="6">
        <v>2021</v>
      </c>
      <c r="N588" s="7">
        <v>0.0954</v>
      </c>
      <c r="O588" s="11">
        <v>41803</v>
      </c>
      <c r="P588" s="11">
        <v>41803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508</v>
      </c>
      <c r="H589" s="10">
        <v>9.5</v>
      </c>
      <c r="I589" s="10" t="s">
        <v>234</v>
      </c>
      <c r="J589" s="10" t="s">
        <v>235</v>
      </c>
      <c r="K589" s="10" t="b">
        <v>0</v>
      </c>
      <c r="L589" s="10">
        <v>5</v>
      </c>
      <c r="M589" s="6">
        <v>2019</v>
      </c>
      <c r="N589" s="7">
        <v>0.0954</v>
      </c>
      <c r="O589" s="11">
        <v>41803</v>
      </c>
      <c r="P589" s="11">
        <v>41803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508</v>
      </c>
      <c r="H590" s="10">
        <v>9.5</v>
      </c>
      <c r="I590" s="10" t="s">
        <v>234</v>
      </c>
      <c r="J590" s="10" t="s">
        <v>235</v>
      </c>
      <c r="K590" s="10" t="b">
        <v>0</v>
      </c>
      <c r="L590" s="10">
        <v>0</v>
      </c>
      <c r="M590" s="6">
        <v>2014</v>
      </c>
      <c r="N590" s="7">
        <v>0.0731</v>
      </c>
      <c r="O590" s="11">
        <v>41803</v>
      </c>
      <c r="P590" s="11">
        <v>41803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3</v>
      </c>
      <c r="M591" s="6">
        <v>2017</v>
      </c>
      <c r="N591" s="7">
        <v>0</v>
      </c>
      <c r="O591" s="11">
        <v>41803</v>
      </c>
      <c r="P591" s="11">
        <v>41803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2</v>
      </c>
      <c r="M592" s="6">
        <v>2016</v>
      </c>
      <c r="N592" s="7">
        <v>0</v>
      </c>
      <c r="O592" s="11">
        <v>41803</v>
      </c>
      <c r="P592" s="11">
        <v>41803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0</v>
      </c>
      <c r="M593" s="6">
        <v>2014</v>
      </c>
      <c r="N593" s="7">
        <v>3154742.54</v>
      </c>
      <c r="O593" s="11">
        <v>41803</v>
      </c>
      <c r="P593" s="11">
        <v>41803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10</v>
      </c>
      <c r="M594" s="6">
        <v>2024</v>
      </c>
      <c r="N594" s="7">
        <v>0</v>
      </c>
      <c r="O594" s="11">
        <v>41803</v>
      </c>
      <c r="P594" s="11">
        <v>41803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7</v>
      </c>
      <c r="M595" s="6">
        <v>2021</v>
      </c>
      <c r="N595" s="7">
        <v>0</v>
      </c>
      <c r="O595" s="11">
        <v>41803</v>
      </c>
      <c r="P595" s="11">
        <v>41803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5</v>
      </c>
      <c r="M596" s="6">
        <v>2019</v>
      </c>
      <c r="N596" s="7">
        <v>0</v>
      </c>
      <c r="O596" s="11">
        <v>41803</v>
      </c>
      <c r="P596" s="11">
        <v>41803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4</v>
      </c>
      <c r="M597" s="6">
        <v>2018</v>
      </c>
      <c r="N597" s="7">
        <v>0</v>
      </c>
      <c r="O597" s="11">
        <v>41803</v>
      </c>
      <c r="P597" s="11">
        <v>41803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12</v>
      </c>
      <c r="M598" s="6">
        <v>2026</v>
      </c>
      <c r="N598" s="7">
        <v>0</v>
      </c>
      <c r="O598" s="11">
        <v>41803</v>
      </c>
      <c r="P598" s="11">
        <v>41803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8</v>
      </c>
      <c r="M599" s="6">
        <v>2022</v>
      </c>
      <c r="N599" s="7">
        <v>0</v>
      </c>
      <c r="O599" s="11">
        <v>41803</v>
      </c>
      <c r="P599" s="11">
        <v>41803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9</v>
      </c>
      <c r="M600" s="6">
        <v>2023</v>
      </c>
      <c r="N600" s="7">
        <v>0</v>
      </c>
      <c r="O600" s="11">
        <v>41803</v>
      </c>
      <c r="P600" s="11">
        <v>41803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1</v>
      </c>
      <c r="M601" s="6">
        <v>2015</v>
      </c>
      <c r="N601" s="7">
        <v>1065184.75</v>
      </c>
      <c r="O601" s="11">
        <v>41803</v>
      </c>
      <c r="P601" s="11">
        <v>41803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9</v>
      </c>
      <c r="M602" s="6">
        <v>2023</v>
      </c>
      <c r="N602" s="7">
        <v>0</v>
      </c>
      <c r="O602" s="11">
        <v>41803</v>
      </c>
      <c r="P602" s="11">
        <v>41803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0</v>
      </c>
      <c r="M603" s="6">
        <v>2014</v>
      </c>
      <c r="N603" s="7">
        <v>0</v>
      </c>
      <c r="O603" s="11">
        <v>41803</v>
      </c>
      <c r="P603" s="11">
        <v>41803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4</v>
      </c>
      <c r="M604" s="6">
        <v>2018</v>
      </c>
      <c r="N604" s="7">
        <v>0</v>
      </c>
      <c r="O604" s="11">
        <v>41803</v>
      </c>
      <c r="P604" s="11">
        <v>41803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7</v>
      </c>
      <c r="M605" s="6">
        <v>2021</v>
      </c>
      <c r="N605" s="7">
        <v>0</v>
      </c>
      <c r="O605" s="11">
        <v>41803</v>
      </c>
      <c r="P605" s="11">
        <v>41803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11</v>
      </c>
      <c r="M606" s="6">
        <v>2025</v>
      </c>
      <c r="N606" s="7">
        <v>0</v>
      </c>
      <c r="O606" s="11">
        <v>41803</v>
      </c>
      <c r="P606" s="11">
        <v>41803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12</v>
      </c>
      <c r="M607" s="6">
        <v>2026</v>
      </c>
      <c r="N607" s="7">
        <v>0</v>
      </c>
      <c r="O607" s="11">
        <v>41803</v>
      </c>
      <c r="P607" s="11">
        <v>41803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6</v>
      </c>
      <c r="M608" s="6">
        <v>2020</v>
      </c>
      <c r="N608" s="7">
        <v>0</v>
      </c>
      <c r="O608" s="11">
        <v>41803</v>
      </c>
      <c r="P608" s="11">
        <v>41803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8</v>
      </c>
      <c r="M609" s="6">
        <v>2022</v>
      </c>
      <c r="N609" s="7">
        <v>0</v>
      </c>
      <c r="O609" s="11">
        <v>41803</v>
      </c>
      <c r="P609" s="11">
        <v>41803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3</v>
      </c>
      <c r="M610" s="6">
        <v>2017</v>
      </c>
      <c r="N610" s="7">
        <v>0</v>
      </c>
      <c r="O610" s="11">
        <v>41803</v>
      </c>
      <c r="P610" s="11">
        <v>41803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5</v>
      </c>
      <c r="M611" s="6">
        <v>2019</v>
      </c>
      <c r="N611" s="7">
        <v>0</v>
      </c>
      <c r="O611" s="11">
        <v>41803</v>
      </c>
      <c r="P611" s="11">
        <v>41803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10</v>
      </c>
      <c r="M612" s="6">
        <v>2024</v>
      </c>
      <c r="N612" s="7">
        <v>0</v>
      </c>
      <c r="O612" s="11">
        <v>41803</v>
      </c>
      <c r="P612" s="11">
        <v>41803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2</v>
      </c>
      <c r="M613" s="6">
        <v>2016</v>
      </c>
      <c r="N613" s="7">
        <v>0</v>
      </c>
      <c r="O613" s="11">
        <v>41803</v>
      </c>
      <c r="P613" s="11">
        <v>41803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</v>
      </c>
      <c r="M614" s="6">
        <v>2015</v>
      </c>
      <c r="N614" s="7">
        <v>0</v>
      </c>
      <c r="O614" s="11">
        <v>41803</v>
      </c>
      <c r="P614" s="11">
        <v>41803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5</v>
      </c>
      <c r="M615" s="6">
        <v>2019</v>
      </c>
      <c r="N615" s="7">
        <v>0</v>
      </c>
      <c r="O615" s="11">
        <v>41803</v>
      </c>
      <c r="P615" s="11">
        <v>41803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2</v>
      </c>
      <c r="M616" s="6">
        <v>2016</v>
      </c>
      <c r="N616" s="7">
        <v>122887000</v>
      </c>
      <c r="O616" s="11">
        <v>41803</v>
      </c>
      <c r="P616" s="11">
        <v>41803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0</v>
      </c>
      <c r="M617" s="6">
        <v>2014</v>
      </c>
      <c r="N617" s="7">
        <v>118284365</v>
      </c>
      <c r="O617" s="11">
        <v>41803</v>
      </c>
      <c r="P617" s="11">
        <v>41803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6</v>
      </c>
      <c r="M618" s="6">
        <v>2020</v>
      </c>
      <c r="N618" s="7">
        <v>0</v>
      </c>
      <c r="O618" s="11">
        <v>41803</v>
      </c>
      <c r="P618" s="11">
        <v>41803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4</v>
      </c>
      <c r="M619" s="6">
        <v>2018</v>
      </c>
      <c r="N619" s="7">
        <v>0</v>
      </c>
      <c r="O619" s="11">
        <v>41803</v>
      </c>
      <c r="P619" s="11">
        <v>41803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11</v>
      </c>
      <c r="M620" s="6">
        <v>2025</v>
      </c>
      <c r="N620" s="7">
        <v>0</v>
      </c>
      <c r="O620" s="11">
        <v>41803</v>
      </c>
      <c r="P620" s="11">
        <v>41803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8</v>
      </c>
      <c r="M621" s="6">
        <v>2022</v>
      </c>
      <c r="N621" s="7">
        <v>0</v>
      </c>
      <c r="O621" s="11">
        <v>41803</v>
      </c>
      <c r="P621" s="11">
        <v>41803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9</v>
      </c>
      <c r="M622" s="6">
        <v>2023</v>
      </c>
      <c r="N622" s="7">
        <v>0</v>
      </c>
      <c r="O622" s="11">
        <v>41803</v>
      </c>
      <c r="P622" s="11">
        <v>41803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7</v>
      </c>
      <c r="M623" s="6">
        <v>2021</v>
      </c>
      <c r="N623" s="7">
        <v>0</v>
      </c>
      <c r="O623" s="11">
        <v>41803</v>
      </c>
      <c r="P623" s="11">
        <v>41803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</v>
      </c>
      <c r="M624" s="6">
        <v>2015</v>
      </c>
      <c r="N624" s="7">
        <v>120595900</v>
      </c>
      <c r="O624" s="11">
        <v>41803</v>
      </c>
      <c r="P624" s="11">
        <v>41803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12</v>
      </c>
      <c r="M625" s="6">
        <v>2026</v>
      </c>
      <c r="N625" s="7">
        <v>0</v>
      </c>
      <c r="O625" s="11">
        <v>41803</v>
      </c>
      <c r="P625" s="11">
        <v>41803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10</v>
      </c>
      <c r="M626" s="6">
        <v>2024</v>
      </c>
      <c r="N626" s="7">
        <v>0</v>
      </c>
      <c r="O626" s="11">
        <v>41803</v>
      </c>
      <c r="P626" s="11">
        <v>41803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3</v>
      </c>
      <c r="M627" s="6">
        <v>2017</v>
      </c>
      <c r="N627" s="7">
        <v>125098966</v>
      </c>
      <c r="O627" s="11">
        <v>41803</v>
      </c>
      <c r="P627" s="11">
        <v>41803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10</v>
      </c>
      <c r="M628" s="6">
        <v>2024</v>
      </c>
      <c r="N628" s="7">
        <v>1722022</v>
      </c>
      <c r="O628" s="11">
        <v>41803</v>
      </c>
      <c r="P628" s="11">
        <v>41803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0</v>
      </c>
      <c r="M629" s="6">
        <v>2014</v>
      </c>
      <c r="N629" s="7">
        <v>13440424.92</v>
      </c>
      <c r="O629" s="11">
        <v>41803</v>
      </c>
      <c r="P629" s="11">
        <v>41803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3</v>
      </c>
      <c r="M630" s="6">
        <v>2017</v>
      </c>
      <c r="N630" s="7">
        <v>17449096</v>
      </c>
      <c r="O630" s="11">
        <v>41803</v>
      </c>
      <c r="P630" s="11">
        <v>41803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11</v>
      </c>
      <c r="M631" s="6">
        <v>2025</v>
      </c>
      <c r="N631" s="7">
        <v>1661200</v>
      </c>
      <c r="O631" s="11">
        <v>41803</v>
      </c>
      <c r="P631" s="11">
        <v>41803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12</v>
      </c>
      <c r="M632" s="6">
        <v>2026</v>
      </c>
      <c r="N632" s="7">
        <v>222900</v>
      </c>
      <c r="O632" s="11">
        <v>41803</v>
      </c>
      <c r="P632" s="11">
        <v>41803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4</v>
      </c>
      <c r="M633" s="6">
        <v>2018</v>
      </c>
      <c r="N633" s="7">
        <v>15226516</v>
      </c>
      <c r="O633" s="11">
        <v>41803</v>
      </c>
      <c r="P633" s="11">
        <v>41803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7</v>
      </c>
      <c r="M634" s="6">
        <v>2021</v>
      </c>
      <c r="N634" s="7">
        <v>16264516</v>
      </c>
      <c r="O634" s="11">
        <v>41803</v>
      </c>
      <c r="P634" s="11">
        <v>41803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2</v>
      </c>
      <c r="M635" s="6">
        <v>2016</v>
      </c>
      <c r="N635" s="7">
        <v>15449096</v>
      </c>
      <c r="O635" s="11">
        <v>41803</v>
      </c>
      <c r="P635" s="11">
        <v>41803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6</v>
      </c>
      <c r="M636" s="6">
        <v>2020</v>
      </c>
      <c r="N636" s="7">
        <v>17704516</v>
      </c>
      <c r="O636" s="11">
        <v>41803</v>
      </c>
      <c r="P636" s="11">
        <v>41803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5</v>
      </c>
      <c r="M637" s="6">
        <v>2019</v>
      </c>
      <c r="N637" s="7">
        <v>15226516</v>
      </c>
      <c r="O637" s="11">
        <v>41803</v>
      </c>
      <c r="P637" s="11">
        <v>41803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1</v>
      </c>
      <c r="M638" s="6">
        <v>2015</v>
      </c>
      <c r="N638" s="7">
        <v>17428554.72</v>
      </c>
      <c r="O638" s="11">
        <v>41803</v>
      </c>
      <c r="P638" s="11">
        <v>41803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8</v>
      </c>
      <c r="M639" s="6">
        <v>2022</v>
      </c>
      <c r="N639" s="7">
        <v>11080516</v>
      </c>
      <c r="O639" s="11">
        <v>41803</v>
      </c>
      <c r="P639" s="11">
        <v>41803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9</v>
      </c>
      <c r="M640" s="6">
        <v>2023</v>
      </c>
      <c r="N640" s="7">
        <v>2904516</v>
      </c>
      <c r="O640" s="11">
        <v>41803</v>
      </c>
      <c r="P640" s="11">
        <v>41803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10</v>
      </c>
      <c r="M641" s="6">
        <v>2024</v>
      </c>
      <c r="N641" s="7">
        <v>0</v>
      </c>
      <c r="O641" s="11">
        <v>41803</v>
      </c>
      <c r="P641" s="11">
        <v>41803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9</v>
      </c>
      <c r="M642" s="6">
        <v>2023</v>
      </c>
      <c r="N642" s="7">
        <v>0</v>
      </c>
      <c r="O642" s="11">
        <v>41803</v>
      </c>
      <c r="P642" s="11">
        <v>41803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1</v>
      </c>
      <c r="M643" s="6">
        <v>2015</v>
      </c>
      <c r="N643" s="7">
        <v>0</v>
      </c>
      <c r="O643" s="11">
        <v>41803</v>
      </c>
      <c r="P643" s="11">
        <v>41803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3</v>
      </c>
      <c r="M644" s="6">
        <v>2017</v>
      </c>
      <c r="N644" s="7">
        <v>0</v>
      </c>
      <c r="O644" s="11">
        <v>41803</v>
      </c>
      <c r="P644" s="11">
        <v>41803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2</v>
      </c>
      <c r="M645" s="6">
        <v>2016</v>
      </c>
      <c r="N645" s="7">
        <v>0</v>
      </c>
      <c r="O645" s="11">
        <v>41803</v>
      </c>
      <c r="P645" s="11">
        <v>41803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8</v>
      </c>
      <c r="M646" s="6">
        <v>2022</v>
      </c>
      <c r="N646" s="7">
        <v>0</v>
      </c>
      <c r="O646" s="11">
        <v>41803</v>
      </c>
      <c r="P646" s="11">
        <v>41803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6</v>
      </c>
      <c r="M647" s="6">
        <v>2020</v>
      </c>
      <c r="N647" s="7">
        <v>0</v>
      </c>
      <c r="O647" s="11">
        <v>41803</v>
      </c>
      <c r="P647" s="11">
        <v>41803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5</v>
      </c>
      <c r="M648" s="6">
        <v>2019</v>
      </c>
      <c r="N648" s="7">
        <v>0</v>
      </c>
      <c r="O648" s="11">
        <v>41803</v>
      </c>
      <c r="P648" s="11">
        <v>41803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11</v>
      </c>
      <c r="M649" s="6">
        <v>2025</v>
      </c>
      <c r="N649" s="7">
        <v>0</v>
      </c>
      <c r="O649" s="11">
        <v>41803</v>
      </c>
      <c r="P649" s="11">
        <v>41803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4</v>
      </c>
      <c r="M650" s="6">
        <v>2018</v>
      </c>
      <c r="N650" s="7">
        <v>0</v>
      </c>
      <c r="O650" s="11">
        <v>41803</v>
      </c>
      <c r="P650" s="11">
        <v>41803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12</v>
      </c>
      <c r="M651" s="6">
        <v>2026</v>
      </c>
      <c r="N651" s="7">
        <v>0</v>
      </c>
      <c r="O651" s="11">
        <v>41803</v>
      </c>
      <c r="P651" s="11">
        <v>41803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0</v>
      </c>
      <c r="M652" s="6">
        <v>2014</v>
      </c>
      <c r="N652" s="7">
        <v>0</v>
      </c>
      <c r="O652" s="11">
        <v>41803</v>
      </c>
      <c r="P652" s="11">
        <v>41803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7</v>
      </c>
      <c r="M653" s="6">
        <v>2021</v>
      </c>
      <c r="N653" s="7">
        <v>0</v>
      </c>
      <c r="O653" s="11">
        <v>41803</v>
      </c>
      <c r="P653" s="11">
        <v>41803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9</v>
      </c>
      <c r="M654" s="6">
        <v>2023</v>
      </c>
      <c r="N654" s="7">
        <v>0</v>
      </c>
      <c r="O654" s="11">
        <v>41803</v>
      </c>
      <c r="P654" s="11">
        <v>41803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12</v>
      </c>
      <c r="M655" s="6">
        <v>2026</v>
      </c>
      <c r="N655" s="7">
        <v>0</v>
      </c>
      <c r="O655" s="11">
        <v>41803</v>
      </c>
      <c r="P655" s="11">
        <v>41803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3</v>
      </c>
      <c r="M656" s="6">
        <v>2017</v>
      </c>
      <c r="N656" s="7">
        <v>0</v>
      </c>
      <c r="O656" s="11">
        <v>41803</v>
      </c>
      <c r="P656" s="11">
        <v>41803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2</v>
      </c>
      <c r="M657" s="6">
        <v>2016</v>
      </c>
      <c r="N657" s="7">
        <v>0</v>
      </c>
      <c r="O657" s="11">
        <v>41803</v>
      </c>
      <c r="P657" s="11">
        <v>41803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5</v>
      </c>
      <c r="M658" s="6">
        <v>2019</v>
      </c>
      <c r="N658" s="7">
        <v>0</v>
      </c>
      <c r="O658" s="11">
        <v>41803</v>
      </c>
      <c r="P658" s="11">
        <v>41803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10</v>
      </c>
      <c r="M659" s="6">
        <v>2024</v>
      </c>
      <c r="N659" s="7">
        <v>0</v>
      </c>
      <c r="O659" s="11">
        <v>41803</v>
      </c>
      <c r="P659" s="11">
        <v>41803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4</v>
      </c>
      <c r="M660" s="6">
        <v>2018</v>
      </c>
      <c r="N660" s="7">
        <v>0</v>
      </c>
      <c r="O660" s="11">
        <v>41803</v>
      </c>
      <c r="P660" s="11">
        <v>41803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6</v>
      </c>
      <c r="M661" s="6">
        <v>2020</v>
      </c>
      <c r="N661" s="7">
        <v>0</v>
      </c>
      <c r="O661" s="11">
        <v>41803</v>
      </c>
      <c r="P661" s="11">
        <v>41803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7</v>
      </c>
      <c r="M662" s="6">
        <v>2021</v>
      </c>
      <c r="N662" s="7">
        <v>0</v>
      </c>
      <c r="O662" s="11">
        <v>41803</v>
      </c>
      <c r="P662" s="11">
        <v>41803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1</v>
      </c>
      <c r="M663" s="6">
        <v>2015</v>
      </c>
      <c r="N663" s="7">
        <v>0</v>
      </c>
      <c r="O663" s="11">
        <v>41803</v>
      </c>
      <c r="P663" s="11">
        <v>41803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11</v>
      </c>
      <c r="M664" s="6">
        <v>2025</v>
      </c>
      <c r="N664" s="7">
        <v>0</v>
      </c>
      <c r="O664" s="11">
        <v>41803</v>
      </c>
      <c r="P664" s="11">
        <v>41803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0</v>
      </c>
      <c r="M665" s="6">
        <v>2014</v>
      </c>
      <c r="N665" s="7">
        <v>0</v>
      </c>
      <c r="O665" s="11">
        <v>41803</v>
      </c>
      <c r="P665" s="11">
        <v>41803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8</v>
      </c>
      <c r="M666" s="6">
        <v>2022</v>
      </c>
      <c r="N666" s="7">
        <v>0</v>
      </c>
      <c r="O666" s="11">
        <v>41803</v>
      </c>
      <c r="P666" s="11">
        <v>41803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0</v>
      </c>
      <c r="M667" s="6">
        <v>2014</v>
      </c>
      <c r="N667" s="7">
        <v>0</v>
      </c>
      <c r="O667" s="11">
        <v>41803</v>
      </c>
      <c r="P667" s="11">
        <v>41803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5</v>
      </c>
      <c r="M668" s="6">
        <v>2019</v>
      </c>
      <c r="N668" s="7">
        <v>0</v>
      </c>
      <c r="O668" s="11">
        <v>41803</v>
      </c>
      <c r="P668" s="11">
        <v>41803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11</v>
      </c>
      <c r="M669" s="6">
        <v>2025</v>
      </c>
      <c r="N669" s="7">
        <v>0</v>
      </c>
      <c r="O669" s="11">
        <v>41803</v>
      </c>
      <c r="P669" s="11">
        <v>41803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</v>
      </c>
      <c r="M670" s="6">
        <v>2015</v>
      </c>
      <c r="N670" s="7">
        <v>0</v>
      </c>
      <c r="O670" s="11">
        <v>41803</v>
      </c>
      <c r="P670" s="11">
        <v>41803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12</v>
      </c>
      <c r="M671" s="6">
        <v>2026</v>
      </c>
      <c r="N671" s="7">
        <v>0</v>
      </c>
      <c r="O671" s="11">
        <v>41803</v>
      </c>
      <c r="P671" s="11">
        <v>41803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8</v>
      </c>
      <c r="M672" s="6">
        <v>2022</v>
      </c>
      <c r="N672" s="7">
        <v>0</v>
      </c>
      <c r="O672" s="11">
        <v>41803</v>
      </c>
      <c r="P672" s="11">
        <v>41803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9</v>
      </c>
      <c r="M673" s="6">
        <v>2023</v>
      </c>
      <c r="N673" s="7">
        <v>0</v>
      </c>
      <c r="O673" s="11">
        <v>41803</v>
      </c>
      <c r="P673" s="11">
        <v>41803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6</v>
      </c>
      <c r="M674" s="6">
        <v>2020</v>
      </c>
      <c r="N674" s="7">
        <v>0</v>
      </c>
      <c r="O674" s="11">
        <v>41803</v>
      </c>
      <c r="P674" s="11">
        <v>41803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2</v>
      </c>
      <c r="M675" s="6">
        <v>2016</v>
      </c>
      <c r="N675" s="7">
        <v>0</v>
      </c>
      <c r="O675" s="11">
        <v>41803</v>
      </c>
      <c r="P675" s="11">
        <v>41803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4</v>
      </c>
      <c r="M676" s="6">
        <v>2018</v>
      </c>
      <c r="N676" s="7">
        <v>0</v>
      </c>
      <c r="O676" s="11">
        <v>41803</v>
      </c>
      <c r="P676" s="11">
        <v>41803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3</v>
      </c>
      <c r="M677" s="6">
        <v>2017</v>
      </c>
      <c r="N677" s="7">
        <v>0</v>
      </c>
      <c r="O677" s="11">
        <v>41803</v>
      </c>
      <c r="P677" s="11">
        <v>41803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7</v>
      </c>
      <c r="M678" s="6">
        <v>2021</v>
      </c>
      <c r="N678" s="7">
        <v>0</v>
      </c>
      <c r="O678" s="11">
        <v>41803</v>
      </c>
      <c r="P678" s="11">
        <v>41803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10</v>
      </c>
      <c r="M679" s="6">
        <v>2024</v>
      </c>
      <c r="N679" s="7">
        <v>0</v>
      </c>
      <c r="O679" s="11">
        <v>41803</v>
      </c>
      <c r="P679" s="11">
        <v>41803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8</v>
      </c>
      <c r="M680" s="6">
        <v>2022</v>
      </c>
      <c r="N680" s="7">
        <v>0</v>
      </c>
      <c r="O680" s="11">
        <v>41803</v>
      </c>
      <c r="P680" s="11">
        <v>41803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9</v>
      </c>
      <c r="M681" s="6">
        <v>2023</v>
      </c>
      <c r="N681" s="7">
        <v>0</v>
      </c>
      <c r="O681" s="11">
        <v>41803</v>
      </c>
      <c r="P681" s="11">
        <v>41803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10</v>
      </c>
      <c r="M682" s="6">
        <v>2024</v>
      </c>
      <c r="N682" s="7">
        <v>0</v>
      </c>
      <c r="O682" s="11">
        <v>41803</v>
      </c>
      <c r="P682" s="11">
        <v>41803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</v>
      </c>
      <c r="M683" s="6">
        <v>2015</v>
      </c>
      <c r="N683" s="7">
        <v>0</v>
      </c>
      <c r="O683" s="11">
        <v>41803</v>
      </c>
      <c r="P683" s="11">
        <v>41803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12</v>
      </c>
      <c r="M684" s="6">
        <v>2026</v>
      </c>
      <c r="N684" s="7">
        <v>0</v>
      </c>
      <c r="O684" s="11">
        <v>41803</v>
      </c>
      <c r="P684" s="11">
        <v>41803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4</v>
      </c>
      <c r="M685" s="6">
        <v>2018</v>
      </c>
      <c r="N685" s="7">
        <v>0</v>
      </c>
      <c r="O685" s="11">
        <v>41803</v>
      </c>
      <c r="P685" s="11">
        <v>41803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5</v>
      </c>
      <c r="M686" s="6">
        <v>2019</v>
      </c>
      <c r="N686" s="7">
        <v>0</v>
      </c>
      <c r="O686" s="11">
        <v>41803</v>
      </c>
      <c r="P686" s="11">
        <v>41803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6</v>
      </c>
      <c r="M687" s="6">
        <v>2020</v>
      </c>
      <c r="N687" s="7">
        <v>0</v>
      </c>
      <c r="O687" s="11">
        <v>41803</v>
      </c>
      <c r="P687" s="11">
        <v>41803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11</v>
      </c>
      <c r="M688" s="6">
        <v>2025</v>
      </c>
      <c r="N688" s="7">
        <v>0</v>
      </c>
      <c r="O688" s="11">
        <v>41803</v>
      </c>
      <c r="P688" s="11">
        <v>41803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0</v>
      </c>
      <c r="M689" s="6">
        <v>2014</v>
      </c>
      <c r="N689" s="7">
        <v>10700000</v>
      </c>
      <c r="O689" s="11">
        <v>41803</v>
      </c>
      <c r="P689" s="11">
        <v>41803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7</v>
      </c>
      <c r="M690" s="6">
        <v>2021</v>
      </c>
      <c r="N690" s="7">
        <v>0</v>
      </c>
      <c r="O690" s="11">
        <v>41803</v>
      </c>
      <c r="P690" s="11">
        <v>41803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2</v>
      </c>
      <c r="M691" s="6">
        <v>2016</v>
      </c>
      <c r="N691" s="7">
        <v>0</v>
      </c>
      <c r="O691" s="11">
        <v>41803</v>
      </c>
      <c r="P691" s="11">
        <v>41803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3</v>
      </c>
      <c r="M692" s="6">
        <v>2017</v>
      </c>
      <c r="N692" s="7">
        <v>0</v>
      </c>
      <c r="O692" s="11">
        <v>41803</v>
      </c>
      <c r="P692" s="11">
        <v>41803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8</v>
      </c>
      <c r="M693" s="6">
        <v>2022</v>
      </c>
      <c r="N693" s="7">
        <v>0</v>
      </c>
      <c r="O693" s="11">
        <v>41803</v>
      </c>
      <c r="P693" s="11">
        <v>41803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1</v>
      </c>
      <c r="M694" s="6">
        <v>2015</v>
      </c>
      <c r="N694" s="7">
        <v>0</v>
      </c>
      <c r="O694" s="11">
        <v>41803</v>
      </c>
      <c r="P694" s="11">
        <v>41803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5</v>
      </c>
      <c r="M695" s="6">
        <v>2019</v>
      </c>
      <c r="N695" s="7">
        <v>0</v>
      </c>
      <c r="O695" s="11">
        <v>41803</v>
      </c>
      <c r="P695" s="11">
        <v>41803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2</v>
      </c>
      <c r="M696" s="6">
        <v>2016</v>
      </c>
      <c r="N696" s="7">
        <v>0</v>
      </c>
      <c r="O696" s="11">
        <v>41803</v>
      </c>
      <c r="P696" s="11">
        <v>41803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3</v>
      </c>
      <c r="M697" s="6">
        <v>2017</v>
      </c>
      <c r="N697" s="7">
        <v>0</v>
      </c>
      <c r="O697" s="11">
        <v>41803</v>
      </c>
      <c r="P697" s="11">
        <v>41803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9</v>
      </c>
      <c r="M698" s="6">
        <v>2023</v>
      </c>
      <c r="N698" s="7">
        <v>0</v>
      </c>
      <c r="O698" s="11">
        <v>41803</v>
      </c>
      <c r="P698" s="11">
        <v>41803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0</v>
      </c>
      <c r="M699" s="6">
        <v>2014</v>
      </c>
      <c r="N699" s="7">
        <v>0</v>
      </c>
      <c r="O699" s="11">
        <v>41803</v>
      </c>
      <c r="P699" s="11">
        <v>41803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6</v>
      </c>
      <c r="M700" s="6">
        <v>2020</v>
      </c>
      <c r="N700" s="7">
        <v>0</v>
      </c>
      <c r="O700" s="11">
        <v>41803</v>
      </c>
      <c r="P700" s="11">
        <v>41803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4</v>
      </c>
      <c r="M701" s="6">
        <v>2018</v>
      </c>
      <c r="N701" s="7">
        <v>0</v>
      </c>
      <c r="O701" s="11">
        <v>41803</v>
      </c>
      <c r="P701" s="11">
        <v>41803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10</v>
      </c>
      <c r="M702" s="6">
        <v>2024</v>
      </c>
      <c r="N702" s="7">
        <v>0</v>
      </c>
      <c r="O702" s="11">
        <v>41803</v>
      </c>
      <c r="P702" s="11">
        <v>41803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12</v>
      </c>
      <c r="M703" s="6">
        <v>2026</v>
      </c>
      <c r="N703" s="7">
        <v>0</v>
      </c>
      <c r="O703" s="11">
        <v>41803</v>
      </c>
      <c r="P703" s="11">
        <v>41803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7</v>
      </c>
      <c r="M704" s="6">
        <v>2021</v>
      </c>
      <c r="N704" s="7">
        <v>0</v>
      </c>
      <c r="O704" s="11">
        <v>41803</v>
      </c>
      <c r="P704" s="11">
        <v>41803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11</v>
      </c>
      <c r="M705" s="6">
        <v>2025</v>
      </c>
      <c r="N705" s="7">
        <v>0</v>
      </c>
      <c r="O705" s="11">
        <v>41803</v>
      </c>
      <c r="P705" s="11">
        <v>41803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0</v>
      </c>
      <c r="M706" s="6">
        <v>2014</v>
      </c>
      <c r="N706" s="7">
        <v>0</v>
      </c>
      <c r="O706" s="11">
        <v>41803</v>
      </c>
      <c r="P706" s="11">
        <v>41803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10</v>
      </c>
      <c r="M707" s="6">
        <v>2024</v>
      </c>
      <c r="N707" s="7">
        <v>0</v>
      </c>
      <c r="O707" s="11">
        <v>41803</v>
      </c>
      <c r="P707" s="11">
        <v>41803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9</v>
      </c>
      <c r="M708" s="6">
        <v>2023</v>
      </c>
      <c r="N708" s="7">
        <v>0</v>
      </c>
      <c r="O708" s="11">
        <v>41803</v>
      </c>
      <c r="P708" s="11">
        <v>41803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2</v>
      </c>
      <c r="M709" s="6">
        <v>2016</v>
      </c>
      <c r="N709" s="7">
        <v>0</v>
      </c>
      <c r="O709" s="11">
        <v>41803</v>
      </c>
      <c r="P709" s="11">
        <v>41803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3</v>
      </c>
      <c r="M710" s="6">
        <v>2017</v>
      </c>
      <c r="N710" s="7">
        <v>0</v>
      </c>
      <c r="O710" s="11">
        <v>41803</v>
      </c>
      <c r="P710" s="11">
        <v>41803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1</v>
      </c>
      <c r="M711" s="6">
        <v>2015</v>
      </c>
      <c r="N711" s="7">
        <v>0</v>
      </c>
      <c r="O711" s="11">
        <v>41803</v>
      </c>
      <c r="P711" s="11">
        <v>41803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5</v>
      </c>
      <c r="M712" s="6">
        <v>2019</v>
      </c>
      <c r="N712" s="7">
        <v>0</v>
      </c>
      <c r="O712" s="11">
        <v>41803</v>
      </c>
      <c r="P712" s="11">
        <v>41803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12</v>
      </c>
      <c r="M713" s="6">
        <v>2026</v>
      </c>
      <c r="N713" s="7">
        <v>0</v>
      </c>
      <c r="O713" s="11">
        <v>41803</v>
      </c>
      <c r="P713" s="11">
        <v>41803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7</v>
      </c>
      <c r="M714" s="6">
        <v>2021</v>
      </c>
      <c r="N714" s="7">
        <v>0</v>
      </c>
      <c r="O714" s="11">
        <v>41803</v>
      </c>
      <c r="P714" s="11">
        <v>41803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8</v>
      </c>
      <c r="M715" s="6">
        <v>2022</v>
      </c>
      <c r="N715" s="7">
        <v>0</v>
      </c>
      <c r="O715" s="11">
        <v>41803</v>
      </c>
      <c r="P715" s="11">
        <v>41803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11</v>
      </c>
      <c r="M716" s="6">
        <v>2025</v>
      </c>
      <c r="N716" s="7">
        <v>0</v>
      </c>
      <c r="O716" s="11">
        <v>41803</v>
      </c>
      <c r="P716" s="11">
        <v>41803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6</v>
      </c>
      <c r="M717" s="6">
        <v>2020</v>
      </c>
      <c r="N717" s="7">
        <v>0</v>
      </c>
      <c r="O717" s="11">
        <v>41803</v>
      </c>
      <c r="P717" s="11">
        <v>41803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4</v>
      </c>
      <c r="M718" s="6">
        <v>2018</v>
      </c>
      <c r="N718" s="7">
        <v>0</v>
      </c>
      <c r="O718" s="11">
        <v>41803</v>
      </c>
      <c r="P718" s="11">
        <v>41803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6</v>
      </c>
      <c r="M719" s="6">
        <v>2020</v>
      </c>
      <c r="N719" s="7">
        <v>369785114</v>
      </c>
      <c r="O719" s="11">
        <v>41803</v>
      </c>
      <c r="P719" s="11">
        <v>41803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0</v>
      </c>
      <c r="M720" s="6">
        <v>2014</v>
      </c>
      <c r="N720" s="7">
        <v>362926355.2</v>
      </c>
      <c r="O720" s="11">
        <v>41803</v>
      </c>
      <c r="P720" s="11">
        <v>41803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11</v>
      </c>
      <c r="M721" s="6">
        <v>2025</v>
      </c>
      <c r="N721" s="7">
        <v>369785114</v>
      </c>
      <c r="O721" s="11">
        <v>41803</v>
      </c>
      <c r="P721" s="11">
        <v>41803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4</v>
      </c>
      <c r="M722" s="6">
        <v>2018</v>
      </c>
      <c r="N722" s="7">
        <v>369785114</v>
      </c>
      <c r="O722" s="11">
        <v>41803</v>
      </c>
      <c r="P722" s="11">
        <v>41803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9</v>
      </c>
      <c r="M723" s="6">
        <v>2023</v>
      </c>
      <c r="N723" s="7">
        <v>369785114</v>
      </c>
      <c r="O723" s="11">
        <v>41803</v>
      </c>
      <c r="P723" s="11">
        <v>41803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3</v>
      </c>
      <c r="M724" s="6">
        <v>2017</v>
      </c>
      <c r="N724" s="7">
        <v>368915699</v>
      </c>
      <c r="O724" s="11">
        <v>41803</v>
      </c>
      <c r="P724" s="11">
        <v>41803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2</v>
      </c>
      <c r="M725" s="6">
        <v>2016</v>
      </c>
      <c r="N725" s="7">
        <v>366083828</v>
      </c>
      <c r="O725" s="11">
        <v>41803</v>
      </c>
      <c r="P725" s="11">
        <v>41803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5</v>
      </c>
      <c r="M726" s="6">
        <v>2019</v>
      </c>
      <c r="N726" s="7">
        <v>369785114</v>
      </c>
      <c r="O726" s="11">
        <v>41803</v>
      </c>
      <c r="P726" s="11">
        <v>41803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8</v>
      </c>
      <c r="M727" s="6">
        <v>2022</v>
      </c>
      <c r="N727" s="7">
        <v>369785114</v>
      </c>
      <c r="O727" s="11">
        <v>41803</v>
      </c>
      <c r="P727" s="11">
        <v>41803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1</v>
      </c>
      <c r="M728" s="6">
        <v>2015</v>
      </c>
      <c r="N728" s="7">
        <v>363575226.83</v>
      </c>
      <c r="O728" s="11">
        <v>41803</v>
      </c>
      <c r="P728" s="11">
        <v>41803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7</v>
      </c>
      <c r="M729" s="6">
        <v>2021</v>
      </c>
      <c r="N729" s="7">
        <v>369785114</v>
      </c>
      <c r="O729" s="11">
        <v>41803</v>
      </c>
      <c r="P729" s="11">
        <v>41803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10</v>
      </c>
      <c r="M730" s="6">
        <v>2024</v>
      </c>
      <c r="N730" s="7">
        <v>369785114</v>
      </c>
      <c r="O730" s="11">
        <v>41803</v>
      </c>
      <c r="P730" s="11">
        <v>41803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12</v>
      </c>
      <c r="M731" s="6">
        <v>2026</v>
      </c>
      <c r="N731" s="7">
        <v>369785114</v>
      </c>
      <c r="O731" s="11">
        <v>41803</v>
      </c>
      <c r="P731" s="11">
        <v>41803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590</v>
      </c>
      <c r="H732" s="10">
        <v>11.2</v>
      </c>
      <c r="I732" s="10"/>
      <c r="J732" s="10" t="s">
        <v>76</v>
      </c>
      <c r="K732" s="10" t="b">
        <v>1</v>
      </c>
      <c r="L732" s="10">
        <v>12</v>
      </c>
      <c r="M732" s="6">
        <v>2026</v>
      </c>
      <c r="N732" s="7">
        <v>0</v>
      </c>
      <c r="O732" s="11">
        <v>41803</v>
      </c>
      <c r="P732" s="11">
        <v>41803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8</v>
      </c>
      <c r="M733" s="6">
        <v>2022</v>
      </c>
      <c r="N733" s="7">
        <v>0</v>
      </c>
      <c r="O733" s="11">
        <v>41803</v>
      </c>
      <c r="P733" s="11">
        <v>41803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2</v>
      </c>
      <c r="M734" s="6">
        <v>2016</v>
      </c>
      <c r="N734" s="7">
        <v>0</v>
      </c>
      <c r="O734" s="11">
        <v>41803</v>
      </c>
      <c r="P734" s="11">
        <v>41803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12</v>
      </c>
      <c r="M735" s="6">
        <v>2026</v>
      </c>
      <c r="N735" s="7">
        <v>0</v>
      </c>
      <c r="O735" s="11">
        <v>41803</v>
      </c>
      <c r="P735" s="11">
        <v>41803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10</v>
      </c>
      <c r="M736" s="6">
        <v>2024</v>
      </c>
      <c r="N736" s="7">
        <v>0</v>
      </c>
      <c r="O736" s="11">
        <v>41803</v>
      </c>
      <c r="P736" s="11">
        <v>41803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3</v>
      </c>
      <c r="M737" s="6">
        <v>2017</v>
      </c>
      <c r="N737" s="7">
        <v>0</v>
      </c>
      <c r="O737" s="11">
        <v>41803</v>
      </c>
      <c r="P737" s="11">
        <v>41803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11</v>
      </c>
      <c r="M738" s="6">
        <v>2025</v>
      </c>
      <c r="N738" s="7">
        <v>0</v>
      </c>
      <c r="O738" s="11">
        <v>41803</v>
      </c>
      <c r="P738" s="11">
        <v>41803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4</v>
      </c>
      <c r="M739" s="6">
        <v>2018</v>
      </c>
      <c r="N739" s="7">
        <v>0</v>
      </c>
      <c r="O739" s="11">
        <v>41803</v>
      </c>
      <c r="P739" s="11">
        <v>41803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7</v>
      </c>
      <c r="M740" s="6">
        <v>2021</v>
      </c>
      <c r="N740" s="7">
        <v>0</v>
      </c>
      <c r="O740" s="11">
        <v>41803</v>
      </c>
      <c r="P740" s="11">
        <v>41803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5</v>
      </c>
      <c r="M741" s="6">
        <v>2019</v>
      </c>
      <c r="N741" s="7">
        <v>0</v>
      </c>
      <c r="O741" s="11">
        <v>41803</v>
      </c>
      <c r="P741" s="11">
        <v>41803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0</v>
      </c>
      <c r="M742" s="6">
        <v>2014</v>
      </c>
      <c r="N742" s="7">
        <v>0</v>
      </c>
      <c r="O742" s="11">
        <v>41803</v>
      </c>
      <c r="P742" s="11">
        <v>41803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6</v>
      </c>
      <c r="M743" s="6">
        <v>2020</v>
      </c>
      <c r="N743" s="7">
        <v>0</v>
      </c>
      <c r="O743" s="11">
        <v>41803</v>
      </c>
      <c r="P743" s="11">
        <v>41803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590</v>
      </c>
      <c r="H744" s="10">
        <v>11.2</v>
      </c>
      <c r="I744" s="10"/>
      <c r="J744" s="10" t="s">
        <v>76</v>
      </c>
      <c r="K744" s="10" t="b">
        <v>1</v>
      </c>
      <c r="L744" s="10">
        <v>7</v>
      </c>
      <c r="M744" s="6">
        <v>2021</v>
      </c>
      <c r="N744" s="7">
        <v>0</v>
      </c>
      <c r="O744" s="11">
        <v>41803</v>
      </c>
      <c r="P744" s="11">
        <v>41803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580</v>
      </c>
      <c r="H745" s="10">
        <v>11.1</v>
      </c>
      <c r="I745" s="10"/>
      <c r="J745" s="10" t="s">
        <v>75</v>
      </c>
      <c r="K745" s="10" t="b">
        <v>0</v>
      </c>
      <c r="L745" s="10">
        <v>0</v>
      </c>
      <c r="M745" s="6">
        <v>2014</v>
      </c>
      <c r="N745" s="7">
        <v>183725683.76</v>
      </c>
      <c r="O745" s="11">
        <v>41803</v>
      </c>
      <c r="P745" s="11">
        <v>41803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769</v>
      </c>
      <c r="H746" s="10">
        <v>12.8</v>
      </c>
      <c r="I746" s="10"/>
      <c r="J746" s="10" t="s">
        <v>255</v>
      </c>
      <c r="K746" s="10" t="b">
        <v>1</v>
      </c>
      <c r="L746" s="10">
        <v>1</v>
      </c>
      <c r="M746" s="6">
        <v>2015</v>
      </c>
      <c r="N746" s="7">
        <v>0</v>
      </c>
      <c r="O746" s="11">
        <v>41803</v>
      </c>
      <c r="P746" s="11">
        <v>41803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769</v>
      </c>
      <c r="H747" s="10">
        <v>12.8</v>
      </c>
      <c r="I747" s="10"/>
      <c r="J747" s="10" t="s">
        <v>255</v>
      </c>
      <c r="K747" s="10" t="b">
        <v>1</v>
      </c>
      <c r="L747" s="10">
        <v>9</v>
      </c>
      <c r="M747" s="6">
        <v>2023</v>
      </c>
      <c r="N747" s="7">
        <v>0</v>
      </c>
      <c r="O747" s="11">
        <v>41803</v>
      </c>
      <c r="P747" s="11">
        <v>41803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10</v>
      </c>
      <c r="M748" s="6">
        <v>2024</v>
      </c>
      <c r="N748" s="7">
        <v>0</v>
      </c>
      <c r="O748" s="11">
        <v>41803</v>
      </c>
      <c r="P748" s="11">
        <v>41803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8</v>
      </c>
      <c r="M749" s="6">
        <v>2022</v>
      </c>
      <c r="N749" s="7">
        <v>0</v>
      </c>
      <c r="O749" s="11">
        <v>41803</v>
      </c>
      <c r="P749" s="11">
        <v>41803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6</v>
      </c>
      <c r="M750" s="6">
        <v>2020</v>
      </c>
      <c r="N750" s="7">
        <v>0</v>
      </c>
      <c r="O750" s="11">
        <v>41803</v>
      </c>
      <c r="P750" s="11">
        <v>41803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11</v>
      </c>
      <c r="M751" s="6">
        <v>2025</v>
      </c>
      <c r="N751" s="7">
        <v>0</v>
      </c>
      <c r="O751" s="11">
        <v>41803</v>
      </c>
      <c r="P751" s="11">
        <v>41803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2</v>
      </c>
      <c r="M752" s="6">
        <v>2016</v>
      </c>
      <c r="N752" s="7">
        <v>0</v>
      </c>
      <c r="O752" s="11">
        <v>41803</v>
      </c>
      <c r="P752" s="11">
        <v>41803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9</v>
      </c>
      <c r="M753" s="6">
        <v>2023</v>
      </c>
      <c r="N753" s="7">
        <v>0</v>
      </c>
      <c r="O753" s="11">
        <v>41803</v>
      </c>
      <c r="P753" s="11">
        <v>41803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4</v>
      </c>
      <c r="M754" s="6">
        <v>2018</v>
      </c>
      <c r="N754" s="7">
        <v>0</v>
      </c>
      <c r="O754" s="11">
        <v>41803</v>
      </c>
      <c r="P754" s="11">
        <v>41803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12</v>
      </c>
      <c r="M755" s="6">
        <v>2026</v>
      </c>
      <c r="N755" s="7">
        <v>0</v>
      </c>
      <c r="O755" s="11">
        <v>41803</v>
      </c>
      <c r="P755" s="11">
        <v>41803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0</v>
      </c>
      <c r="M756" s="6">
        <v>2014</v>
      </c>
      <c r="N756" s="7">
        <v>0</v>
      </c>
      <c r="O756" s="11">
        <v>41803</v>
      </c>
      <c r="P756" s="11">
        <v>41803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3</v>
      </c>
      <c r="M757" s="6">
        <v>2017</v>
      </c>
      <c r="N757" s="7">
        <v>0</v>
      </c>
      <c r="O757" s="11">
        <v>41803</v>
      </c>
      <c r="P757" s="11">
        <v>41803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332</v>
      </c>
      <c r="H758" s="10" t="s">
        <v>66</v>
      </c>
      <c r="I758" s="10"/>
      <c r="J758" s="10" t="s">
        <v>219</v>
      </c>
      <c r="K758" s="10" t="b">
        <v>1</v>
      </c>
      <c r="L758" s="10">
        <v>5</v>
      </c>
      <c r="M758" s="6">
        <v>2019</v>
      </c>
      <c r="N758" s="7">
        <v>0</v>
      </c>
      <c r="O758" s="11">
        <v>41803</v>
      </c>
      <c r="P758" s="11">
        <v>41803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332</v>
      </c>
      <c r="H759" s="10" t="s">
        <v>66</v>
      </c>
      <c r="I759" s="10"/>
      <c r="J759" s="10" t="s">
        <v>219</v>
      </c>
      <c r="K759" s="10" t="b">
        <v>1</v>
      </c>
      <c r="L759" s="10">
        <v>7</v>
      </c>
      <c r="M759" s="6">
        <v>2021</v>
      </c>
      <c r="N759" s="7">
        <v>0</v>
      </c>
      <c r="O759" s="11">
        <v>41803</v>
      </c>
      <c r="P759" s="11">
        <v>41803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332</v>
      </c>
      <c r="H760" s="10" t="s">
        <v>66</v>
      </c>
      <c r="I760" s="10"/>
      <c r="J760" s="10" t="s">
        <v>219</v>
      </c>
      <c r="K760" s="10" t="b">
        <v>1</v>
      </c>
      <c r="L760" s="10">
        <v>1</v>
      </c>
      <c r="M760" s="6">
        <v>2015</v>
      </c>
      <c r="N760" s="7">
        <v>0</v>
      </c>
      <c r="O760" s="11">
        <v>41803</v>
      </c>
      <c r="P760" s="11">
        <v>41803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11</v>
      </c>
      <c r="M761" s="6">
        <v>2025</v>
      </c>
      <c r="N761" s="7">
        <v>0</v>
      </c>
      <c r="O761" s="11">
        <v>41803</v>
      </c>
      <c r="P761" s="11">
        <v>41803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10</v>
      </c>
      <c r="M762" s="6">
        <v>2024</v>
      </c>
      <c r="N762" s="7">
        <v>0</v>
      </c>
      <c r="O762" s="11">
        <v>41803</v>
      </c>
      <c r="P762" s="11">
        <v>41803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6</v>
      </c>
      <c r="M763" s="6">
        <v>2020</v>
      </c>
      <c r="N763" s="7">
        <v>0</v>
      </c>
      <c r="O763" s="11">
        <v>41803</v>
      </c>
      <c r="P763" s="11">
        <v>41803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7</v>
      </c>
      <c r="M764" s="6">
        <v>2021</v>
      </c>
      <c r="N764" s="7">
        <v>0</v>
      </c>
      <c r="O764" s="11">
        <v>41803</v>
      </c>
      <c r="P764" s="11">
        <v>41803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12</v>
      </c>
      <c r="M765" s="6">
        <v>2026</v>
      </c>
      <c r="N765" s="7">
        <v>0</v>
      </c>
      <c r="O765" s="11">
        <v>41803</v>
      </c>
      <c r="P765" s="11">
        <v>41803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0</v>
      </c>
      <c r="M766" s="6">
        <v>2014</v>
      </c>
      <c r="N766" s="7">
        <v>13189774.05</v>
      </c>
      <c r="O766" s="11">
        <v>41803</v>
      </c>
      <c r="P766" s="11">
        <v>41803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4</v>
      </c>
      <c r="M767" s="6">
        <v>2018</v>
      </c>
      <c r="N767" s="7">
        <v>0</v>
      </c>
      <c r="O767" s="11">
        <v>41803</v>
      </c>
      <c r="P767" s="11">
        <v>41803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8</v>
      </c>
      <c r="M768" s="6">
        <v>2022</v>
      </c>
      <c r="N768" s="7">
        <v>0</v>
      </c>
      <c r="O768" s="11">
        <v>41803</v>
      </c>
      <c r="P768" s="11">
        <v>41803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3</v>
      </c>
      <c r="M769" s="6">
        <v>2017</v>
      </c>
      <c r="N769" s="7">
        <v>0</v>
      </c>
      <c r="O769" s="11">
        <v>41803</v>
      </c>
      <c r="P769" s="11">
        <v>41803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2</v>
      </c>
      <c r="M770" s="6">
        <v>2016</v>
      </c>
      <c r="N770" s="7">
        <v>0</v>
      </c>
      <c r="O770" s="11">
        <v>41803</v>
      </c>
      <c r="P770" s="11">
        <v>41803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762</v>
      </c>
      <c r="H771" s="10" t="s">
        <v>103</v>
      </c>
      <c r="I771" s="10"/>
      <c r="J771" s="10" t="s">
        <v>104</v>
      </c>
      <c r="K771" s="10" t="b">
        <v>1</v>
      </c>
      <c r="L771" s="10">
        <v>9</v>
      </c>
      <c r="M771" s="6">
        <v>2023</v>
      </c>
      <c r="N771" s="7">
        <v>0</v>
      </c>
      <c r="O771" s="11">
        <v>41803</v>
      </c>
      <c r="P771" s="11">
        <v>41803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762</v>
      </c>
      <c r="H772" s="10" t="s">
        <v>103</v>
      </c>
      <c r="I772" s="10"/>
      <c r="J772" s="10" t="s">
        <v>104</v>
      </c>
      <c r="K772" s="10" t="b">
        <v>1</v>
      </c>
      <c r="L772" s="10">
        <v>1</v>
      </c>
      <c r="M772" s="6">
        <v>2015</v>
      </c>
      <c r="N772" s="7">
        <v>5881247.44</v>
      </c>
      <c r="O772" s="11">
        <v>41803</v>
      </c>
      <c r="P772" s="11">
        <v>41803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762</v>
      </c>
      <c r="H773" s="10" t="s">
        <v>103</v>
      </c>
      <c r="I773" s="10"/>
      <c r="J773" s="10" t="s">
        <v>104</v>
      </c>
      <c r="K773" s="10" t="b">
        <v>1</v>
      </c>
      <c r="L773" s="10">
        <v>5</v>
      </c>
      <c r="M773" s="6">
        <v>2019</v>
      </c>
      <c r="N773" s="7">
        <v>0</v>
      </c>
      <c r="O773" s="11">
        <v>41803</v>
      </c>
      <c r="P773" s="11">
        <v>41803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5</v>
      </c>
      <c r="M774" s="6">
        <v>2019</v>
      </c>
      <c r="N774" s="7">
        <v>0</v>
      </c>
      <c r="O774" s="11">
        <v>41803</v>
      </c>
      <c r="P774" s="11">
        <v>41803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8</v>
      </c>
      <c r="M775" s="6">
        <v>2022</v>
      </c>
      <c r="N775" s="7">
        <v>0</v>
      </c>
      <c r="O775" s="11">
        <v>41803</v>
      </c>
      <c r="P775" s="11">
        <v>41803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1</v>
      </c>
      <c r="M776" s="6">
        <v>2015</v>
      </c>
      <c r="N776" s="7">
        <v>32272300</v>
      </c>
      <c r="O776" s="11">
        <v>41803</v>
      </c>
      <c r="P776" s="11">
        <v>41803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11</v>
      </c>
      <c r="M777" s="6">
        <v>2025</v>
      </c>
      <c r="N777" s="7">
        <v>0</v>
      </c>
      <c r="O777" s="11">
        <v>41803</v>
      </c>
      <c r="P777" s="11">
        <v>41803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10</v>
      </c>
      <c r="M778" s="6">
        <v>2024</v>
      </c>
      <c r="N778" s="7">
        <v>0</v>
      </c>
      <c r="O778" s="11">
        <v>41803</v>
      </c>
      <c r="P778" s="11">
        <v>41803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4</v>
      </c>
      <c r="M779" s="6">
        <v>2018</v>
      </c>
      <c r="N779" s="7">
        <v>0</v>
      </c>
      <c r="O779" s="11">
        <v>41803</v>
      </c>
      <c r="P779" s="11">
        <v>41803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3</v>
      </c>
      <c r="M780" s="6">
        <v>2017</v>
      </c>
      <c r="N780" s="7">
        <v>32583000</v>
      </c>
      <c r="O780" s="11">
        <v>41803</v>
      </c>
      <c r="P780" s="11">
        <v>41803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2</v>
      </c>
      <c r="M781" s="6">
        <v>2016</v>
      </c>
      <c r="N781" s="7">
        <v>32430000</v>
      </c>
      <c r="O781" s="11">
        <v>41803</v>
      </c>
      <c r="P781" s="11">
        <v>41803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6</v>
      </c>
      <c r="M782" s="6">
        <v>2020</v>
      </c>
      <c r="N782" s="7">
        <v>0</v>
      </c>
      <c r="O782" s="11">
        <v>41803</v>
      </c>
      <c r="P782" s="11">
        <v>41803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0</v>
      </c>
      <c r="M783" s="6">
        <v>2014</v>
      </c>
      <c r="N783" s="7">
        <v>32119116.26</v>
      </c>
      <c r="O783" s="11">
        <v>41803</v>
      </c>
      <c r="P783" s="11">
        <v>41803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590</v>
      </c>
      <c r="H784" s="10">
        <v>11.2</v>
      </c>
      <c r="I784" s="10"/>
      <c r="J784" s="10" t="s">
        <v>76</v>
      </c>
      <c r="K784" s="10" t="b">
        <v>1</v>
      </c>
      <c r="L784" s="10">
        <v>9</v>
      </c>
      <c r="M784" s="6">
        <v>2023</v>
      </c>
      <c r="N784" s="7">
        <v>0</v>
      </c>
      <c r="O784" s="11">
        <v>41803</v>
      </c>
      <c r="P784" s="11">
        <v>41803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7</v>
      </c>
      <c r="M785" s="6">
        <v>2021</v>
      </c>
      <c r="N785" s="7">
        <v>0</v>
      </c>
      <c r="O785" s="11">
        <v>41803</v>
      </c>
      <c r="P785" s="11">
        <v>41803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</v>
      </c>
      <c r="M786" s="6">
        <v>2015</v>
      </c>
      <c r="N786" s="7">
        <v>185300000</v>
      </c>
      <c r="O786" s="11">
        <v>41803</v>
      </c>
      <c r="P786" s="11">
        <v>41803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11</v>
      </c>
      <c r="M787" s="6">
        <v>2025</v>
      </c>
      <c r="N787" s="7">
        <v>0</v>
      </c>
      <c r="O787" s="11">
        <v>41803</v>
      </c>
      <c r="P787" s="11">
        <v>41803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6</v>
      </c>
      <c r="M788" s="6">
        <v>2020</v>
      </c>
      <c r="N788" s="7">
        <v>0</v>
      </c>
      <c r="O788" s="11">
        <v>41803</v>
      </c>
      <c r="P788" s="11">
        <v>41803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5</v>
      </c>
      <c r="M789" s="6">
        <v>2019</v>
      </c>
      <c r="N789" s="7">
        <v>0</v>
      </c>
      <c r="O789" s="11">
        <v>41803</v>
      </c>
      <c r="P789" s="11">
        <v>41803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3</v>
      </c>
      <c r="M790" s="6">
        <v>2017</v>
      </c>
      <c r="N790" s="7">
        <v>189100000</v>
      </c>
      <c r="O790" s="11">
        <v>41803</v>
      </c>
      <c r="P790" s="11">
        <v>41803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2</v>
      </c>
      <c r="M791" s="6">
        <v>2016</v>
      </c>
      <c r="N791" s="7">
        <v>187220000</v>
      </c>
      <c r="O791" s="11">
        <v>41803</v>
      </c>
      <c r="P791" s="11">
        <v>41803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4</v>
      </c>
      <c r="M792" s="6">
        <v>2018</v>
      </c>
      <c r="N792" s="7">
        <v>0</v>
      </c>
      <c r="O792" s="11">
        <v>41803</v>
      </c>
      <c r="P792" s="11">
        <v>41803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10</v>
      </c>
      <c r="M793" s="6">
        <v>2024</v>
      </c>
      <c r="N793" s="7">
        <v>0</v>
      </c>
      <c r="O793" s="11">
        <v>41803</v>
      </c>
      <c r="P793" s="11">
        <v>41803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12</v>
      </c>
      <c r="M794" s="6">
        <v>2026</v>
      </c>
      <c r="N794" s="7">
        <v>0</v>
      </c>
      <c r="O794" s="11">
        <v>41803</v>
      </c>
      <c r="P794" s="11">
        <v>41803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9</v>
      </c>
      <c r="M795" s="6">
        <v>2023</v>
      </c>
      <c r="N795" s="7">
        <v>0</v>
      </c>
      <c r="O795" s="11">
        <v>41803</v>
      </c>
      <c r="P795" s="11">
        <v>41803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8</v>
      </c>
      <c r="M796" s="6">
        <v>2022</v>
      </c>
      <c r="N796" s="7">
        <v>0</v>
      </c>
      <c r="O796" s="11">
        <v>41803</v>
      </c>
      <c r="P796" s="11">
        <v>41803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8</v>
      </c>
      <c r="M797" s="6">
        <v>2022</v>
      </c>
      <c r="N797" s="7">
        <v>0</v>
      </c>
      <c r="O797" s="11">
        <v>41803</v>
      </c>
      <c r="P797" s="11">
        <v>41803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5</v>
      </c>
      <c r="M798" s="6">
        <v>2019</v>
      </c>
      <c r="N798" s="7">
        <v>9963</v>
      </c>
      <c r="O798" s="11">
        <v>41803</v>
      </c>
      <c r="P798" s="11">
        <v>41803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12</v>
      </c>
      <c r="M799" s="6">
        <v>2026</v>
      </c>
      <c r="N799" s="7">
        <v>0</v>
      </c>
      <c r="O799" s="11">
        <v>41803</v>
      </c>
      <c r="P799" s="11">
        <v>41803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9</v>
      </c>
      <c r="M800" s="6">
        <v>2023</v>
      </c>
      <c r="N800" s="7">
        <v>0</v>
      </c>
      <c r="O800" s="11">
        <v>41803</v>
      </c>
      <c r="P800" s="11">
        <v>41803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0</v>
      </c>
      <c r="M801" s="6">
        <v>2014</v>
      </c>
      <c r="N801" s="7">
        <v>42163157.73</v>
      </c>
      <c r="O801" s="11">
        <v>41803</v>
      </c>
      <c r="P801" s="11">
        <v>41803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6</v>
      </c>
      <c r="M802" s="6">
        <v>2020</v>
      </c>
      <c r="N802" s="7">
        <v>0</v>
      </c>
      <c r="O802" s="11">
        <v>41803</v>
      </c>
      <c r="P802" s="11">
        <v>41803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3</v>
      </c>
      <c r="M803" s="6">
        <v>2017</v>
      </c>
      <c r="N803" s="7">
        <v>1509024</v>
      </c>
      <c r="O803" s="11">
        <v>41803</v>
      </c>
      <c r="P803" s="11">
        <v>41803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10</v>
      </c>
      <c r="M804" s="6">
        <v>2024</v>
      </c>
      <c r="N804" s="7">
        <v>0</v>
      </c>
      <c r="O804" s="11">
        <v>41803</v>
      </c>
      <c r="P804" s="11">
        <v>41803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4</v>
      </c>
      <c r="M805" s="6">
        <v>2018</v>
      </c>
      <c r="N805" s="7">
        <v>9963</v>
      </c>
      <c r="O805" s="11">
        <v>41803</v>
      </c>
      <c r="P805" s="11">
        <v>41803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</v>
      </c>
      <c r="M806" s="6">
        <v>2015</v>
      </c>
      <c r="N806" s="7">
        <v>41787363.43</v>
      </c>
      <c r="O806" s="11">
        <v>41803</v>
      </c>
      <c r="P806" s="11">
        <v>41803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11</v>
      </c>
      <c r="M807" s="6">
        <v>2025</v>
      </c>
      <c r="N807" s="7">
        <v>0</v>
      </c>
      <c r="O807" s="11">
        <v>41803</v>
      </c>
      <c r="P807" s="11">
        <v>41803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7</v>
      </c>
      <c r="M808" s="6">
        <v>2021</v>
      </c>
      <c r="N808" s="7">
        <v>0</v>
      </c>
      <c r="O808" s="11">
        <v>41803</v>
      </c>
      <c r="P808" s="11">
        <v>41803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2</v>
      </c>
      <c r="M809" s="6">
        <v>2016</v>
      </c>
      <c r="N809" s="7">
        <v>10290826</v>
      </c>
      <c r="O809" s="11">
        <v>41803</v>
      </c>
      <c r="P809" s="11">
        <v>41803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334</v>
      </c>
      <c r="H810" s="10" t="s">
        <v>220</v>
      </c>
      <c r="I810" s="10"/>
      <c r="J810" s="10" t="s">
        <v>221</v>
      </c>
      <c r="K810" s="10" t="b">
        <v>1</v>
      </c>
      <c r="L810" s="10">
        <v>9</v>
      </c>
      <c r="M810" s="6">
        <v>2023</v>
      </c>
      <c r="N810" s="7">
        <v>0</v>
      </c>
      <c r="O810" s="11">
        <v>41803</v>
      </c>
      <c r="P810" s="11">
        <v>41803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3</v>
      </c>
      <c r="M811" s="6">
        <v>2017</v>
      </c>
      <c r="N811" s="7">
        <v>0.0816</v>
      </c>
      <c r="O811" s="11">
        <v>41803</v>
      </c>
      <c r="P811" s="11">
        <v>41803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0</v>
      </c>
      <c r="M812" s="6">
        <v>2014</v>
      </c>
      <c r="N812" s="7">
        <v>0.0529</v>
      </c>
      <c r="O812" s="11">
        <v>41803</v>
      </c>
      <c r="P812" s="11">
        <v>41803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6</v>
      </c>
      <c r="M813" s="6">
        <v>2020</v>
      </c>
      <c r="N813" s="7">
        <v>0.0963</v>
      </c>
      <c r="O813" s="11">
        <v>41803</v>
      </c>
      <c r="P813" s="11">
        <v>41803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10</v>
      </c>
      <c r="M814" s="6">
        <v>2024</v>
      </c>
      <c r="N814" s="7">
        <v>0.0954</v>
      </c>
      <c r="O814" s="11">
        <v>41803</v>
      </c>
      <c r="P814" s="11">
        <v>41803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8</v>
      </c>
      <c r="M815" s="6">
        <v>2022</v>
      </c>
      <c r="N815" s="7">
        <v>0.0954</v>
      </c>
      <c r="O815" s="11">
        <v>41803</v>
      </c>
      <c r="P815" s="11">
        <v>41803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12</v>
      </c>
      <c r="M816" s="6">
        <v>2026</v>
      </c>
      <c r="N816" s="7">
        <v>0.0954</v>
      </c>
      <c r="O816" s="11">
        <v>41803</v>
      </c>
      <c r="P816" s="11">
        <v>41803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7</v>
      </c>
      <c r="M817" s="6">
        <v>2021</v>
      </c>
      <c r="N817" s="7">
        <v>0.0954</v>
      </c>
      <c r="O817" s="11">
        <v>41803</v>
      </c>
      <c r="P817" s="11">
        <v>41803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5</v>
      </c>
      <c r="M818" s="6">
        <v>2019</v>
      </c>
      <c r="N818" s="7">
        <v>0.0944</v>
      </c>
      <c r="O818" s="11">
        <v>41803</v>
      </c>
      <c r="P818" s="11">
        <v>41803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4</v>
      </c>
      <c r="M819" s="6">
        <v>2018</v>
      </c>
      <c r="N819" s="7">
        <v>0.0899</v>
      </c>
      <c r="O819" s="11">
        <v>41803</v>
      </c>
      <c r="P819" s="11">
        <v>41803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9</v>
      </c>
      <c r="M820" s="6">
        <v>2023</v>
      </c>
      <c r="N820" s="7">
        <v>0.0954</v>
      </c>
      <c r="O820" s="11">
        <v>41803</v>
      </c>
      <c r="P820" s="11">
        <v>41803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11</v>
      </c>
      <c r="M821" s="6">
        <v>2025</v>
      </c>
      <c r="N821" s="7">
        <v>0.0954</v>
      </c>
      <c r="O821" s="11">
        <v>41803</v>
      </c>
      <c r="P821" s="11">
        <v>41803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2</v>
      </c>
      <c r="M822" s="6">
        <v>2016</v>
      </c>
      <c r="N822" s="7">
        <v>0.0661</v>
      </c>
      <c r="O822" s="11">
        <v>41803</v>
      </c>
      <c r="P822" s="11">
        <v>41803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520</v>
      </c>
      <c r="H823" s="10" t="s">
        <v>70</v>
      </c>
      <c r="I823" s="10"/>
      <c r="J823" s="10" t="s">
        <v>237</v>
      </c>
      <c r="K823" s="10" t="b">
        <v>1</v>
      </c>
      <c r="L823" s="10">
        <v>1</v>
      </c>
      <c r="M823" s="6">
        <v>2015</v>
      </c>
      <c r="N823" s="7">
        <v>0.0596</v>
      </c>
      <c r="O823" s="11">
        <v>41803</v>
      </c>
      <c r="P823" s="11">
        <v>41803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9</v>
      </c>
      <c r="M824" s="6">
        <v>2023</v>
      </c>
      <c r="N824" s="7">
        <v>0</v>
      </c>
      <c r="O824" s="11">
        <v>41803</v>
      </c>
      <c r="P824" s="11">
        <v>41803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8</v>
      </c>
      <c r="M825" s="6">
        <v>2022</v>
      </c>
      <c r="N825" s="7">
        <v>0</v>
      </c>
      <c r="O825" s="11">
        <v>41803</v>
      </c>
      <c r="P825" s="11">
        <v>41803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0</v>
      </c>
      <c r="M826" s="6">
        <v>2014</v>
      </c>
      <c r="N826" s="7">
        <v>0</v>
      </c>
      <c r="O826" s="11">
        <v>41803</v>
      </c>
      <c r="P826" s="11">
        <v>41803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7</v>
      </c>
      <c r="M827" s="6">
        <v>2021</v>
      </c>
      <c r="N827" s="7">
        <v>0</v>
      </c>
      <c r="O827" s="11">
        <v>41803</v>
      </c>
      <c r="P827" s="11">
        <v>41803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5</v>
      </c>
      <c r="M828" s="6">
        <v>2019</v>
      </c>
      <c r="N828" s="7">
        <v>0</v>
      </c>
      <c r="O828" s="11">
        <v>41803</v>
      </c>
      <c r="P828" s="11">
        <v>41803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4</v>
      </c>
      <c r="M829" s="6">
        <v>2018</v>
      </c>
      <c r="N829" s="7">
        <v>0</v>
      </c>
      <c r="O829" s="11">
        <v>41803</v>
      </c>
      <c r="P829" s="11">
        <v>41803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11</v>
      </c>
      <c r="M830" s="6">
        <v>2025</v>
      </c>
      <c r="N830" s="7">
        <v>0</v>
      </c>
      <c r="O830" s="11">
        <v>41803</v>
      </c>
      <c r="P830" s="11">
        <v>41803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3</v>
      </c>
      <c r="M831" s="6">
        <v>2017</v>
      </c>
      <c r="N831" s="7">
        <v>0</v>
      </c>
      <c r="O831" s="11">
        <v>41803</v>
      </c>
      <c r="P831" s="11">
        <v>41803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1</v>
      </c>
      <c r="M832" s="6">
        <v>2015</v>
      </c>
      <c r="N832" s="7">
        <v>0</v>
      </c>
      <c r="O832" s="11">
        <v>41803</v>
      </c>
      <c r="P832" s="11">
        <v>41803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2</v>
      </c>
      <c r="M833" s="6">
        <v>2016</v>
      </c>
      <c r="N833" s="7">
        <v>0</v>
      </c>
      <c r="O833" s="11">
        <v>41803</v>
      </c>
      <c r="P833" s="11">
        <v>41803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10</v>
      </c>
      <c r="M834" s="6">
        <v>2024</v>
      </c>
      <c r="N834" s="7">
        <v>0</v>
      </c>
      <c r="O834" s="11">
        <v>41803</v>
      </c>
      <c r="P834" s="11">
        <v>41803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6</v>
      </c>
      <c r="M835" s="6">
        <v>2020</v>
      </c>
      <c r="N835" s="7">
        <v>0</v>
      </c>
      <c r="O835" s="11">
        <v>41803</v>
      </c>
      <c r="P835" s="11">
        <v>41803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490</v>
      </c>
      <c r="H836" s="10">
        <v>9.3</v>
      </c>
      <c r="I836" s="10"/>
      <c r="J836" s="10" t="s">
        <v>231</v>
      </c>
      <c r="K836" s="10" t="b">
        <v>1</v>
      </c>
      <c r="L836" s="10">
        <v>12</v>
      </c>
      <c r="M836" s="6">
        <v>2026</v>
      </c>
      <c r="N836" s="7">
        <v>0</v>
      </c>
      <c r="O836" s="11">
        <v>41803</v>
      </c>
      <c r="P836" s="11">
        <v>41803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10</v>
      </c>
      <c r="M837" s="6">
        <v>2024</v>
      </c>
      <c r="N837" s="7">
        <v>0</v>
      </c>
      <c r="O837" s="11">
        <v>41803</v>
      </c>
      <c r="P837" s="11">
        <v>41803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8</v>
      </c>
      <c r="M838" s="6">
        <v>2022</v>
      </c>
      <c r="N838" s="7">
        <v>0</v>
      </c>
      <c r="O838" s="11">
        <v>41803</v>
      </c>
      <c r="P838" s="11">
        <v>41803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2</v>
      </c>
      <c r="M839" s="6">
        <v>2016</v>
      </c>
      <c r="N839" s="7">
        <v>0</v>
      </c>
      <c r="O839" s="11">
        <v>41803</v>
      </c>
      <c r="P839" s="11">
        <v>41803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0</v>
      </c>
      <c r="M840" s="6">
        <v>2014</v>
      </c>
      <c r="N840" s="7">
        <v>8726722.34</v>
      </c>
      <c r="O840" s="11">
        <v>41803</v>
      </c>
      <c r="P840" s="11">
        <v>41803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6</v>
      </c>
      <c r="M841" s="6">
        <v>2020</v>
      </c>
      <c r="N841" s="7">
        <v>0</v>
      </c>
      <c r="O841" s="11">
        <v>41803</v>
      </c>
      <c r="P841" s="11">
        <v>41803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12</v>
      </c>
      <c r="M842" s="6">
        <v>2026</v>
      </c>
      <c r="N842" s="7">
        <v>0</v>
      </c>
      <c r="O842" s="11">
        <v>41803</v>
      </c>
      <c r="P842" s="11">
        <v>41803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3</v>
      </c>
      <c r="M843" s="6">
        <v>2017</v>
      </c>
      <c r="N843" s="7">
        <v>0</v>
      </c>
      <c r="O843" s="11">
        <v>41803</v>
      </c>
      <c r="P843" s="11">
        <v>41803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11</v>
      </c>
      <c r="M844" s="6">
        <v>2025</v>
      </c>
      <c r="N844" s="7">
        <v>0</v>
      </c>
      <c r="O844" s="11">
        <v>41803</v>
      </c>
      <c r="P844" s="11">
        <v>41803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9</v>
      </c>
      <c r="M845" s="6">
        <v>2023</v>
      </c>
      <c r="N845" s="7">
        <v>0</v>
      </c>
      <c r="O845" s="11">
        <v>41803</v>
      </c>
      <c r="P845" s="11">
        <v>41803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5</v>
      </c>
      <c r="M846" s="6">
        <v>2019</v>
      </c>
      <c r="N846" s="7">
        <v>0</v>
      </c>
      <c r="O846" s="11">
        <v>41803</v>
      </c>
      <c r="P846" s="11">
        <v>41803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4</v>
      </c>
      <c r="M847" s="6">
        <v>2018</v>
      </c>
      <c r="N847" s="7">
        <v>0</v>
      </c>
      <c r="O847" s="11">
        <v>41803</v>
      </c>
      <c r="P847" s="11">
        <v>41803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1</v>
      </c>
      <c r="M848" s="6">
        <v>2015</v>
      </c>
      <c r="N848" s="7">
        <v>4999060.32</v>
      </c>
      <c r="O848" s="11">
        <v>41803</v>
      </c>
      <c r="P848" s="11">
        <v>41803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7</v>
      </c>
      <c r="M849" s="6">
        <v>2021</v>
      </c>
      <c r="N849" s="7">
        <v>0</v>
      </c>
      <c r="O849" s="11">
        <v>41803</v>
      </c>
      <c r="P849" s="11">
        <v>41803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11</v>
      </c>
      <c r="M850" s="6">
        <v>2025</v>
      </c>
      <c r="N850" s="7">
        <v>0</v>
      </c>
      <c r="O850" s="11">
        <v>41803</v>
      </c>
      <c r="P850" s="11">
        <v>41803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4</v>
      </c>
      <c r="M851" s="6">
        <v>2018</v>
      </c>
      <c r="N851" s="7">
        <v>0</v>
      </c>
      <c r="O851" s="11">
        <v>41803</v>
      </c>
      <c r="P851" s="11">
        <v>41803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10</v>
      </c>
      <c r="M852" s="6">
        <v>2024</v>
      </c>
      <c r="N852" s="7">
        <v>0</v>
      </c>
      <c r="O852" s="11">
        <v>41803</v>
      </c>
      <c r="P852" s="11">
        <v>41803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2</v>
      </c>
      <c r="M853" s="6">
        <v>2016</v>
      </c>
      <c r="N853" s="7">
        <v>0</v>
      </c>
      <c r="O853" s="11">
        <v>41803</v>
      </c>
      <c r="P853" s="11">
        <v>41803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3</v>
      </c>
      <c r="M854" s="6">
        <v>2017</v>
      </c>
      <c r="N854" s="7">
        <v>0</v>
      </c>
      <c r="O854" s="11">
        <v>41803</v>
      </c>
      <c r="P854" s="11">
        <v>41803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5</v>
      </c>
      <c r="M855" s="6">
        <v>2019</v>
      </c>
      <c r="N855" s="7">
        <v>0</v>
      </c>
      <c r="O855" s="11">
        <v>41803</v>
      </c>
      <c r="P855" s="11">
        <v>41803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7</v>
      </c>
      <c r="M856" s="6">
        <v>2021</v>
      </c>
      <c r="N856" s="7">
        <v>0</v>
      </c>
      <c r="O856" s="11">
        <v>41803</v>
      </c>
      <c r="P856" s="11">
        <v>41803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6</v>
      </c>
      <c r="M857" s="6">
        <v>2020</v>
      </c>
      <c r="N857" s="7">
        <v>0</v>
      </c>
      <c r="O857" s="11">
        <v>41803</v>
      </c>
      <c r="P857" s="11">
        <v>41803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0</v>
      </c>
      <c r="M858" s="6">
        <v>2014</v>
      </c>
      <c r="N858" s="7">
        <v>0</v>
      </c>
      <c r="O858" s="11">
        <v>41803</v>
      </c>
      <c r="P858" s="11">
        <v>41803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1</v>
      </c>
      <c r="M859" s="6">
        <v>2015</v>
      </c>
      <c r="N859" s="7">
        <v>0</v>
      </c>
      <c r="O859" s="11">
        <v>41803</v>
      </c>
      <c r="P859" s="11">
        <v>41803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8</v>
      </c>
      <c r="M860" s="6">
        <v>2022</v>
      </c>
      <c r="N860" s="7">
        <v>0</v>
      </c>
      <c r="O860" s="11">
        <v>41803</v>
      </c>
      <c r="P860" s="11">
        <v>41803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12</v>
      </c>
      <c r="M861" s="6">
        <v>2026</v>
      </c>
      <c r="N861" s="7">
        <v>0</v>
      </c>
      <c r="O861" s="11">
        <v>41803</v>
      </c>
      <c r="P861" s="11">
        <v>41803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1</v>
      </c>
      <c r="M862" s="6">
        <v>2015</v>
      </c>
      <c r="N862" s="7">
        <v>9376594.2</v>
      </c>
      <c r="O862" s="11">
        <v>41803</v>
      </c>
      <c r="P862" s="11">
        <v>41803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3</v>
      </c>
      <c r="M863" s="6">
        <v>2017</v>
      </c>
      <c r="N863" s="7">
        <v>22618323</v>
      </c>
      <c r="O863" s="11">
        <v>41803</v>
      </c>
      <c r="P863" s="11">
        <v>41803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6</v>
      </c>
      <c r="M864" s="6">
        <v>2020</v>
      </c>
      <c r="N864" s="7">
        <v>21309454</v>
      </c>
      <c r="O864" s="11">
        <v>41803</v>
      </c>
      <c r="P864" s="11">
        <v>41803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8</v>
      </c>
      <c r="M865" s="6">
        <v>2022</v>
      </c>
      <c r="N865" s="7">
        <v>27933454</v>
      </c>
      <c r="O865" s="11">
        <v>41803</v>
      </c>
      <c r="P865" s="11">
        <v>41803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9</v>
      </c>
      <c r="M866" s="6">
        <v>2023</v>
      </c>
      <c r="N866" s="7">
        <v>36109454</v>
      </c>
      <c r="O866" s="11">
        <v>41803</v>
      </c>
      <c r="P866" s="11">
        <v>41803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12</v>
      </c>
      <c r="M867" s="6">
        <v>2026</v>
      </c>
      <c r="N867" s="7">
        <v>38791070</v>
      </c>
      <c r="O867" s="11">
        <v>41803</v>
      </c>
      <c r="P867" s="11">
        <v>41803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7</v>
      </c>
      <c r="M868" s="6">
        <v>2021</v>
      </c>
      <c r="N868" s="7">
        <v>22749454</v>
      </c>
      <c r="O868" s="11">
        <v>41803</v>
      </c>
      <c r="P868" s="11">
        <v>41803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10</v>
      </c>
      <c r="M869" s="6">
        <v>2024</v>
      </c>
      <c r="N869" s="7">
        <v>37291948</v>
      </c>
      <c r="O869" s="11">
        <v>41803</v>
      </c>
      <c r="P869" s="11">
        <v>41803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5</v>
      </c>
      <c r="M870" s="6">
        <v>2019</v>
      </c>
      <c r="N870" s="7">
        <v>23787454</v>
      </c>
      <c r="O870" s="11">
        <v>41803</v>
      </c>
      <c r="P870" s="11">
        <v>41803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4</v>
      </c>
      <c r="M871" s="6">
        <v>2018</v>
      </c>
      <c r="N871" s="7">
        <v>23787454</v>
      </c>
      <c r="O871" s="11">
        <v>41803</v>
      </c>
      <c r="P871" s="11">
        <v>41803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2</v>
      </c>
      <c r="M872" s="6">
        <v>2016</v>
      </c>
      <c r="N872" s="7">
        <v>12995417</v>
      </c>
      <c r="O872" s="11">
        <v>41803</v>
      </c>
      <c r="P872" s="11">
        <v>41803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0</v>
      </c>
      <c r="M873" s="6">
        <v>2014</v>
      </c>
      <c r="N873" s="7">
        <v>1636500</v>
      </c>
      <c r="O873" s="11">
        <v>41803</v>
      </c>
      <c r="P873" s="11">
        <v>41803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11</v>
      </c>
      <c r="M874" s="6">
        <v>2025</v>
      </c>
      <c r="N874" s="7">
        <v>37352770</v>
      </c>
      <c r="O874" s="11">
        <v>41803</v>
      </c>
      <c r="P874" s="11">
        <v>41803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7</v>
      </c>
      <c r="M875" s="6">
        <v>2021</v>
      </c>
      <c r="N875" s="7">
        <v>0</v>
      </c>
      <c r="O875" s="11">
        <v>41803</v>
      </c>
      <c r="P875" s="11">
        <v>41803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9</v>
      </c>
      <c r="M876" s="6">
        <v>2023</v>
      </c>
      <c r="N876" s="7">
        <v>0</v>
      </c>
      <c r="O876" s="11">
        <v>41803</v>
      </c>
      <c r="P876" s="11">
        <v>41803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10</v>
      </c>
      <c r="M877" s="6">
        <v>2024</v>
      </c>
      <c r="N877" s="7">
        <v>0</v>
      </c>
      <c r="O877" s="11">
        <v>41803</v>
      </c>
      <c r="P877" s="11">
        <v>41803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5</v>
      </c>
      <c r="M878" s="6">
        <v>2019</v>
      </c>
      <c r="N878" s="7">
        <v>0</v>
      </c>
      <c r="O878" s="11">
        <v>41803</v>
      </c>
      <c r="P878" s="11">
        <v>41803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4</v>
      </c>
      <c r="M879" s="6">
        <v>2018</v>
      </c>
      <c r="N879" s="7">
        <v>0</v>
      </c>
      <c r="O879" s="11">
        <v>41803</v>
      </c>
      <c r="P879" s="11">
        <v>41803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6</v>
      </c>
      <c r="M880" s="6">
        <v>2020</v>
      </c>
      <c r="N880" s="7">
        <v>0</v>
      </c>
      <c r="O880" s="11">
        <v>41803</v>
      </c>
      <c r="P880" s="11">
        <v>41803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2</v>
      </c>
      <c r="M881" s="6">
        <v>2016</v>
      </c>
      <c r="N881" s="7">
        <v>0</v>
      </c>
      <c r="O881" s="11">
        <v>41803</v>
      </c>
      <c r="P881" s="11">
        <v>41803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11</v>
      </c>
      <c r="M882" s="6">
        <v>2025</v>
      </c>
      <c r="N882" s="7">
        <v>0</v>
      </c>
      <c r="O882" s="11">
        <v>41803</v>
      </c>
      <c r="P882" s="11">
        <v>41803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0</v>
      </c>
      <c r="M883" s="6">
        <v>2014</v>
      </c>
      <c r="N883" s="7">
        <v>0</v>
      </c>
      <c r="O883" s="11">
        <v>41803</v>
      </c>
      <c r="P883" s="11">
        <v>41803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1</v>
      </c>
      <c r="M884" s="6">
        <v>2015</v>
      </c>
      <c r="N884" s="7">
        <v>0</v>
      </c>
      <c r="O884" s="11">
        <v>41803</v>
      </c>
      <c r="P884" s="11">
        <v>41803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3</v>
      </c>
      <c r="M885" s="6">
        <v>2017</v>
      </c>
      <c r="N885" s="7">
        <v>0</v>
      </c>
      <c r="O885" s="11">
        <v>41803</v>
      </c>
      <c r="P885" s="11">
        <v>41803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12</v>
      </c>
      <c r="M886" s="6">
        <v>2026</v>
      </c>
      <c r="N886" s="7">
        <v>0</v>
      </c>
      <c r="O886" s="11">
        <v>41803</v>
      </c>
      <c r="P886" s="11">
        <v>41803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8</v>
      </c>
      <c r="M887" s="6">
        <v>2022</v>
      </c>
      <c r="N887" s="7">
        <v>0</v>
      </c>
      <c r="O887" s="11">
        <v>41803</v>
      </c>
      <c r="P887" s="11">
        <v>41803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5</v>
      </c>
      <c r="M888" s="6">
        <v>2019</v>
      </c>
      <c r="N888" s="7">
        <v>0.0698</v>
      </c>
      <c r="O888" s="11">
        <v>41803</v>
      </c>
      <c r="P888" s="11">
        <v>41803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2</v>
      </c>
      <c r="M889" s="6">
        <v>2016</v>
      </c>
      <c r="N889" s="7">
        <v>0.0499</v>
      </c>
      <c r="O889" s="11">
        <v>41803</v>
      </c>
      <c r="P889" s="11">
        <v>41803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9</v>
      </c>
      <c r="M890" s="6">
        <v>2023</v>
      </c>
      <c r="N890" s="7">
        <v>0.0309</v>
      </c>
      <c r="O890" s="11">
        <v>41803</v>
      </c>
      <c r="P890" s="11">
        <v>41803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12</v>
      </c>
      <c r="M891" s="6">
        <v>2026</v>
      </c>
      <c r="N891" s="7">
        <v>0.0221</v>
      </c>
      <c r="O891" s="11">
        <v>41803</v>
      </c>
      <c r="P891" s="11">
        <v>41803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6</v>
      </c>
      <c r="M892" s="6">
        <v>2020</v>
      </c>
      <c r="N892" s="7">
        <v>0.0736</v>
      </c>
      <c r="O892" s="11">
        <v>41803</v>
      </c>
      <c r="P892" s="11">
        <v>41803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10</v>
      </c>
      <c r="M893" s="6">
        <v>2024</v>
      </c>
      <c r="N893" s="7">
        <v>0.0271</v>
      </c>
      <c r="O893" s="11">
        <v>41803</v>
      </c>
      <c r="P893" s="11">
        <v>41803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0</v>
      </c>
      <c r="M894" s="6">
        <v>2014</v>
      </c>
      <c r="N894" s="7">
        <v>0.0453</v>
      </c>
      <c r="O894" s="11">
        <v>41803</v>
      </c>
      <c r="P894" s="11">
        <v>41803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1</v>
      </c>
      <c r="M895" s="6">
        <v>2015</v>
      </c>
      <c r="N895" s="7">
        <v>0.0549</v>
      </c>
      <c r="O895" s="11">
        <v>41803</v>
      </c>
      <c r="P895" s="11">
        <v>41803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3</v>
      </c>
      <c r="M896" s="6">
        <v>2017</v>
      </c>
      <c r="N896" s="7">
        <v>0.0788</v>
      </c>
      <c r="O896" s="11">
        <v>41803</v>
      </c>
      <c r="P896" s="11">
        <v>41803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8</v>
      </c>
      <c r="M897" s="6">
        <v>2022</v>
      </c>
      <c r="N897" s="7">
        <v>0.0524</v>
      </c>
      <c r="O897" s="11">
        <v>41803</v>
      </c>
      <c r="P897" s="11">
        <v>41803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11</v>
      </c>
      <c r="M898" s="6">
        <v>2025</v>
      </c>
      <c r="N898" s="7">
        <v>0.0263</v>
      </c>
      <c r="O898" s="11">
        <v>41803</v>
      </c>
      <c r="P898" s="11">
        <v>41803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4</v>
      </c>
      <c r="M899" s="6">
        <v>2018</v>
      </c>
      <c r="N899" s="7">
        <v>0.0711</v>
      </c>
      <c r="O899" s="11">
        <v>41803</v>
      </c>
      <c r="P899" s="11">
        <v>41803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10</v>
      </c>
      <c r="H900" s="10">
        <v>1</v>
      </c>
      <c r="I900" s="10" t="s">
        <v>326</v>
      </c>
      <c r="J900" s="10" t="s">
        <v>22</v>
      </c>
      <c r="K900" s="10" t="b">
        <v>1</v>
      </c>
      <c r="L900" s="10">
        <v>10</v>
      </c>
      <c r="M900" s="6">
        <v>2024</v>
      </c>
      <c r="N900" s="7">
        <v>408799084</v>
      </c>
      <c r="O900" s="11">
        <v>41803</v>
      </c>
      <c r="P900" s="11">
        <v>41803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10</v>
      </c>
      <c r="H901" s="10">
        <v>1</v>
      </c>
      <c r="I901" s="10" t="s">
        <v>326</v>
      </c>
      <c r="J901" s="10" t="s">
        <v>22</v>
      </c>
      <c r="K901" s="10" t="b">
        <v>1</v>
      </c>
      <c r="L901" s="10">
        <v>5</v>
      </c>
      <c r="M901" s="6">
        <v>2019</v>
      </c>
      <c r="N901" s="7">
        <v>408799084</v>
      </c>
      <c r="O901" s="11">
        <v>41803</v>
      </c>
      <c r="P901" s="11">
        <v>41803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470</v>
      </c>
      <c r="H902" s="10">
        <v>9.1</v>
      </c>
      <c r="I902" s="10" t="s">
        <v>227</v>
      </c>
      <c r="J902" s="10" t="s">
        <v>228</v>
      </c>
      <c r="K902" s="10" t="b">
        <v>1</v>
      </c>
      <c r="L902" s="10">
        <v>7</v>
      </c>
      <c r="M902" s="6">
        <v>2021</v>
      </c>
      <c r="N902" s="7">
        <v>0.0674</v>
      </c>
      <c r="O902" s="11">
        <v>41803</v>
      </c>
      <c r="P902" s="11">
        <v>41803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4</v>
      </c>
      <c r="M903" s="6">
        <v>2018</v>
      </c>
      <c r="N903" s="7">
        <v>0.0899</v>
      </c>
      <c r="O903" s="11">
        <v>41803</v>
      </c>
      <c r="P903" s="11">
        <v>41803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10</v>
      </c>
      <c r="M904" s="6">
        <v>2024</v>
      </c>
      <c r="N904" s="7">
        <v>0.0954</v>
      </c>
      <c r="O904" s="11">
        <v>41803</v>
      </c>
      <c r="P904" s="11">
        <v>41803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5</v>
      </c>
      <c r="M905" s="6">
        <v>2019</v>
      </c>
      <c r="N905" s="7">
        <v>0.0944</v>
      </c>
      <c r="O905" s="11">
        <v>41803</v>
      </c>
      <c r="P905" s="11">
        <v>41803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11</v>
      </c>
      <c r="M906" s="6">
        <v>2025</v>
      </c>
      <c r="N906" s="7">
        <v>0.0954</v>
      </c>
      <c r="O906" s="11">
        <v>41803</v>
      </c>
      <c r="P906" s="11">
        <v>41803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7</v>
      </c>
      <c r="M907" s="6">
        <v>2021</v>
      </c>
      <c r="N907" s="7">
        <v>0.0954</v>
      </c>
      <c r="O907" s="11">
        <v>41803</v>
      </c>
      <c r="P907" s="11">
        <v>41803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12</v>
      </c>
      <c r="M908" s="6">
        <v>2026</v>
      </c>
      <c r="N908" s="7">
        <v>0.0954</v>
      </c>
      <c r="O908" s="11">
        <v>41803</v>
      </c>
      <c r="P908" s="11">
        <v>41803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2</v>
      </c>
      <c r="M909" s="6">
        <v>2016</v>
      </c>
      <c r="N909" s="7">
        <v>0.0687</v>
      </c>
      <c r="O909" s="11">
        <v>41803</v>
      </c>
      <c r="P909" s="11">
        <v>41803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8</v>
      </c>
      <c r="M910" s="6">
        <v>2022</v>
      </c>
      <c r="N910" s="7">
        <v>0.0954</v>
      </c>
      <c r="O910" s="11">
        <v>41803</v>
      </c>
      <c r="P910" s="11">
        <v>41803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6</v>
      </c>
      <c r="M911" s="6">
        <v>2020</v>
      </c>
      <c r="N911" s="7">
        <v>0.0963</v>
      </c>
      <c r="O911" s="11">
        <v>41803</v>
      </c>
      <c r="P911" s="11">
        <v>41803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9</v>
      </c>
      <c r="M912" s="6">
        <v>2023</v>
      </c>
      <c r="N912" s="7">
        <v>0.0954</v>
      </c>
      <c r="O912" s="11">
        <v>41803</v>
      </c>
      <c r="P912" s="11">
        <v>41803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10</v>
      </c>
      <c r="H913" s="10">
        <v>1</v>
      </c>
      <c r="I913" s="10" t="s">
        <v>326</v>
      </c>
      <c r="J913" s="10" t="s">
        <v>22</v>
      </c>
      <c r="K913" s="10" t="b">
        <v>1</v>
      </c>
      <c r="L913" s="10">
        <v>11</v>
      </c>
      <c r="M913" s="6">
        <v>2025</v>
      </c>
      <c r="N913" s="7">
        <v>408799084</v>
      </c>
      <c r="O913" s="11">
        <v>41803</v>
      </c>
      <c r="P913" s="11">
        <v>41803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10</v>
      </c>
      <c r="H914" s="10">
        <v>1</v>
      </c>
      <c r="I914" s="10" t="s">
        <v>326</v>
      </c>
      <c r="J914" s="10" t="s">
        <v>22</v>
      </c>
      <c r="K914" s="10" t="b">
        <v>1</v>
      </c>
      <c r="L914" s="10">
        <v>6</v>
      </c>
      <c r="M914" s="6">
        <v>2020</v>
      </c>
      <c r="N914" s="7">
        <v>408799084</v>
      </c>
      <c r="O914" s="11">
        <v>41803</v>
      </c>
      <c r="P914" s="11">
        <v>41803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10</v>
      </c>
      <c r="H915" s="10">
        <v>1</v>
      </c>
      <c r="I915" s="10" t="s">
        <v>326</v>
      </c>
      <c r="J915" s="10" t="s">
        <v>22</v>
      </c>
      <c r="K915" s="10" t="b">
        <v>1</v>
      </c>
      <c r="L915" s="10">
        <v>0</v>
      </c>
      <c r="M915" s="6">
        <v>2014</v>
      </c>
      <c r="N915" s="7">
        <v>409455845.93</v>
      </c>
      <c r="O915" s="11">
        <v>41803</v>
      </c>
      <c r="P915" s="11">
        <v>41803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510</v>
      </c>
      <c r="H916" s="10">
        <v>9.6</v>
      </c>
      <c r="I916" s="10"/>
      <c r="J916" s="10" t="s">
        <v>236</v>
      </c>
      <c r="K916" s="10" t="b">
        <v>1</v>
      </c>
      <c r="L916" s="10">
        <v>3</v>
      </c>
      <c r="M916" s="6">
        <v>2017</v>
      </c>
      <c r="N916" s="7">
        <v>0.0816</v>
      </c>
      <c r="O916" s="11">
        <v>41803</v>
      </c>
      <c r="P916" s="11">
        <v>41803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510</v>
      </c>
      <c r="H917" s="10">
        <v>9.6</v>
      </c>
      <c r="I917" s="10"/>
      <c r="J917" s="10" t="s">
        <v>236</v>
      </c>
      <c r="K917" s="10" t="b">
        <v>1</v>
      </c>
      <c r="L917" s="10">
        <v>1</v>
      </c>
      <c r="M917" s="6">
        <v>2015</v>
      </c>
      <c r="N917" s="7">
        <v>0.0622</v>
      </c>
      <c r="O917" s="11">
        <v>41803</v>
      </c>
      <c r="P917" s="11">
        <v>41803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510</v>
      </c>
      <c r="H918" s="10">
        <v>9.6</v>
      </c>
      <c r="I918" s="10"/>
      <c r="J918" s="10" t="s">
        <v>236</v>
      </c>
      <c r="K918" s="10" t="b">
        <v>1</v>
      </c>
      <c r="L918" s="10">
        <v>0</v>
      </c>
      <c r="M918" s="6">
        <v>2014</v>
      </c>
      <c r="N918" s="7">
        <v>0.0555</v>
      </c>
      <c r="O918" s="11">
        <v>41803</v>
      </c>
      <c r="P918" s="11">
        <v>41803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4</v>
      </c>
      <c r="M919" s="6">
        <v>2018</v>
      </c>
      <c r="N919" s="7">
        <v>0</v>
      </c>
      <c r="O919" s="11">
        <v>41803</v>
      </c>
      <c r="P919" s="11">
        <v>41803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6</v>
      </c>
      <c r="M920" s="6">
        <v>2020</v>
      </c>
      <c r="N920" s="7">
        <v>0</v>
      </c>
      <c r="O920" s="11">
        <v>41803</v>
      </c>
      <c r="P920" s="11">
        <v>41803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7</v>
      </c>
      <c r="M921" s="6">
        <v>2021</v>
      </c>
      <c r="N921" s="7">
        <v>0</v>
      </c>
      <c r="O921" s="11">
        <v>41803</v>
      </c>
      <c r="P921" s="11">
        <v>41803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5</v>
      </c>
      <c r="M922" s="6">
        <v>2019</v>
      </c>
      <c r="N922" s="7">
        <v>0</v>
      </c>
      <c r="O922" s="11">
        <v>41803</v>
      </c>
      <c r="P922" s="11">
        <v>41803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3</v>
      </c>
      <c r="M923" s="6">
        <v>2017</v>
      </c>
      <c r="N923" s="7">
        <v>0</v>
      </c>
      <c r="O923" s="11">
        <v>41803</v>
      </c>
      <c r="P923" s="11">
        <v>41803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9</v>
      </c>
      <c r="M924" s="6">
        <v>2023</v>
      </c>
      <c r="N924" s="7">
        <v>0</v>
      </c>
      <c r="O924" s="11">
        <v>41803</v>
      </c>
      <c r="P924" s="11">
        <v>41803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0</v>
      </c>
      <c r="M925" s="6">
        <v>2014</v>
      </c>
      <c r="N925" s="7">
        <v>0</v>
      </c>
      <c r="O925" s="11">
        <v>41803</v>
      </c>
      <c r="P925" s="11">
        <v>41803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8</v>
      </c>
      <c r="M926" s="6">
        <v>2022</v>
      </c>
      <c r="N926" s="7">
        <v>0</v>
      </c>
      <c r="O926" s="11">
        <v>41803</v>
      </c>
      <c r="P926" s="11">
        <v>41803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1</v>
      </c>
      <c r="M927" s="6">
        <v>2015</v>
      </c>
      <c r="N927" s="7">
        <v>0</v>
      </c>
      <c r="O927" s="11">
        <v>41803</v>
      </c>
      <c r="P927" s="11">
        <v>41803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184</v>
      </c>
      <c r="H928" s="10" t="s">
        <v>212</v>
      </c>
      <c r="I928" s="10"/>
      <c r="J928" s="10" t="s">
        <v>213</v>
      </c>
      <c r="K928" s="10" t="b">
        <v>0</v>
      </c>
      <c r="L928" s="10">
        <v>12</v>
      </c>
      <c r="M928" s="6">
        <v>2026</v>
      </c>
      <c r="N928" s="7">
        <v>0</v>
      </c>
      <c r="O928" s="11">
        <v>41803</v>
      </c>
      <c r="P928" s="11">
        <v>41803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184</v>
      </c>
      <c r="H929" s="10" t="s">
        <v>212</v>
      </c>
      <c r="I929" s="10"/>
      <c r="J929" s="10" t="s">
        <v>213</v>
      </c>
      <c r="K929" s="10" t="b">
        <v>0</v>
      </c>
      <c r="L929" s="10">
        <v>10</v>
      </c>
      <c r="M929" s="6">
        <v>2024</v>
      </c>
      <c r="N929" s="7">
        <v>0</v>
      </c>
      <c r="O929" s="11">
        <v>41803</v>
      </c>
      <c r="P929" s="11">
        <v>41803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184</v>
      </c>
      <c r="H930" s="10" t="s">
        <v>212</v>
      </c>
      <c r="I930" s="10"/>
      <c r="J930" s="10" t="s">
        <v>213</v>
      </c>
      <c r="K930" s="10" t="b">
        <v>0</v>
      </c>
      <c r="L930" s="10">
        <v>2</v>
      </c>
      <c r="M930" s="6">
        <v>2016</v>
      </c>
      <c r="N930" s="7">
        <v>0</v>
      </c>
      <c r="O930" s="11">
        <v>41803</v>
      </c>
      <c r="P930" s="11">
        <v>41803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184</v>
      </c>
      <c r="H931" s="10" t="s">
        <v>212</v>
      </c>
      <c r="I931" s="10"/>
      <c r="J931" s="10" t="s">
        <v>213</v>
      </c>
      <c r="K931" s="10" t="b">
        <v>0</v>
      </c>
      <c r="L931" s="10">
        <v>11</v>
      </c>
      <c r="M931" s="6">
        <v>2025</v>
      </c>
      <c r="N931" s="7">
        <v>0</v>
      </c>
      <c r="O931" s="11">
        <v>41803</v>
      </c>
      <c r="P931" s="11">
        <v>41803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12</v>
      </c>
      <c r="M932" s="6">
        <v>2026</v>
      </c>
      <c r="N932" s="7">
        <v>0</v>
      </c>
      <c r="O932" s="11">
        <v>41803</v>
      </c>
      <c r="P932" s="11">
        <v>41803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9</v>
      </c>
      <c r="M933" s="6">
        <v>2023</v>
      </c>
      <c r="N933" s="7">
        <v>0</v>
      </c>
      <c r="O933" s="11">
        <v>41803</v>
      </c>
      <c r="P933" s="11">
        <v>41803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3</v>
      </c>
      <c r="M934" s="6">
        <v>2017</v>
      </c>
      <c r="N934" s="7">
        <v>0</v>
      </c>
      <c r="O934" s="11">
        <v>41803</v>
      </c>
      <c r="P934" s="11">
        <v>41803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5</v>
      </c>
      <c r="M935" s="6">
        <v>2019</v>
      </c>
      <c r="N935" s="7">
        <v>0</v>
      </c>
      <c r="O935" s="11">
        <v>41803</v>
      </c>
      <c r="P935" s="11">
        <v>41803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8</v>
      </c>
      <c r="M936" s="6">
        <v>2022</v>
      </c>
      <c r="N936" s="7">
        <v>0</v>
      </c>
      <c r="O936" s="11">
        <v>41803</v>
      </c>
      <c r="P936" s="11">
        <v>41803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6</v>
      </c>
      <c r="M937" s="6">
        <v>2020</v>
      </c>
      <c r="N937" s="7">
        <v>0</v>
      </c>
      <c r="O937" s="11">
        <v>41803</v>
      </c>
      <c r="P937" s="11">
        <v>41803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10</v>
      </c>
      <c r="M938" s="6">
        <v>2024</v>
      </c>
      <c r="N938" s="7">
        <v>0</v>
      </c>
      <c r="O938" s="11">
        <v>41803</v>
      </c>
      <c r="P938" s="11">
        <v>41803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</v>
      </c>
      <c r="M939" s="6">
        <v>2015</v>
      </c>
      <c r="N939" s="7">
        <v>0</v>
      </c>
      <c r="O939" s="11">
        <v>41803</v>
      </c>
      <c r="P939" s="11">
        <v>41803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930</v>
      </c>
      <c r="H940" s="10" t="s">
        <v>120</v>
      </c>
      <c r="I940" s="10"/>
      <c r="J940" s="10" t="s">
        <v>121</v>
      </c>
      <c r="K940" s="10" t="b">
        <v>1</v>
      </c>
      <c r="L940" s="10">
        <v>11</v>
      </c>
      <c r="M940" s="6">
        <v>2025</v>
      </c>
      <c r="N940" s="7">
        <v>0</v>
      </c>
      <c r="O940" s="11">
        <v>41803</v>
      </c>
      <c r="P940" s="11">
        <v>41803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930</v>
      </c>
      <c r="H941" s="10" t="s">
        <v>120</v>
      </c>
      <c r="I941" s="10"/>
      <c r="J941" s="10" t="s">
        <v>121</v>
      </c>
      <c r="K941" s="10" t="b">
        <v>1</v>
      </c>
      <c r="L941" s="10">
        <v>0</v>
      </c>
      <c r="M941" s="6">
        <v>2014</v>
      </c>
      <c r="N941" s="7">
        <v>0</v>
      </c>
      <c r="O941" s="11">
        <v>41803</v>
      </c>
      <c r="P941" s="11">
        <v>41803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930</v>
      </c>
      <c r="H942" s="10" t="s">
        <v>120</v>
      </c>
      <c r="I942" s="10"/>
      <c r="J942" s="10" t="s">
        <v>121</v>
      </c>
      <c r="K942" s="10" t="b">
        <v>1</v>
      </c>
      <c r="L942" s="10">
        <v>7</v>
      </c>
      <c r="M942" s="6">
        <v>2021</v>
      </c>
      <c r="N942" s="7">
        <v>0</v>
      </c>
      <c r="O942" s="11">
        <v>41803</v>
      </c>
      <c r="P942" s="11">
        <v>41803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930</v>
      </c>
      <c r="H943" s="10" t="s">
        <v>120</v>
      </c>
      <c r="I943" s="10"/>
      <c r="J943" s="10" t="s">
        <v>121</v>
      </c>
      <c r="K943" s="10" t="b">
        <v>1</v>
      </c>
      <c r="L943" s="10">
        <v>4</v>
      </c>
      <c r="M943" s="6">
        <v>2018</v>
      </c>
      <c r="N943" s="7">
        <v>0</v>
      </c>
      <c r="O943" s="11">
        <v>41803</v>
      </c>
      <c r="P943" s="11">
        <v>41803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930</v>
      </c>
      <c r="H944" s="10" t="s">
        <v>120</v>
      </c>
      <c r="I944" s="10"/>
      <c r="J944" s="10" t="s">
        <v>121</v>
      </c>
      <c r="K944" s="10" t="b">
        <v>1</v>
      </c>
      <c r="L944" s="10">
        <v>2</v>
      </c>
      <c r="M944" s="6">
        <v>2016</v>
      </c>
      <c r="N944" s="7">
        <v>0</v>
      </c>
      <c r="O944" s="11">
        <v>41803</v>
      </c>
      <c r="P944" s="11">
        <v>41803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10</v>
      </c>
      <c r="M945" s="6">
        <v>2024</v>
      </c>
      <c r="N945" s="7">
        <v>9202730.51</v>
      </c>
      <c r="O945" s="11">
        <v>41803</v>
      </c>
      <c r="P945" s="11">
        <v>41803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11</v>
      </c>
      <c r="M946" s="6">
        <v>2025</v>
      </c>
      <c r="N946" s="7">
        <v>8980980.93</v>
      </c>
      <c r="O946" s="11">
        <v>41803</v>
      </c>
      <c r="P946" s="11">
        <v>41803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3</v>
      </c>
      <c r="M947" s="6">
        <v>2017</v>
      </c>
      <c r="N947" s="7">
        <v>10766574.43</v>
      </c>
      <c r="O947" s="11">
        <v>41803</v>
      </c>
      <c r="P947" s="11">
        <v>41803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7</v>
      </c>
      <c r="M948" s="6">
        <v>2021</v>
      </c>
      <c r="N948" s="7">
        <v>9873656.18</v>
      </c>
      <c r="O948" s="11">
        <v>41803</v>
      </c>
      <c r="P948" s="11">
        <v>41803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</v>
      </c>
      <c r="M949" s="6">
        <v>2015</v>
      </c>
      <c r="N949" s="7">
        <v>0</v>
      </c>
      <c r="O949" s="11">
        <v>41803</v>
      </c>
      <c r="P949" s="11">
        <v>41803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5</v>
      </c>
      <c r="M950" s="6">
        <v>2019</v>
      </c>
      <c r="N950" s="7">
        <v>10320596.3</v>
      </c>
      <c r="O950" s="11">
        <v>41803</v>
      </c>
      <c r="P950" s="11">
        <v>41803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8</v>
      </c>
      <c r="M951" s="6">
        <v>2022</v>
      </c>
      <c r="N951" s="7">
        <v>9649684.63</v>
      </c>
      <c r="O951" s="11">
        <v>41803</v>
      </c>
      <c r="P951" s="11">
        <v>41803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4</v>
      </c>
      <c r="M952" s="6">
        <v>2018</v>
      </c>
      <c r="N952" s="7">
        <v>10543564.86</v>
      </c>
      <c r="O952" s="11">
        <v>41803</v>
      </c>
      <c r="P952" s="11">
        <v>41803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140</v>
      </c>
      <c r="H953" s="10" t="s">
        <v>46</v>
      </c>
      <c r="I953" s="10"/>
      <c r="J953" s="10" t="s">
        <v>47</v>
      </c>
      <c r="K953" s="10" t="b">
        <v>1</v>
      </c>
      <c r="L953" s="10">
        <v>0</v>
      </c>
      <c r="M953" s="6">
        <v>2014</v>
      </c>
      <c r="N953" s="7">
        <v>0</v>
      </c>
      <c r="O953" s="11">
        <v>41803</v>
      </c>
      <c r="P953" s="11">
        <v>41803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140</v>
      </c>
      <c r="H954" s="10" t="s">
        <v>46</v>
      </c>
      <c r="I954" s="10"/>
      <c r="J954" s="10" t="s">
        <v>47</v>
      </c>
      <c r="K954" s="10" t="b">
        <v>1</v>
      </c>
      <c r="L954" s="10">
        <v>2</v>
      </c>
      <c r="M954" s="6">
        <v>2016</v>
      </c>
      <c r="N954" s="7">
        <v>0</v>
      </c>
      <c r="O954" s="11">
        <v>41803</v>
      </c>
      <c r="P954" s="11">
        <v>41803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140</v>
      </c>
      <c r="H955" s="10" t="s">
        <v>46</v>
      </c>
      <c r="I955" s="10"/>
      <c r="J955" s="10" t="s">
        <v>47</v>
      </c>
      <c r="K955" s="10" t="b">
        <v>1</v>
      </c>
      <c r="L955" s="10">
        <v>12</v>
      </c>
      <c r="M955" s="6">
        <v>2026</v>
      </c>
      <c r="N955" s="7">
        <v>8757964.38</v>
      </c>
      <c r="O955" s="11">
        <v>41803</v>
      </c>
      <c r="P955" s="11">
        <v>41803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140</v>
      </c>
      <c r="H956" s="10" t="s">
        <v>46</v>
      </c>
      <c r="I956" s="10"/>
      <c r="J956" s="10" t="s">
        <v>47</v>
      </c>
      <c r="K956" s="10" t="b">
        <v>1</v>
      </c>
      <c r="L956" s="10">
        <v>6</v>
      </c>
      <c r="M956" s="6">
        <v>2020</v>
      </c>
      <c r="N956" s="7">
        <v>10096624.75</v>
      </c>
      <c r="O956" s="11">
        <v>41803</v>
      </c>
      <c r="P956" s="11">
        <v>41803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140</v>
      </c>
      <c r="H957" s="10" t="s">
        <v>46</v>
      </c>
      <c r="I957" s="10"/>
      <c r="J957" s="10" t="s">
        <v>47</v>
      </c>
      <c r="K957" s="10" t="b">
        <v>1</v>
      </c>
      <c r="L957" s="10">
        <v>9</v>
      </c>
      <c r="M957" s="6">
        <v>2023</v>
      </c>
      <c r="N957" s="7">
        <v>9426716.06</v>
      </c>
      <c r="O957" s="11">
        <v>41803</v>
      </c>
      <c r="P957" s="11">
        <v>41803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3</v>
      </c>
      <c r="M958" s="6">
        <v>2017</v>
      </c>
      <c r="N958" s="7">
        <v>408983118</v>
      </c>
      <c r="O958" s="11">
        <v>41803</v>
      </c>
      <c r="P958" s="11">
        <v>41803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1</v>
      </c>
      <c r="M959" s="6">
        <v>2015</v>
      </c>
      <c r="N959" s="7">
        <v>401456623.19</v>
      </c>
      <c r="O959" s="11">
        <v>41803</v>
      </c>
      <c r="P959" s="11">
        <v>41803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7</v>
      </c>
      <c r="M960" s="6">
        <v>2021</v>
      </c>
      <c r="N960" s="7">
        <v>408799084</v>
      </c>
      <c r="O960" s="11">
        <v>41803</v>
      </c>
      <c r="P960" s="11">
        <v>41803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8</v>
      </c>
      <c r="M961" s="6">
        <v>2022</v>
      </c>
      <c r="N961" s="7">
        <v>408799084</v>
      </c>
      <c r="O961" s="11">
        <v>41803</v>
      </c>
      <c r="P961" s="11">
        <v>41803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2</v>
      </c>
      <c r="M962" s="6">
        <v>2016</v>
      </c>
      <c r="N962" s="7">
        <v>402163341</v>
      </c>
      <c r="O962" s="11">
        <v>41803</v>
      </c>
      <c r="P962" s="11">
        <v>41803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12</v>
      </c>
      <c r="M963" s="6">
        <v>2026</v>
      </c>
      <c r="N963" s="7">
        <v>408799084</v>
      </c>
      <c r="O963" s="11">
        <v>41803</v>
      </c>
      <c r="P963" s="11">
        <v>41803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4</v>
      </c>
      <c r="M964" s="6">
        <v>2018</v>
      </c>
      <c r="N964" s="7">
        <v>408799084</v>
      </c>
      <c r="O964" s="11">
        <v>41803</v>
      </c>
      <c r="P964" s="11">
        <v>41803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9</v>
      </c>
      <c r="M965" s="6">
        <v>2023</v>
      </c>
      <c r="N965" s="7">
        <v>408799084</v>
      </c>
      <c r="O965" s="11">
        <v>41803</v>
      </c>
      <c r="P965" s="11">
        <v>41803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1</v>
      </c>
      <c r="M966" s="6">
        <v>2015</v>
      </c>
      <c r="N966" s="7">
        <v>1219063.77</v>
      </c>
      <c r="O966" s="11">
        <v>41803</v>
      </c>
      <c r="P966" s="11">
        <v>41803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9</v>
      </c>
      <c r="M967" s="6">
        <v>2023</v>
      </c>
      <c r="N967" s="7">
        <v>0</v>
      </c>
      <c r="O967" s="11">
        <v>41803</v>
      </c>
      <c r="P967" s="11">
        <v>41803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11</v>
      </c>
      <c r="M968" s="6">
        <v>2025</v>
      </c>
      <c r="N968" s="7">
        <v>0</v>
      </c>
      <c r="O968" s="11">
        <v>41803</v>
      </c>
      <c r="P968" s="11">
        <v>41803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12</v>
      </c>
      <c r="M969" s="6">
        <v>2026</v>
      </c>
      <c r="N969" s="7">
        <v>0</v>
      </c>
      <c r="O969" s="11">
        <v>41803</v>
      </c>
      <c r="P969" s="11">
        <v>41803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8</v>
      </c>
      <c r="M970" s="6">
        <v>2022</v>
      </c>
      <c r="N970" s="7">
        <v>0</v>
      </c>
      <c r="O970" s="11">
        <v>41803</v>
      </c>
      <c r="P970" s="11">
        <v>41803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7</v>
      </c>
      <c r="M971" s="6">
        <v>2021</v>
      </c>
      <c r="N971" s="7">
        <v>0</v>
      </c>
      <c r="O971" s="11">
        <v>41803</v>
      </c>
      <c r="P971" s="11">
        <v>41803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3</v>
      </c>
      <c r="M972" s="6">
        <v>2017</v>
      </c>
      <c r="N972" s="7">
        <v>0</v>
      </c>
      <c r="O972" s="11">
        <v>41803</v>
      </c>
      <c r="P972" s="11">
        <v>41803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10</v>
      </c>
      <c r="M973" s="6">
        <v>2024</v>
      </c>
      <c r="N973" s="7">
        <v>0</v>
      </c>
      <c r="O973" s="11">
        <v>41803</v>
      </c>
      <c r="P973" s="11">
        <v>41803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4</v>
      </c>
      <c r="M974" s="6">
        <v>2018</v>
      </c>
      <c r="N974" s="7">
        <v>0</v>
      </c>
      <c r="O974" s="11">
        <v>41803</v>
      </c>
      <c r="P974" s="11">
        <v>41803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2</v>
      </c>
      <c r="M975" s="6">
        <v>2016</v>
      </c>
      <c r="N975" s="7">
        <v>0</v>
      </c>
      <c r="O975" s="11">
        <v>41803</v>
      </c>
      <c r="P975" s="11">
        <v>41803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0</v>
      </c>
      <c r="M976" s="6">
        <v>2014</v>
      </c>
      <c r="N976" s="7">
        <v>4494579.03</v>
      </c>
      <c r="O976" s="11">
        <v>41803</v>
      </c>
      <c r="P976" s="11">
        <v>41803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6</v>
      </c>
      <c r="M977" s="6">
        <v>2020</v>
      </c>
      <c r="N977" s="7">
        <v>0</v>
      </c>
      <c r="O977" s="11">
        <v>41803</v>
      </c>
      <c r="P977" s="11">
        <v>41803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5</v>
      </c>
      <c r="M978" s="6">
        <v>2019</v>
      </c>
      <c r="N978" s="7">
        <v>0</v>
      </c>
      <c r="O978" s="11">
        <v>41803</v>
      </c>
      <c r="P978" s="11">
        <v>41803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7</v>
      </c>
      <c r="M979" s="6">
        <v>2021</v>
      </c>
      <c r="N979" s="7">
        <v>0</v>
      </c>
      <c r="O979" s="11">
        <v>41803</v>
      </c>
      <c r="P979" s="11">
        <v>41803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4</v>
      </c>
      <c r="M980" s="6">
        <v>2018</v>
      </c>
      <c r="N980" s="7">
        <v>0</v>
      </c>
      <c r="O980" s="11">
        <v>41803</v>
      </c>
      <c r="P980" s="11">
        <v>41803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9</v>
      </c>
      <c r="M981" s="6">
        <v>2023</v>
      </c>
      <c r="N981" s="7">
        <v>0</v>
      </c>
      <c r="O981" s="11">
        <v>41803</v>
      </c>
      <c r="P981" s="11">
        <v>41803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2</v>
      </c>
      <c r="M982" s="6">
        <v>2016</v>
      </c>
      <c r="N982" s="7">
        <v>0</v>
      </c>
      <c r="O982" s="11">
        <v>41803</v>
      </c>
      <c r="P982" s="11">
        <v>41803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11</v>
      </c>
      <c r="M983" s="6">
        <v>2025</v>
      </c>
      <c r="N983" s="7">
        <v>0</v>
      </c>
      <c r="O983" s="11">
        <v>41803</v>
      </c>
      <c r="P983" s="11">
        <v>41803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10</v>
      </c>
      <c r="M984" s="6">
        <v>2024</v>
      </c>
      <c r="N984" s="7">
        <v>0</v>
      </c>
      <c r="O984" s="11">
        <v>41803</v>
      </c>
      <c r="P984" s="11">
        <v>41803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8</v>
      </c>
      <c r="M985" s="6">
        <v>2022</v>
      </c>
      <c r="N985" s="7">
        <v>0</v>
      </c>
      <c r="O985" s="11">
        <v>41803</v>
      </c>
      <c r="P985" s="11">
        <v>41803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0</v>
      </c>
      <c r="M986" s="6">
        <v>2014</v>
      </c>
      <c r="N986" s="7">
        <v>0</v>
      </c>
      <c r="O986" s="11">
        <v>41803</v>
      </c>
      <c r="P986" s="11">
        <v>41803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6</v>
      </c>
      <c r="M987" s="6">
        <v>2020</v>
      </c>
      <c r="N987" s="7">
        <v>0</v>
      </c>
      <c r="O987" s="11">
        <v>41803</v>
      </c>
      <c r="P987" s="11">
        <v>41803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12</v>
      </c>
      <c r="M988" s="6">
        <v>2026</v>
      </c>
      <c r="N988" s="7">
        <v>0</v>
      </c>
      <c r="O988" s="11">
        <v>41803</v>
      </c>
      <c r="P988" s="11">
        <v>41803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5</v>
      </c>
      <c r="M989" s="6">
        <v>2019</v>
      </c>
      <c r="N989" s="7">
        <v>0</v>
      </c>
      <c r="O989" s="11">
        <v>41803</v>
      </c>
      <c r="P989" s="11">
        <v>41803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3</v>
      </c>
      <c r="M990" s="6">
        <v>2017</v>
      </c>
      <c r="N990" s="7">
        <v>0</v>
      </c>
      <c r="O990" s="11">
        <v>41803</v>
      </c>
      <c r="P990" s="11">
        <v>41803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1</v>
      </c>
      <c r="M991" s="6">
        <v>2015</v>
      </c>
      <c r="N991" s="7">
        <v>0</v>
      </c>
      <c r="O991" s="11">
        <v>41803</v>
      </c>
      <c r="P991" s="11">
        <v>41803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5</v>
      </c>
      <c r="M992" s="6">
        <v>2019</v>
      </c>
      <c r="N992" s="7">
        <v>0</v>
      </c>
      <c r="O992" s="11">
        <v>41803</v>
      </c>
      <c r="P992" s="11">
        <v>41803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3</v>
      </c>
      <c r="M993" s="6">
        <v>2017</v>
      </c>
      <c r="N993" s="7">
        <v>0</v>
      </c>
      <c r="O993" s="11">
        <v>41803</v>
      </c>
      <c r="P993" s="11">
        <v>41803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6</v>
      </c>
      <c r="M994" s="6">
        <v>2020</v>
      </c>
      <c r="N994" s="7">
        <v>0</v>
      </c>
      <c r="O994" s="11">
        <v>41803</v>
      </c>
      <c r="P994" s="11">
        <v>41803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4</v>
      </c>
      <c r="M995" s="6">
        <v>2018</v>
      </c>
      <c r="N995" s="7">
        <v>0</v>
      </c>
      <c r="O995" s="11">
        <v>41803</v>
      </c>
      <c r="P995" s="11">
        <v>41803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2</v>
      </c>
      <c r="M996" s="6">
        <v>2016</v>
      </c>
      <c r="N996" s="7">
        <v>0</v>
      </c>
      <c r="O996" s="11">
        <v>41803</v>
      </c>
      <c r="P996" s="11">
        <v>41803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10</v>
      </c>
      <c r="M997" s="6">
        <v>2024</v>
      </c>
      <c r="N997" s="7">
        <v>0</v>
      </c>
      <c r="O997" s="11">
        <v>41803</v>
      </c>
      <c r="P997" s="11">
        <v>41803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9</v>
      </c>
      <c r="M998" s="6">
        <v>2023</v>
      </c>
      <c r="N998" s="7">
        <v>0</v>
      </c>
      <c r="O998" s="11">
        <v>41803</v>
      </c>
      <c r="P998" s="11">
        <v>41803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1</v>
      </c>
      <c r="M999" s="6">
        <v>2015</v>
      </c>
      <c r="N999" s="7">
        <v>0</v>
      </c>
      <c r="O999" s="11">
        <v>41803</v>
      </c>
      <c r="P999" s="11">
        <v>41803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12</v>
      </c>
      <c r="M1000" s="6">
        <v>2026</v>
      </c>
      <c r="N1000" s="7">
        <v>0</v>
      </c>
      <c r="O1000" s="11">
        <v>41803</v>
      </c>
      <c r="P1000" s="11">
        <v>41803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0</v>
      </c>
      <c r="M1001" s="6">
        <v>2014</v>
      </c>
      <c r="N1001" s="7">
        <v>0</v>
      </c>
      <c r="O1001" s="11">
        <v>41803</v>
      </c>
      <c r="P1001" s="11">
        <v>41803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11</v>
      </c>
      <c r="M1002" s="6">
        <v>2025</v>
      </c>
      <c r="N1002" s="7">
        <v>0</v>
      </c>
      <c r="O1002" s="11">
        <v>41803</v>
      </c>
      <c r="P1002" s="11">
        <v>41803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7</v>
      </c>
      <c r="M1003" s="6">
        <v>2021</v>
      </c>
      <c r="N1003" s="7">
        <v>0</v>
      </c>
      <c r="O1003" s="11">
        <v>41803</v>
      </c>
      <c r="P1003" s="11">
        <v>41803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8</v>
      </c>
      <c r="M1004" s="6">
        <v>2022</v>
      </c>
      <c r="N1004" s="7">
        <v>0</v>
      </c>
      <c r="O1004" s="11">
        <v>41803</v>
      </c>
      <c r="P1004" s="11">
        <v>41803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2</v>
      </c>
      <c r="M1005" s="6">
        <v>2016</v>
      </c>
      <c r="N1005" s="7">
        <v>20630417</v>
      </c>
      <c r="O1005" s="11">
        <v>41803</v>
      </c>
      <c r="P1005" s="11">
        <v>41803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12</v>
      </c>
      <c r="M1006" s="6">
        <v>2026</v>
      </c>
      <c r="N1006" s="7">
        <v>38791070</v>
      </c>
      <c r="O1006" s="11">
        <v>41803</v>
      </c>
      <c r="P1006" s="11">
        <v>41803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4</v>
      </c>
      <c r="M1007" s="6">
        <v>2018</v>
      </c>
      <c r="N1007" s="7">
        <v>23787454</v>
      </c>
      <c r="O1007" s="11">
        <v>41803</v>
      </c>
      <c r="P1007" s="11">
        <v>41803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3</v>
      </c>
      <c r="M1008" s="6">
        <v>2017</v>
      </c>
      <c r="N1008" s="7">
        <v>22618323</v>
      </c>
      <c r="O1008" s="11">
        <v>41803</v>
      </c>
      <c r="P1008" s="11">
        <v>41803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6</v>
      </c>
      <c r="M1009" s="6">
        <v>2020</v>
      </c>
      <c r="N1009" s="7">
        <v>21309454</v>
      </c>
      <c r="O1009" s="11">
        <v>41803</v>
      </c>
      <c r="P1009" s="11">
        <v>41803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1</v>
      </c>
      <c r="M1010" s="6">
        <v>2015</v>
      </c>
      <c r="N1010" s="7">
        <v>33452841.64</v>
      </c>
      <c r="O1010" s="11">
        <v>41803</v>
      </c>
      <c r="P1010" s="11">
        <v>41803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9</v>
      </c>
      <c r="M1011" s="6">
        <v>2023</v>
      </c>
      <c r="N1011" s="7">
        <v>36109454</v>
      </c>
      <c r="O1011" s="11">
        <v>41803</v>
      </c>
      <c r="P1011" s="11">
        <v>41803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8</v>
      </c>
      <c r="M1012" s="6">
        <v>2022</v>
      </c>
      <c r="N1012" s="7">
        <v>27933454</v>
      </c>
      <c r="O1012" s="11">
        <v>41803</v>
      </c>
      <c r="P1012" s="11">
        <v>41803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7</v>
      </c>
      <c r="M1013" s="6">
        <v>2021</v>
      </c>
      <c r="N1013" s="7">
        <v>22749454</v>
      </c>
      <c r="O1013" s="11">
        <v>41803</v>
      </c>
      <c r="P1013" s="11">
        <v>41803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0</v>
      </c>
      <c r="M1014" s="6">
        <v>2014</v>
      </c>
      <c r="N1014" s="7">
        <v>60257244.81</v>
      </c>
      <c r="O1014" s="11">
        <v>41803</v>
      </c>
      <c r="P1014" s="11">
        <v>41803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11</v>
      </c>
      <c r="M1015" s="6">
        <v>2025</v>
      </c>
      <c r="N1015" s="7">
        <v>37352770</v>
      </c>
      <c r="O1015" s="11">
        <v>41803</v>
      </c>
      <c r="P1015" s="11">
        <v>41803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5</v>
      </c>
      <c r="M1016" s="6">
        <v>2019</v>
      </c>
      <c r="N1016" s="7">
        <v>23787454</v>
      </c>
      <c r="O1016" s="11">
        <v>41803</v>
      </c>
      <c r="P1016" s="11">
        <v>41803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10</v>
      </c>
      <c r="M1017" s="6">
        <v>2024</v>
      </c>
      <c r="N1017" s="7">
        <v>37291948</v>
      </c>
      <c r="O1017" s="11">
        <v>41803</v>
      </c>
      <c r="P1017" s="11">
        <v>41803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8</v>
      </c>
      <c r="M1018" s="6">
        <v>2022</v>
      </c>
      <c r="N1018" s="7">
        <v>0</v>
      </c>
      <c r="O1018" s="11">
        <v>41803</v>
      </c>
      <c r="P1018" s="11">
        <v>41803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6</v>
      </c>
      <c r="M1019" s="6">
        <v>2020</v>
      </c>
      <c r="N1019" s="7">
        <v>0</v>
      </c>
      <c r="O1019" s="11">
        <v>41803</v>
      </c>
      <c r="P1019" s="11">
        <v>41803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12</v>
      </c>
      <c r="M1020" s="6">
        <v>2026</v>
      </c>
      <c r="N1020" s="7">
        <v>0</v>
      </c>
      <c r="O1020" s="11">
        <v>41803</v>
      </c>
      <c r="P1020" s="11">
        <v>41803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4</v>
      </c>
      <c r="M1021" s="6">
        <v>2018</v>
      </c>
      <c r="N1021" s="7">
        <v>0</v>
      </c>
      <c r="O1021" s="11">
        <v>41803</v>
      </c>
      <c r="P1021" s="11">
        <v>41803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</v>
      </c>
      <c r="M1022" s="6">
        <v>2015</v>
      </c>
      <c r="N1022" s="7">
        <v>0</v>
      </c>
      <c r="O1022" s="11">
        <v>41803</v>
      </c>
      <c r="P1022" s="11">
        <v>41803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9</v>
      </c>
      <c r="M1023" s="6">
        <v>2023</v>
      </c>
      <c r="N1023" s="7">
        <v>0</v>
      </c>
      <c r="O1023" s="11">
        <v>41803</v>
      </c>
      <c r="P1023" s="11">
        <v>41803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7</v>
      </c>
      <c r="M1024" s="6">
        <v>2021</v>
      </c>
      <c r="N1024" s="7">
        <v>0</v>
      </c>
      <c r="O1024" s="11">
        <v>41803</v>
      </c>
      <c r="P1024" s="11">
        <v>41803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2</v>
      </c>
      <c r="M1025" s="6">
        <v>2016</v>
      </c>
      <c r="N1025" s="7">
        <v>0</v>
      </c>
      <c r="O1025" s="11">
        <v>41803</v>
      </c>
      <c r="P1025" s="11">
        <v>41803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5</v>
      </c>
      <c r="M1026" s="6">
        <v>2019</v>
      </c>
      <c r="N1026" s="7">
        <v>0</v>
      </c>
      <c r="O1026" s="11">
        <v>41803</v>
      </c>
      <c r="P1026" s="11">
        <v>41803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0</v>
      </c>
      <c r="M1027" s="6">
        <v>2014</v>
      </c>
      <c r="N1027" s="7">
        <v>0</v>
      </c>
      <c r="O1027" s="11">
        <v>41803</v>
      </c>
      <c r="P1027" s="11">
        <v>41803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10</v>
      </c>
      <c r="M1028" s="6">
        <v>2024</v>
      </c>
      <c r="N1028" s="7">
        <v>0</v>
      </c>
      <c r="O1028" s="11">
        <v>41803</v>
      </c>
      <c r="P1028" s="11">
        <v>41803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3</v>
      </c>
      <c r="M1029" s="6">
        <v>2017</v>
      </c>
      <c r="N1029" s="7">
        <v>0</v>
      </c>
      <c r="O1029" s="11">
        <v>41803</v>
      </c>
      <c r="P1029" s="11">
        <v>41803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11</v>
      </c>
      <c r="M1030" s="6">
        <v>2025</v>
      </c>
      <c r="N1030" s="7">
        <v>0</v>
      </c>
      <c r="O1030" s="11">
        <v>41803</v>
      </c>
      <c r="P1030" s="11">
        <v>41803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3</v>
      </c>
      <c r="M1031" s="6">
        <v>2017</v>
      </c>
      <c r="N1031" s="7">
        <v>0.0788</v>
      </c>
      <c r="O1031" s="11">
        <v>41803</v>
      </c>
      <c r="P1031" s="11">
        <v>41803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11</v>
      </c>
      <c r="M1032" s="6">
        <v>2025</v>
      </c>
      <c r="N1032" s="7">
        <v>0.0263</v>
      </c>
      <c r="O1032" s="11">
        <v>41803</v>
      </c>
      <c r="P1032" s="11">
        <v>41803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2</v>
      </c>
      <c r="M1033" s="6">
        <v>2016</v>
      </c>
      <c r="N1033" s="7">
        <v>0.0499</v>
      </c>
      <c r="O1033" s="11">
        <v>41803</v>
      </c>
      <c r="P1033" s="11">
        <v>41803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0</v>
      </c>
      <c r="M1034" s="6">
        <v>2014</v>
      </c>
      <c r="N1034" s="7">
        <v>0.0453</v>
      </c>
      <c r="O1034" s="11">
        <v>41803</v>
      </c>
      <c r="P1034" s="11">
        <v>41803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12</v>
      </c>
      <c r="M1035" s="6">
        <v>2026</v>
      </c>
      <c r="N1035" s="7">
        <v>0.0221</v>
      </c>
      <c r="O1035" s="11">
        <v>41803</v>
      </c>
      <c r="P1035" s="11">
        <v>41803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7</v>
      </c>
      <c r="M1036" s="6">
        <v>2021</v>
      </c>
      <c r="N1036" s="7">
        <v>0.0674</v>
      </c>
      <c r="O1036" s="11">
        <v>41803</v>
      </c>
      <c r="P1036" s="11">
        <v>41803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8</v>
      </c>
      <c r="M1037" s="6">
        <v>2022</v>
      </c>
      <c r="N1037" s="7">
        <v>0.0524</v>
      </c>
      <c r="O1037" s="11">
        <v>41803</v>
      </c>
      <c r="P1037" s="11">
        <v>41803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770</v>
      </c>
      <c r="H1038" s="10" t="s">
        <v>256</v>
      </c>
      <c r="I1038" s="10"/>
      <c r="J1038" s="10" t="s">
        <v>247</v>
      </c>
      <c r="K1038" s="10" t="b">
        <v>1</v>
      </c>
      <c r="L1038" s="10">
        <v>2</v>
      </c>
      <c r="M1038" s="6">
        <v>2016</v>
      </c>
      <c r="N1038" s="7">
        <v>0</v>
      </c>
      <c r="O1038" s="11">
        <v>41803</v>
      </c>
      <c r="P1038" s="11">
        <v>41803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4</v>
      </c>
      <c r="M1039" s="6">
        <v>2018</v>
      </c>
      <c r="N1039" s="7">
        <v>0.0711</v>
      </c>
      <c r="O1039" s="11">
        <v>41803</v>
      </c>
      <c r="P1039" s="11">
        <v>41803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6</v>
      </c>
      <c r="M1040" s="6">
        <v>2020</v>
      </c>
      <c r="N1040" s="7">
        <v>0.0736</v>
      </c>
      <c r="O1040" s="11">
        <v>41803</v>
      </c>
      <c r="P1040" s="11">
        <v>41803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10</v>
      </c>
      <c r="M1041" s="6">
        <v>2024</v>
      </c>
      <c r="N1041" s="7">
        <v>0.0271</v>
      </c>
      <c r="O1041" s="11">
        <v>41803</v>
      </c>
      <c r="P1041" s="11">
        <v>41803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5</v>
      </c>
      <c r="M1042" s="6">
        <v>2019</v>
      </c>
      <c r="N1042" s="7">
        <v>0.0698</v>
      </c>
      <c r="O1042" s="11">
        <v>41803</v>
      </c>
      <c r="P1042" s="11">
        <v>41803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1</v>
      </c>
      <c r="M1043" s="6">
        <v>2015</v>
      </c>
      <c r="N1043" s="7">
        <v>0.0549</v>
      </c>
      <c r="O1043" s="11">
        <v>41803</v>
      </c>
      <c r="P1043" s="11">
        <v>41803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9</v>
      </c>
      <c r="M1044" s="6">
        <v>2023</v>
      </c>
      <c r="N1044" s="7">
        <v>0.0309</v>
      </c>
      <c r="O1044" s="11">
        <v>41803</v>
      </c>
      <c r="P1044" s="11">
        <v>41803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4</v>
      </c>
      <c r="M1045" s="6">
        <v>2018</v>
      </c>
      <c r="N1045" s="7">
        <v>0</v>
      </c>
      <c r="O1045" s="11">
        <v>41803</v>
      </c>
      <c r="P1045" s="11">
        <v>41803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2</v>
      </c>
      <c r="M1046" s="6">
        <v>2016</v>
      </c>
      <c r="N1046" s="7">
        <v>1000000</v>
      </c>
      <c r="O1046" s="11">
        <v>41803</v>
      </c>
      <c r="P1046" s="11">
        <v>41803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0</v>
      </c>
      <c r="M1047" s="6">
        <v>2014</v>
      </c>
      <c r="N1047" s="7">
        <v>4515000</v>
      </c>
      <c r="O1047" s="11">
        <v>41803</v>
      </c>
      <c r="P1047" s="11">
        <v>41803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1</v>
      </c>
      <c r="M1048" s="6">
        <v>2015</v>
      </c>
      <c r="N1048" s="7">
        <v>2000000</v>
      </c>
      <c r="O1048" s="11">
        <v>41803</v>
      </c>
      <c r="P1048" s="11">
        <v>41803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3</v>
      </c>
      <c r="M1049" s="6">
        <v>2017</v>
      </c>
      <c r="N1049" s="7">
        <v>1000000</v>
      </c>
      <c r="O1049" s="11">
        <v>41803</v>
      </c>
      <c r="P1049" s="11">
        <v>41803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9</v>
      </c>
      <c r="M1050" s="6">
        <v>2023</v>
      </c>
      <c r="N1050" s="7">
        <v>0</v>
      </c>
      <c r="O1050" s="11">
        <v>41803</v>
      </c>
      <c r="P1050" s="11">
        <v>41803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5</v>
      </c>
      <c r="M1051" s="6">
        <v>2019</v>
      </c>
      <c r="N1051" s="7">
        <v>0</v>
      </c>
      <c r="O1051" s="11">
        <v>41803</v>
      </c>
      <c r="P1051" s="11">
        <v>41803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11</v>
      </c>
      <c r="M1052" s="6">
        <v>2025</v>
      </c>
      <c r="N1052" s="7">
        <v>0</v>
      </c>
      <c r="O1052" s="11">
        <v>41803</v>
      </c>
      <c r="P1052" s="11">
        <v>41803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8</v>
      </c>
      <c r="M1053" s="6">
        <v>2022</v>
      </c>
      <c r="N1053" s="7">
        <v>0</v>
      </c>
      <c r="O1053" s="11">
        <v>41803</v>
      </c>
      <c r="P1053" s="11">
        <v>41803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6</v>
      </c>
      <c r="M1054" s="6">
        <v>2020</v>
      </c>
      <c r="N1054" s="7">
        <v>0</v>
      </c>
      <c r="O1054" s="11">
        <v>41803</v>
      </c>
      <c r="P1054" s="11">
        <v>41803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10</v>
      </c>
      <c r="M1055" s="6">
        <v>2024</v>
      </c>
      <c r="N1055" s="7">
        <v>0</v>
      </c>
      <c r="O1055" s="11">
        <v>41803</v>
      </c>
      <c r="P1055" s="11">
        <v>41803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7</v>
      </c>
      <c r="M1056" s="6">
        <v>2021</v>
      </c>
      <c r="N1056" s="7">
        <v>0</v>
      </c>
      <c r="O1056" s="11">
        <v>41803</v>
      </c>
      <c r="P1056" s="11">
        <v>41803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12</v>
      </c>
      <c r="M1057" s="6">
        <v>2026</v>
      </c>
      <c r="N1057" s="7">
        <v>0</v>
      </c>
      <c r="O1057" s="11">
        <v>41803</v>
      </c>
      <c r="P1057" s="11">
        <v>41803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11</v>
      </c>
      <c r="M1058" s="6">
        <v>2025</v>
      </c>
      <c r="N1058" s="7">
        <v>0</v>
      </c>
      <c r="O1058" s="11">
        <v>41803</v>
      </c>
      <c r="P1058" s="11">
        <v>41803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</v>
      </c>
      <c r="M1059" s="6">
        <v>2015</v>
      </c>
      <c r="N1059" s="7">
        <v>0</v>
      </c>
      <c r="O1059" s="11">
        <v>41803</v>
      </c>
      <c r="P1059" s="11">
        <v>41803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7</v>
      </c>
      <c r="M1060" s="6">
        <v>2021</v>
      </c>
      <c r="N1060" s="7">
        <v>0</v>
      </c>
      <c r="O1060" s="11">
        <v>41803</v>
      </c>
      <c r="P1060" s="11">
        <v>41803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8</v>
      </c>
      <c r="M1061" s="6">
        <v>2022</v>
      </c>
      <c r="N1061" s="7">
        <v>0</v>
      </c>
      <c r="O1061" s="11">
        <v>41803</v>
      </c>
      <c r="P1061" s="11">
        <v>41803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6</v>
      </c>
      <c r="M1062" s="6">
        <v>2020</v>
      </c>
      <c r="N1062" s="7">
        <v>0</v>
      </c>
      <c r="O1062" s="11">
        <v>41803</v>
      </c>
      <c r="P1062" s="11">
        <v>41803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4</v>
      </c>
      <c r="M1063" s="6">
        <v>2018</v>
      </c>
      <c r="N1063" s="7">
        <v>0</v>
      </c>
      <c r="O1063" s="11">
        <v>41803</v>
      </c>
      <c r="P1063" s="11">
        <v>41803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9</v>
      </c>
      <c r="M1064" s="6">
        <v>2023</v>
      </c>
      <c r="N1064" s="7">
        <v>0</v>
      </c>
      <c r="O1064" s="11">
        <v>41803</v>
      </c>
      <c r="P1064" s="11">
        <v>41803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5</v>
      </c>
      <c r="M1065" s="6">
        <v>2019</v>
      </c>
      <c r="N1065" s="7">
        <v>0</v>
      </c>
      <c r="O1065" s="11">
        <v>41803</v>
      </c>
      <c r="P1065" s="11">
        <v>41803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10</v>
      </c>
      <c r="M1066" s="6">
        <v>2024</v>
      </c>
      <c r="N1066" s="7">
        <v>0</v>
      </c>
      <c r="O1066" s="11">
        <v>41803</v>
      </c>
      <c r="P1066" s="11">
        <v>41803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3</v>
      </c>
      <c r="M1067" s="6">
        <v>2017</v>
      </c>
      <c r="N1067" s="7">
        <v>0</v>
      </c>
      <c r="O1067" s="11">
        <v>41803</v>
      </c>
      <c r="P1067" s="11">
        <v>41803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0</v>
      </c>
      <c r="M1068" s="6">
        <v>2014</v>
      </c>
      <c r="N1068" s="7">
        <v>0</v>
      </c>
      <c r="O1068" s="11">
        <v>41803</v>
      </c>
      <c r="P1068" s="11">
        <v>41803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12</v>
      </c>
      <c r="M1069" s="6">
        <v>2026</v>
      </c>
      <c r="N1069" s="7">
        <v>0</v>
      </c>
      <c r="O1069" s="11">
        <v>41803</v>
      </c>
      <c r="P1069" s="11">
        <v>41803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11</v>
      </c>
      <c r="M1070" s="6">
        <v>2025</v>
      </c>
      <c r="N1070" s="7">
        <v>0</v>
      </c>
      <c r="O1070" s="11">
        <v>41803</v>
      </c>
      <c r="P1070" s="11">
        <v>41803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7</v>
      </c>
      <c r="M1071" s="6">
        <v>2021</v>
      </c>
      <c r="N1071" s="7">
        <v>0</v>
      </c>
      <c r="O1071" s="11">
        <v>41803</v>
      </c>
      <c r="P1071" s="11">
        <v>41803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9</v>
      </c>
      <c r="M1072" s="6">
        <v>2023</v>
      </c>
      <c r="N1072" s="7">
        <v>0</v>
      </c>
      <c r="O1072" s="11">
        <v>41803</v>
      </c>
      <c r="P1072" s="11">
        <v>41803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0</v>
      </c>
      <c r="M1073" s="6">
        <v>2014</v>
      </c>
      <c r="N1073" s="7">
        <v>0</v>
      </c>
      <c r="O1073" s="11">
        <v>41803</v>
      </c>
      <c r="P1073" s="11">
        <v>41803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3</v>
      </c>
      <c r="M1074" s="6">
        <v>2017</v>
      </c>
      <c r="N1074" s="7">
        <v>0</v>
      </c>
      <c r="O1074" s="11">
        <v>41803</v>
      </c>
      <c r="P1074" s="11">
        <v>41803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5</v>
      </c>
      <c r="M1075" s="6">
        <v>2019</v>
      </c>
      <c r="N1075" s="7">
        <v>0</v>
      </c>
      <c r="O1075" s="11">
        <v>41803</v>
      </c>
      <c r="P1075" s="11">
        <v>41803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8</v>
      </c>
      <c r="M1076" s="6">
        <v>2022</v>
      </c>
      <c r="N1076" s="7">
        <v>0</v>
      </c>
      <c r="O1076" s="11">
        <v>41803</v>
      </c>
      <c r="P1076" s="11">
        <v>41803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1</v>
      </c>
      <c r="M1077" s="6">
        <v>2015</v>
      </c>
      <c r="N1077" s="7">
        <v>0</v>
      </c>
      <c r="O1077" s="11">
        <v>41803</v>
      </c>
      <c r="P1077" s="11">
        <v>41803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6</v>
      </c>
      <c r="M1078" s="6">
        <v>2020</v>
      </c>
      <c r="N1078" s="7">
        <v>0</v>
      </c>
      <c r="O1078" s="11">
        <v>41803</v>
      </c>
      <c r="P1078" s="11">
        <v>41803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2</v>
      </c>
      <c r="M1079" s="6">
        <v>2016</v>
      </c>
      <c r="N1079" s="7">
        <v>0</v>
      </c>
      <c r="O1079" s="11">
        <v>41803</v>
      </c>
      <c r="P1079" s="11">
        <v>41803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10</v>
      </c>
      <c r="M1080" s="6">
        <v>2024</v>
      </c>
      <c r="N1080" s="7">
        <v>0</v>
      </c>
      <c r="O1080" s="11">
        <v>41803</v>
      </c>
      <c r="P1080" s="11">
        <v>41803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4</v>
      </c>
      <c r="M1081" s="6">
        <v>2018</v>
      </c>
      <c r="N1081" s="7">
        <v>0</v>
      </c>
      <c r="O1081" s="11">
        <v>41803</v>
      </c>
      <c r="P1081" s="11">
        <v>41803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12</v>
      </c>
      <c r="M1082" s="6">
        <v>2026</v>
      </c>
      <c r="N1082" s="7">
        <v>0</v>
      </c>
      <c r="O1082" s="11">
        <v>41803</v>
      </c>
      <c r="P1082" s="11">
        <v>41803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8</v>
      </c>
      <c r="M1083" s="6">
        <v>2022</v>
      </c>
      <c r="N1083" s="7">
        <v>0</v>
      </c>
      <c r="O1083" s="11">
        <v>41803</v>
      </c>
      <c r="P1083" s="11">
        <v>41803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0</v>
      </c>
      <c r="M1084" s="6">
        <v>2014</v>
      </c>
      <c r="N1084" s="7">
        <v>0</v>
      </c>
      <c r="O1084" s="11">
        <v>41803</v>
      </c>
      <c r="P1084" s="11">
        <v>41803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6</v>
      </c>
      <c r="M1085" s="6">
        <v>2020</v>
      </c>
      <c r="N1085" s="7">
        <v>0</v>
      </c>
      <c r="O1085" s="11">
        <v>41803</v>
      </c>
      <c r="P1085" s="11">
        <v>41803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7</v>
      </c>
      <c r="M1086" s="6">
        <v>2021</v>
      </c>
      <c r="N1086" s="7">
        <v>0</v>
      </c>
      <c r="O1086" s="11">
        <v>41803</v>
      </c>
      <c r="P1086" s="11">
        <v>41803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4</v>
      </c>
      <c r="M1087" s="6">
        <v>2018</v>
      </c>
      <c r="N1087" s="7">
        <v>0</v>
      </c>
      <c r="O1087" s="11">
        <v>41803</v>
      </c>
      <c r="P1087" s="11">
        <v>41803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3</v>
      </c>
      <c r="M1088" s="6">
        <v>2017</v>
      </c>
      <c r="N1088" s="7">
        <v>0</v>
      </c>
      <c r="O1088" s="11">
        <v>41803</v>
      </c>
      <c r="P1088" s="11">
        <v>41803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5</v>
      </c>
      <c r="M1089" s="6">
        <v>2019</v>
      </c>
      <c r="N1089" s="7">
        <v>0</v>
      </c>
      <c r="O1089" s="11">
        <v>41803</v>
      </c>
      <c r="P1089" s="11">
        <v>41803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2</v>
      </c>
      <c r="M1090" s="6">
        <v>2016</v>
      </c>
      <c r="N1090" s="7">
        <v>0</v>
      </c>
      <c r="O1090" s="11">
        <v>41803</v>
      </c>
      <c r="P1090" s="11">
        <v>41803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9</v>
      </c>
      <c r="M1091" s="6">
        <v>2023</v>
      </c>
      <c r="N1091" s="7">
        <v>0</v>
      </c>
      <c r="O1091" s="11">
        <v>41803</v>
      </c>
      <c r="P1091" s="11">
        <v>41803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12</v>
      </c>
      <c r="M1092" s="6">
        <v>2026</v>
      </c>
      <c r="N1092" s="7">
        <v>0</v>
      </c>
      <c r="O1092" s="11">
        <v>41803</v>
      </c>
      <c r="P1092" s="11">
        <v>41803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10</v>
      </c>
      <c r="M1093" s="6">
        <v>2024</v>
      </c>
      <c r="N1093" s="7">
        <v>0</v>
      </c>
      <c r="O1093" s="11">
        <v>41803</v>
      </c>
      <c r="P1093" s="11">
        <v>41803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11</v>
      </c>
      <c r="M1094" s="6">
        <v>2025</v>
      </c>
      <c r="N1094" s="7">
        <v>0</v>
      </c>
      <c r="O1094" s="11">
        <v>41803</v>
      </c>
      <c r="P1094" s="11">
        <v>41803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1</v>
      </c>
      <c r="M1095" s="6">
        <v>2015</v>
      </c>
      <c r="N1095" s="7">
        <v>0</v>
      </c>
      <c r="O1095" s="11">
        <v>41803</v>
      </c>
      <c r="P1095" s="11">
        <v>41803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6</v>
      </c>
      <c r="M1096" s="6">
        <v>2020</v>
      </c>
      <c r="N1096" s="7">
        <v>0</v>
      </c>
      <c r="O1096" s="11">
        <v>41803</v>
      </c>
      <c r="P1096" s="11">
        <v>41803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1</v>
      </c>
      <c r="M1097" s="6">
        <v>2015</v>
      </c>
      <c r="N1097" s="7">
        <v>0</v>
      </c>
      <c r="O1097" s="11">
        <v>41803</v>
      </c>
      <c r="P1097" s="11">
        <v>41803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11</v>
      </c>
      <c r="M1098" s="6">
        <v>2025</v>
      </c>
      <c r="N1098" s="7">
        <v>0</v>
      </c>
      <c r="O1098" s="11">
        <v>41803</v>
      </c>
      <c r="P1098" s="11">
        <v>41803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0</v>
      </c>
      <c r="M1099" s="6">
        <v>2014</v>
      </c>
      <c r="N1099" s="7">
        <v>0</v>
      </c>
      <c r="O1099" s="11">
        <v>41803</v>
      </c>
      <c r="P1099" s="11">
        <v>41803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5</v>
      </c>
      <c r="M1100" s="6">
        <v>2019</v>
      </c>
      <c r="N1100" s="7">
        <v>0</v>
      </c>
      <c r="O1100" s="11">
        <v>41803</v>
      </c>
      <c r="P1100" s="11">
        <v>41803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8</v>
      </c>
      <c r="M1101" s="6">
        <v>2022</v>
      </c>
      <c r="N1101" s="7">
        <v>0</v>
      </c>
      <c r="O1101" s="11">
        <v>41803</v>
      </c>
      <c r="P1101" s="11">
        <v>41803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3</v>
      </c>
      <c r="M1102" s="6">
        <v>2017</v>
      </c>
      <c r="N1102" s="7">
        <v>0</v>
      </c>
      <c r="O1102" s="11">
        <v>41803</v>
      </c>
      <c r="P1102" s="11">
        <v>41803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10</v>
      </c>
      <c r="M1103" s="6">
        <v>2024</v>
      </c>
      <c r="N1103" s="7">
        <v>0</v>
      </c>
      <c r="O1103" s="11">
        <v>41803</v>
      </c>
      <c r="P1103" s="11">
        <v>41803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9</v>
      </c>
      <c r="M1104" s="6">
        <v>2023</v>
      </c>
      <c r="N1104" s="7">
        <v>0</v>
      </c>
      <c r="O1104" s="11">
        <v>41803</v>
      </c>
      <c r="P1104" s="11">
        <v>41803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4</v>
      </c>
      <c r="M1105" s="6">
        <v>2018</v>
      </c>
      <c r="N1105" s="7">
        <v>0</v>
      </c>
      <c r="O1105" s="11">
        <v>41803</v>
      </c>
      <c r="P1105" s="11">
        <v>41803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2</v>
      </c>
      <c r="M1106" s="6">
        <v>2016</v>
      </c>
      <c r="N1106" s="7">
        <v>0</v>
      </c>
      <c r="O1106" s="11">
        <v>41803</v>
      </c>
      <c r="P1106" s="11">
        <v>41803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12</v>
      </c>
      <c r="M1107" s="6">
        <v>2026</v>
      </c>
      <c r="N1107" s="7">
        <v>0</v>
      </c>
      <c r="O1107" s="11">
        <v>41803</v>
      </c>
      <c r="P1107" s="11">
        <v>41803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7</v>
      </c>
      <c r="M1108" s="6">
        <v>2021</v>
      </c>
      <c r="N1108" s="7">
        <v>0</v>
      </c>
      <c r="O1108" s="11">
        <v>41803</v>
      </c>
      <c r="P1108" s="11">
        <v>41803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12</v>
      </c>
      <c r="M1109" s="6">
        <v>2026</v>
      </c>
      <c r="N1109" s="7">
        <v>222900</v>
      </c>
      <c r="O1109" s="11">
        <v>41803</v>
      </c>
      <c r="P1109" s="11">
        <v>41803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1661200</v>
      </c>
      <c r="O1110" s="11">
        <v>41803</v>
      </c>
      <c r="P1110" s="11">
        <v>41803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8</v>
      </c>
      <c r="M1111" s="6">
        <v>2022</v>
      </c>
      <c r="N1111" s="7">
        <v>11080516</v>
      </c>
      <c r="O1111" s="11">
        <v>41803</v>
      </c>
      <c r="P1111" s="11">
        <v>41803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3</v>
      </c>
      <c r="M1112" s="6">
        <v>2017</v>
      </c>
      <c r="N1112" s="7">
        <v>17449096</v>
      </c>
      <c r="O1112" s="11">
        <v>41803</v>
      </c>
      <c r="P1112" s="11">
        <v>41803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1</v>
      </c>
      <c r="M1113" s="6">
        <v>2015</v>
      </c>
      <c r="N1113" s="7">
        <v>4428554.72</v>
      </c>
      <c r="O1113" s="11">
        <v>41803</v>
      </c>
      <c r="P1113" s="11">
        <v>41803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10</v>
      </c>
      <c r="M1114" s="6">
        <v>2024</v>
      </c>
      <c r="N1114" s="7">
        <v>1722022</v>
      </c>
      <c r="O1114" s="11">
        <v>41803</v>
      </c>
      <c r="P1114" s="11">
        <v>41803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2</v>
      </c>
      <c r="M1115" s="6">
        <v>2016</v>
      </c>
      <c r="N1115" s="7">
        <v>15449096</v>
      </c>
      <c r="O1115" s="11">
        <v>41803</v>
      </c>
      <c r="P1115" s="11">
        <v>41803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0</v>
      </c>
      <c r="M1116" s="6">
        <v>2014</v>
      </c>
      <c r="N1116" s="7">
        <v>0</v>
      </c>
      <c r="O1116" s="11">
        <v>41803</v>
      </c>
      <c r="P1116" s="11">
        <v>41803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4</v>
      </c>
      <c r="M1117" s="6">
        <v>2018</v>
      </c>
      <c r="N1117" s="7">
        <v>15226516</v>
      </c>
      <c r="O1117" s="11">
        <v>41803</v>
      </c>
      <c r="P1117" s="11">
        <v>41803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7</v>
      </c>
      <c r="M1118" s="6">
        <v>2021</v>
      </c>
      <c r="N1118" s="7">
        <v>16264516</v>
      </c>
      <c r="O1118" s="11">
        <v>41803</v>
      </c>
      <c r="P1118" s="11">
        <v>41803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9</v>
      </c>
      <c r="M1119" s="6">
        <v>2023</v>
      </c>
      <c r="N1119" s="7">
        <v>2904516</v>
      </c>
      <c r="O1119" s="11">
        <v>41803</v>
      </c>
      <c r="P1119" s="11">
        <v>41803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5</v>
      </c>
      <c r="M1120" s="6">
        <v>2019</v>
      </c>
      <c r="N1120" s="7">
        <v>15226516</v>
      </c>
      <c r="O1120" s="11">
        <v>41803</v>
      </c>
      <c r="P1120" s="11">
        <v>41803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6</v>
      </c>
      <c r="M1121" s="6">
        <v>2020</v>
      </c>
      <c r="N1121" s="7">
        <v>17704516</v>
      </c>
      <c r="O1121" s="11">
        <v>41803</v>
      </c>
      <c r="P1121" s="11">
        <v>41803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2</v>
      </c>
      <c r="M1122" s="6">
        <v>2016</v>
      </c>
      <c r="N1122" s="7">
        <v>162</v>
      </c>
      <c r="O1122" s="11">
        <v>41803</v>
      </c>
      <c r="P1122" s="11">
        <v>41803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8</v>
      </c>
      <c r="M1123" s="6">
        <v>2022</v>
      </c>
      <c r="N1123" s="7">
        <v>430</v>
      </c>
      <c r="O1123" s="11">
        <v>41803</v>
      </c>
      <c r="P1123" s="11">
        <v>41803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1</v>
      </c>
      <c r="M1124" s="6">
        <v>2015</v>
      </c>
      <c r="N1124" s="7">
        <v>47</v>
      </c>
      <c r="O1124" s="11">
        <v>41803</v>
      </c>
      <c r="P1124" s="11">
        <v>41803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11</v>
      </c>
      <c r="M1125" s="6">
        <v>2025</v>
      </c>
      <c r="N1125" s="7">
        <v>691</v>
      </c>
      <c r="O1125" s="11">
        <v>41803</v>
      </c>
      <c r="P1125" s="11">
        <v>41803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0</v>
      </c>
      <c r="M1126" s="6">
        <v>2014</v>
      </c>
      <c r="N1126" s="7">
        <v>76</v>
      </c>
      <c r="O1126" s="11">
        <v>41803</v>
      </c>
      <c r="P1126" s="11">
        <v>41803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12</v>
      </c>
      <c r="M1127" s="6">
        <v>2026</v>
      </c>
      <c r="N1127" s="7">
        <v>733</v>
      </c>
      <c r="O1127" s="11">
        <v>41803</v>
      </c>
      <c r="P1127" s="11">
        <v>41803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10</v>
      </c>
      <c r="M1128" s="6">
        <v>2024</v>
      </c>
      <c r="N1128" s="7">
        <v>683</v>
      </c>
      <c r="O1128" s="11">
        <v>41803</v>
      </c>
      <c r="P1128" s="11">
        <v>41803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7</v>
      </c>
      <c r="M1129" s="6">
        <v>2021</v>
      </c>
      <c r="N1129" s="7">
        <v>280</v>
      </c>
      <c r="O1129" s="11">
        <v>41803</v>
      </c>
      <c r="P1129" s="11">
        <v>41803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6</v>
      </c>
      <c r="M1130" s="6">
        <v>2020</v>
      </c>
      <c r="N1130" s="7">
        <v>227</v>
      </c>
      <c r="O1130" s="11">
        <v>41803</v>
      </c>
      <c r="P1130" s="11">
        <v>41803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3</v>
      </c>
      <c r="M1131" s="6">
        <v>2017</v>
      </c>
      <c r="N1131" s="7">
        <v>28</v>
      </c>
      <c r="O1131" s="11">
        <v>41803</v>
      </c>
      <c r="P1131" s="11">
        <v>41803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5</v>
      </c>
      <c r="M1132" s="6">
        <v>2019</v>
      </c>
      <c r="N1132" s="7">
        <v>246</v>
      </c>
      <c r="O1132" s="11">
        <v>41803</v>
      </c>
      <c r="P1132" s="11">
        <v>41803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4</v>
      </c>
      <c r="M1133" s="6">
        <v>2018</v>
      </c>
      <c r="N1133" s="7">
        <v>188</v>
      </c>
      <c r="O1133" s="11">
        <v>41803</v>
      </c>
      <c r="P1133" s="11">
        <v>41803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9</v>
      </c>
      <c r="M1134" s="6">
        <v>2023</v>
      </c>
      <c r="N1134" s="7">
        <v>645</v>
      </c>
      <c r="O1134" s="11">
        <v>41803</v>
      </c>
      <c r="P1134" s="11">
        <v>41803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620</v>
      </c>
      <c r="H1135" s="10" t="s">
        <v>79</v>
      </c>
      <c r="I1135" s="10"/>
      <c r="J1135" s="10" t="s">
        <v>80</v>
      </c>
      <c r="K1135" s="10" t="b">
        <v>1</v>
      </c>
      <c r="L1135" s="10">
        <v>1</v>
      </c>
      <c r="M1135" s="6">
        <v>2015</v>
      </c>
      <c r="N1135" s="7">
        <v>24076247.44</v>
      </c>
      <c r="O1135" s="11">
        <v>41803</v>
      </c>
      <c r="P1135" s="11">
        <v>41803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9</v>
      </c>
      <c r="M1136" s="6">
        <v>2023</v>
      </c>
      <c r="N1136" s="7">
        <v>0</v>
      </c>
      <c r="O1136" s="11">
        <v>41803</v>
      </c>
      <c r="P1136" s="11">
        <v>41803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7</v>
      </c>
      <c r="M1137" s="6">
        <v>2021</v>
      </c>
      <c r="N1137" s="7">
        <v>0</v>
      </c>
      <c r="O1137" s="11">
        <v>41803</v>
      </c>
      <c r="P1137" s="11">
        <v>41803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11</v>
      </c>
      <c r="M1138" s="6">
        <v>2025</v>
      </c>
      <c r="N1138" s="7">
        <v>0</v>
      </c>
      <c r="O1138" s="11">
        <v>41803</v>
      </c>
      <c r="P1138" s="11">
        <v>41803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12</v>
      </c>
      <c r="M1139" s="6">
        <v>2026</v>
      </c>
      <c r="N1139" s="7">
        <v>0</v>
      </c>
      <c r="O1139" s="11">
        <v>41803</v>
      </c>
      <c r="P1139" s="11">
        <v>41803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4</v>
      </c>
      <c r="M1140" s="6">
        <v>2018</v>
      </c>
      <c r="N1140" s="7">
        <v>0</v>
      </c>
      <c r="O1140" s="11">
        <v>41803</v>
      </c>
      <c r="P1140" s="11">
        <v>41803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5</v>
      </c>
      <c r="M1141" s="6">
        <v>2019</v>
      </c>
      <c r="N1141" s="7">
        <v>0</v>
      </c>
      <c r="O1141" s="11">
        <v>41803</v>
      </c>
      <c r="P1141" s="11">
        <v>41803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10</v>
      </c>
      <c r="M1142" s="6">
        <v>2024</v>
      </c>
      <c r="N1142" s="7">
        <v>0</v>
      </c>
      <c r="O1142" s="11">
        <v>41803</v>
      </c>
      <c r="P1142" s="11">
        <v>41803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2</v>
      </c>
      <c r="M1143" s="6">
        <v>2016</v>
      </c>
      <c r="N1143" s="7">
        <v>7635000</v>
      </c>
      <c r="O1143" s="11">
        <v>41803</v>
      </c>
      <c r="P1143" s="11">
        <v>41803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0</v>
      </c>
      <c r="M1144" s="6">
        <v>2014</v>
      </c>
      <c r="N1144" s="7">
        <v>18242792.17</v>
      </c>
      <c r="O1144" s="11">
        <v>41803</v>
      </c>
      <c r="P1144" s="11">
        <v>41803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3</v>
      </c>
      <c r="M1145" s="6">
        <v>2017</v>
      </c>
      <c r="N1145" s="7">
        <v>0</v>
      </c>
      <c r="O1145" s="11">
        <v>41803</v>
      </c>
      <c r="P1145" s="11">
        <v>41803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6</v>
      </c>
      <c r="M1146" s="6">
        <v>2020</v>
      </c>
      <c r="N1146" s="7">
        <v>0</v>
      </c>
      <c r="O1146" s="11">
        <v>41803</v>
      </c>
      <c r="P1146" s="11">
        <v>41803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8</v>
      </c>
      <c r="M1147" s="6">
        <v>2022</v>
      </c>
      <c r="N1147" s="7">
        <v>0</v>
      </c>
      <c r="O1147" s="11">
        <v>41803</v>
      </c>
      <c r="P1147" s="11">
        <v>41803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7</v>
      </c>
      <c r="M1148" s="6">
        <v>2021</v>
      </c>
      <c r="N1148" s="7">
        <v>1400000</v>
      </c>
      <c r="O1148" s="11">
        <v>41803</v>
      </c>
      <c r="P1148" s="11">
        <v>41803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0</v>
      </c>
      <c r="M1149" s="6">
        <v>2014</v>
      </c>
      <c r="N1149" s="7">
        <v>5100000</v>
      </c>
      <c r="O1149" s="11">
        <v>41803</v>
      </c>
      <c r="P1149" s="11">
        <v>41803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6</v>
      </c>
      <c r="M1150" s="6">
        <v>2020</v>
      </c>
      <c r="N1150" s="7">
        <v>2300000</v>
      </c>
      <c r="O1150" s="11">
        <v>41803</v>
      </c>
      <c r="P1150" s="11">
        <v>41803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1</v>
      </c>
      <c r="M1151" s="6">
        <v>2015</v>
      </c>
      <c r="N1151" s="7">
        <v>4600000</v>
      </c>
      <c r="O1151" s="11">
        <v>41803</v>
      </c>
      <c r="P1151" s="11">
        <v>41803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9</v>
      </c>
      <c r="M1152" s="6">
        <v>2023</v>
      </c>
      <c r="N1152" s="7">
        <v>300000</v>
      </c>
      <c r="O1152" s="11">
        <v>41803</v>
      </c>
      <c r="P1152" s="11">
        <v>41803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3</v>
      </c>
      <c r="M1153" s="6">
        <v>2017</v>
      </c>
      <c r="N1153" s="7">
        <v>4000000</v>
      </c>
      <c r="O1153" s="11">
        <v>41803</v>
      </c>
      <c r="P1153" s="11">
        <v>41803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4</v>
      </c>
      <c r="M1154" s="6">
        <v>2018</v>
      </c>
      <c r="N1154" s="7">
        <v>3300000</v>
      </c>
      <c r="O1154" s="11">
        <v>41803</v>
      </c>
      <c r="P1154" s="11">
        <v>41803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11</v>
      </c>
      <c r="M1155" s="6">
        <v>2025</v>
      </c>
      <c r="N1155" s="7">
        <v>100000</v>
      </c>
      <c r="O1155" s="11">
        <v>41803</v>
      </c>
      <c r="P1155" s="11">
        <v>41803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12</v>
      </c>
      <c r="M1156" s="6">
        <v>2026</v>
      </c>
      <c r="N1156" s="7">
        <v>50000</v>
      </c>
      <c r="O1156" s="11">
        <v>41803</v>
      </c>
      <c r="P1156" s="11">
        <v>41803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2</v>
      </c>
      <c r="M1157" s="6">
        <v>2016</v>
      </c>
      <c r="N1157" s="7">
        <v>4600000</v>
      </c>
      <c r="O1157" s="11">
        <v>41803</v>
      </c>
      <c r="P1157" s="11">
        <v>41803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5</v>
      </c>
      <c r="M1158" s="6">
        <v>2019</v>
      </c>
      <c r="N1158" s="7">
        <v>3000000</v>
      </c>
      <c r="O1158" s="11">
        <v>41803</v>
      </c>
      <c r="P1158" s="11">
        <v>41803</v>
      </c>
    </row>
    <row r="1159" spans="1:16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10</v>
      </c>
      <c r="M1159" s="6">
        <v>2024</v>
      </c>
      <c r="N1159" s="7">
        <v>150000</v>
      </c>
      <c r="O1159" s="11">
        <v>41803</v>
      </c>
      <c r="P1159" s="11">
        <v>41803</v>
      </c>
    </row>
    <row r="1160" spans="1:16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8</v>
      </c>
      <c r="M1160" s="6">
        <v>2022</v>
      </c>
      <c r="N1160" s="7">
        <v>700000</v>
      </c>
      <c r="O1160" s="11">
        <v>41803</v>
      </c>
      <c r="P1160" s="11">
        <v>41803</v>
      </c>
    </row>
    <row r="1161" spans="1:16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4</v>
      </c>
      <c r="M1161" s="6">
        <v>2018</v>
      </c>
      <c r="N1161" s="7">
        <v>0</v>
      </c>
      <c r="O1161" s="11">
        <v>41803</v>
      </c>
      <c r="P1161" s="11">
        <v>41803</v>
      </c>
    </row>
    <row r="1162" spans="1:16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6</v>
      </c>
      <c r="M1162" s="6">
        <v>2020</v>
      </c>
      <c r="N1162" s="7">
        <v>0</v>
      </c>
      <c r="O1162" s="11">
        <v>41803</v>
      </c>
      <c r="P1162" s="11">
        <v>41803</v>
      </c>
    </row>
    <row r="1163" spans="1:16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8</v>
      </c>
      <c r="M1163" s="6">
        <v>2022</v>
      </c>
      <c r="N1163" s="7">
        <v>0</v>
      </c>
      <c r="O1163" s="11">
        <v>41803</v>
      </c>
      <c r="P1163" s="11">
        <v>41803</v>
      </c>
    </row>
    <row r="1164" spans="1:16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1</v>
      </c>
      <c r="M1164" s="6">
        <v>2015</v>
      </c>
      <c r="N1164" s="7">
        <v>110243000</v>
      </c>
      <c r="O1164" s="11">
        <v>41803</v>
      </c>
      <c r="P1164" s="11">
        <v>41803</v>
      </c>
    </row>
    <row r="1165" spans="1:16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10</v>
      </c>
      <c r="M1165" s="6">
        <v>2024</v>
      </c>
      <c r="N1165" s="7">
        <v>0</v>
      </c>
      <c r="O1165" s="11">
        <v>41803</v>
      </c>
      <c r="P1165" s="11">
        <v>41803</v>
      </c>
    </row>
    <row r="1166" spans="1:16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3</v>
      </c>
      <c r="M1166" s="6">
        <v>2017</v>
      </c>
      <c r="N1166" s="7">
        <v>113200000</v>
      </c>
      <c r="O1166" s="11">
        <v>41803</v>
      </c>
      <c r="P1166" s="11">
        <v>41803</v>
      </c>
    </row>
    <row r="1167" spans="1:16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11</v>
      </c>
      <c r="M1167" s="6">
        <v>2025</v>
      </c>
      <c r="N1167" s="7">
        <v>0</v>
      </c>
      <c r="O1167" s="11">
        <v>41803</v>
      </c>
      <c r="P1167" s="11">
        <v>41803</v>
      </c>
    </row>
    <row r="1168" spans="1:16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9</v>
      </c>
      <c r="M1168" s="6">
        <v>2023</v>
      </c>
      <c r="N1168" s="7">
        <v>0</v>
      </c>
      <c r="O1168" s="11">
        <v>41803</v>
      </c>
      <c r="P1168" s="11">
        <v>41803</v>
      </c>
    </row>
    <row r="1169" spans="1:16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2</v>
      </c>
      <c r="M1169" s="6">
        <v>2016</v>
      </c>
      <c r="N1169" s="7">
        <v>111896000</v>
      </c>
      <c r="O1169" s="11">
        <v>41803</v>
      </c>
      <c r="P1169" s="11">
        <v>41803</v>
      </c>
    </row>
    <row r="1170" spans="1:16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0</v>
      </c>
      <c r="M1170" s="6">
        <v>2014</v>
      </c>
      <c r="N1170" s="7">
        <v>108560693.52</v>
      </c>
      <c r="O1170" s="11">
        <v>41803</v>
      </c>
      <c r="P1170" s="11">
        <v>41803</v>
      </c>
    </row>
    <row r="1171" spans="1:16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12</v>
      </c>
      <c r="M1171" s="6">
        <v>2026</v>
      </c>
      <c r="N1171" s="7">
        <v>0</v>
      </c>
      <c r="O1171" s="11">
        <v>41803</v>
      </c>
      <c r="P1171" s="11">
        <v>41803</v>
      </c>
    </row>
    <row r="1172" spans="1:16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7</v>
      </c>
      <c r="M1172" s="6">
        <v>2021</v>
      </c>
      <c r="N1172" s="7">
        <v>0</v>
      </c>
      <c r="O1172" s="11">
        <v>41803</v>
      </c>
      <c r="P1172" s="11">
        <v>41803</v>
      </c>
    </row>
    <row r="1173" spans="1:16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5</v>
      </c>
      <c r="M1173" s="6">
        <v>2019</v>
      </c>
      <c r="N1173" s="7">
        <v>0</v>
      </c>
      <c r="O1173" s="11">
        <v>41803</v>
      </c>
      <c r="P1173" s="11">
        <v>41803</v>
      </c>
    </row>
    <row r="1174" spans="1:16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7</v>
      </c>
      <c r="M1174" s="6">
        <v>2021</v>
      </c>
      <c r="N1174" s="7">
        <v>0</v>
      </c>
      <c r="O1174" s="11">
        <v>41803</v>
      </c>
      <c r="P1174" s="11">
        <v>41803</v>
      </c>
    </row>
    <row r="1175" spans="1:16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10</v>
      </c>
      <c r="M1175" s="6">
        <v>2024</v>
      </c>
      <c r="N1175" s="7">
        <v>0</v>
      </c>
      <c r="O1175" s="11">
        <v>41803</v>
      </c>
      <c r="P1175" s="11">
        <v>41803</v>
      </c>
    </row>
    <row r="1176" spans="1:16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4</v>
      </c>
      <c r="M1176" s="6">
        <v>2018</v>
      </c>
      <c r="N1176" s="7">
        <v>0</v>
      </c>
      <c r="O1176" s="11">
        <v>41803</v>
      </c>
      <c r="P1176" s="11">
        <v>41803</v>
      </c>
    </row>
    <row r="1177" spans="1:16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9</v>
      </c>
      <c r="M1177" s="6">
        <v>2023</v>
      </c>
      <c r="N1177" s="7">
        <v>0</v>
      </c>
      <c r="O1177" s="11">
        <v>41803</v>
      </c>
      <c r="P1177" s="11">
        <v>41803</v>
      </c>
    </row>
    <row r="1178" spans="1:16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2</v>
      </c>
      <c r="M1178" s="6">
        <v>2016</v>
      </c>
      <c r="N1178" s="7">
        <v>0</v>
      </c>
      <c r="O1178" s="11">
        <v>41803</v>
      </c>
      <c r="P1178" s="11">
        <v>41803</v>
      </c>
    </row>
    <row r="1179" spans="1:16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12</v>
      </c>
      <c r="M1179" s="6">
        <v>2026</v>
      </c>
      <c r="N1179" s="7">
        <v>0</v>
      </c>
      <c r="O1179" s="11">
        <v>41803</v>
      </c>
      <c r="P1179" s="11">
        <v>41803</v>
      </c>
    </row>
    <row r="1180" spans="1:16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0</v>
      </c>
      <c r="M1180" s="6">
        <v>2014</v>
      </c>
      <c r="N1180" s="7">
        <v>3154742.54</v>
      </c>
      <c r="O1180" s="11">
        <v>41803</v>
      </c>
      <c r="P1180" s="11">
        <v>41803</v>
      </c>
    </row>
    <row r="1181" spans="1:16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5</v>
      </c>
      <c r="M1181" s="6">
        <v>2019</v>
      </c>
      <c r="N1181" s="7">
        <v>0</v>
      </c>
      <c r="O1181" s="11">
        <v>41803</v>
      </c>
      <c r="P1181" s="11">
        <v>41803</v>
      </c>
    </row>
    <row r="1182" spans="1:16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11</v>
      </c>
      <c r="M1182" s="6">
        <v>2025</v>
      </c>
      <c r="N1182" s="7">
        <v>0</v>
      </c>
      <c r="O1182" s="11">
        <v>41803</v>
      </c>
      <c r="P1182" s="11">
        <v>41803</v>
      </c>
    </row>
    <row r="1183" spans="1:16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</v>
      </c>
      <c r="M1183" s="6">
        <v>2015</v>
      </c>
      <c r="N1183" s="7">
        <v>1065184.75</v>
      </c>
      <c r="O1183" s="11">
        <v>41803</v>
      </c>
      <c r="P1183" s="11">
        <v>41803</v>
      </c>
    </row>
    <row r="1184" spans="1:16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8</v>
      </c>
      <c r="M1184" s="6">
        <v>2022</v>
      </c>
      <c r="N1184" s="7">
        <v>0</v>
      </c>
      <c r="O1184" s="11">
        <v>41803</v>
      </c>
      <c r="P1184" s="11">
        <v>41803</v>
      </c>
    </row>
    <row r="1185" spans="1:16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3</v>
      </c>
      <c r="M1185" s="6">
        <v>2017</v>
      </c>
      <c r="N1185" s="7">
        <v>0</v>
      </c>
      <c r="O1185" s="11">
        <v>41803</v>
      </c>
      <c r="P1185" s="11">
        <v>41803</v>
      </c>
    </row>
    <row r="1186" spans="1:16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6</v>
      </c>
      <c r="M1186" s="6">
        <v>2020</v>
      </c>
      <c r="N1186" s="7">
        <v>0</v>
      </c>
      <c r="O1186" s="11">
        <v>41803</v>
      </c>
      <c r="P1186" s="11">
        <v>41803</v>
      </c>
    </row>
    <row r="1187" spans="1:16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6</v>
      </c>
      <c r="M1187" s="6">
        <v>2020</v>
      </c>
      <c r="N1187" s="7">
        <v>0</v>
      </c>
      <c r="O1187" s="11">
        <v>41803</v>
      </c>
      <c r="P1187" s="11">
        <v>41803</v>
      </c>
    </row>
    <row r="1188" spans="1:16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8</v>
      </c>
      <c r="M1188" s="6">
        <v>2022</v>
      </c>
      <c r="N1188" s="7">
        <v>0</v>
      </c>
      <c r="O1188" s="11">
        <v>41803</v>
      </c>
      <c r="P1188" s="11">
        <v>41803</v>
      </c>
    </row>
    <row r="1189" spans="1:16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7</v>
      </c>
      <c r="M1189" s="6">
        <v>2021</v>
      </c>
      <c r="N1189" s="7">
        <v>0</v>
      </c>
      <c r="O1189" s="11">
        <v>41803</v>
      </c>
      <c r="P1189" s="11">
        <v>41803</v>
      </c>
    </row>
    <row r="1190" spans="1:16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10</v>
      </c>
      <c r="M1190" s="6">
        <v>2024</v>
      </c>
      <c r="N1190" s="7">
        <v>0</v>
      </c>
      <c r="O1190" s="11">
        <v>41803</v>
      </c>
      <c r="P1190" s="11">
        <v>41803</v>
      </c>
    </row>
    <row r="1191" spans="1:16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4</v>
      </c>
      <c r="M1191" s="6">
        <v>2018</v>
      </c>
      <c r="N1191" s="7">
        <v>0</v>
      </c>
      <c r="O1191" s="11">
        <v>41803</v>
      </c>
      <c r="P1191" s="11">
        <v>41803</v>
      </c>
    </row>
    <row r="1192" spans="1:16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0</v>
      </c>
      <c r="M1192" s="6">
        <v>2014</v>
      </c>
      <c r="N1192" s="7">
        <v>3591480.25</v>
      </c>
      <c r="O1192" s="11">
        <v>41803</v>
      </c>
      <c r="P1192" s="11">
        <v>41803</v>
      </c>
    </row>
    <row r="1193" spans="1:16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5</v>
      </c>
      <c r="M1193" s="6">
        <v>2019</v>
      </c>
      <c r="N1193" s="7">
        <v>0</v>
      </c>
      <c r="O1193" s="11">
        <v>41803</v>
      </c>
      <c r="P1193" s="11">
        <v>41803</v>
      </c>
    </row>
    <row r="1194" spans="1:16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11</v>
      </c>
      <c r="M1194" s="6">
        <v>2025</v>
      </c>
      <c r="N1194" s="7">
        <v>0</v>
      </c>
      <c r="O1194" s="11">
        <v>41803</v>
      </c>
      <c r="P1194" s="11">
        <v>41803</v>
      </c>
    </row>
    <row r="1195" spans="1:16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2</v>
      </c>
      <c r="M1195" s="6">
        <v>2016</v>
      </c>
      <c r="N1195" s="7">
        <v>0</v>
      </c>
      <c r="O1195" s="11">
        <v>41803</v>
      </c>
      <c r="P1195" s="11">
        <v>41803</v>
      </c>
    </row>
    <row r="1196" spans="1:16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</v>
      </c>
      <c r="M1196" s="6">
        <v>2015</v>
      </c>
      <c r="N1196" s="7">
        <v>1219063.77</v>
      </c>
      <c r="O1196" s="11">
        <v>41803</v>
      </c>
      <c r="P1196" s="11">
        <v>41803</v>
      </c>
    </row>
    <row r="1197" spans="1:16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9</v>
      </c>
      <c r="M1197" s="6">
        <v>2023</v>
      </c>
      <c r="N1197" s="7">
        <v>0</v>
      </c>
      <c r="O1197" s="11">
        <v>41803</v>
      </c>
      <c r="P1197" s="11">
        <v>41803</v>
      </c>
    </row>
    <row r="1198" spans="1:16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12</v>
      </c>
      <c r="M1198" s="6">
        <v>2026</v>
      </c>
      <c r="N1198" s="7">
        <v>0</v>
      </c>
      <c r="O1198" s="11">
        <v>41803</v>
      </c>
      <c r="P1198" s="11">
        <v>41803</v>
      </c>
    </row>
    <row r="1199" spans="1:16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3</v>
      </c>
      <c r="M1199" s="6">
        <v>2017</v>
      </c>
      <c r="N1199" s="7">
        <v>0</v>
      </c>
      <c r="O1199" s="11">
        <v>41803</v>
      </c>
      <c r="P1199" s="11">
        <v>41803</v>
      </c>
    </row>
    <row r="1200" spans="1:16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9</v>
      </c>
      <c r="M1200" s="6">
        <v>2023</v>
      </c>
      <c r="N1200" s="7">
        <v>0</v>
      </c>
      <c r="O1200" s="11">
        <v>41803</v>
      </c>
      <c r="P1200" s="11">
        <v>41803</v>
      </c>
    </row>
    <row r="1201" spans="1:16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10</v>
      </c>
      <c r="M1201" s="6">
        <v>2024</v>
      </c>
      <c r="N1201" s="7">
        <v>0</v>
      </c>
      <c r="O1201" s="11">
        <v>41803</v>
      </c>
      <c r="P1201" s="11">
        <v>41803</v>
      </c>
    </row>
    <row r="1202" spans="1:16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8</v>
      </c>
      <c r="M1202" s="6">
        <v>2022</v>
      </c>
      <c r="N1202" s="7">
        <v>0</v>
      </c>
      <c r="O1202" s="11">
        <v>41803</v>
      </c>
      <c r="P1202" s="11">
        <v>41803</v>
      </c>
    </row>
    <row r="1203" spans="1:16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12</v>
      </c>
      <c r="M1203" s="6">
        <v>2026</v>
      </c>
      <c r="N1203" s="7">
        <v>0</v>
      </c>
      <c r="O1203" s="11">
        <v>41803</v>
      </c>
      <c r="P1203" s="11">
        <v>41803</v>
      </c>
    </row>
    <row r="1204" spans="1:16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4</v>
      </c>
      <c r="M1204" s="6">
        <v>2018</v>
      </c>
      <c r="N1204" s="7">
        <v>9963</v>
      </c>
      <c r="O1204" s="11">
        <v>41803</v>
      </c>
      <c r="P1204" s="11">
        <v>41803</v>
      </c>
    </row>
    <row r="1205" spans="1:16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7</v>
      </c>
      <c r="M1205" s="6">
        <v>2021</v>
      </c>
      <c r="N1205" s="7">
        <v>0</v>
      </c>
      <c r="O1205" s="11">
        <v>41803</v>
      </c>
      <c r="P1205" s="11">
        <v>41803</v>
      </c>
    </row>
    <row r="1206" spans="1:16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6</v>
      </c>
      <c r="M1206" s="6">
        <v>2020</v>
      </c>
      <c r="N1206" s="7">
        <v>0</v>
      </c>
      <c r="O1206" s="11">
        <v>41803</v>
      </c>
      <c r="P1206" s="11">
        <v>41803</v>
      </c>
    </row>
    <row r="1207" spans="1:16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1</v>
      </c>
      <c r="M1207" s="6">
        <v>2015</v>
      </c>
      <c r="N1207" s="7">
        <v>17711115.99</v>
      </c>
      <c r="O1207" s="11">
        <v>41803</v>
      </c>
      <c r="P1207" s="11">
        <v>41803</v>
      </c>
    </row>
    <row r="1208" spans="1:16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11</v>
      </c>
      <c r="M1208" s="6">
        <v>2025</v>
      </c>
      <c r="N1208" s="7">
        <v>0</v>
      </c>
      <c r="O1208" s="11">
        <v>41803</v>
      </c>
      <c r="P1208" s="11">
        <v>41803</v>
      </c>
    </row>
    <row r="1209" spans="1:16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2</v>
      </c>
      <c r="M1209" s="6">
        <v>2016</v>
      </c>
      <c r="N1209" s="7">
        <v>2655826</v>
      </c>
      <c r="O1209" s="11">
        <v>41803</v>
      </c>
      <c r="P1209" s="11">
        <v>41803</v>
      </c>
    </row>
    <row r="1210" spans="1:16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5</v>
      </c>
      <c r="M1210" s="6">
        <v>2019</v>
      </c>
      <c r="N1210" s="7">
        <v>9963</v>
      </c>
      <c r="O1210" s="11">
        <v>41803</v>
      </c>
      <c r="P1210" s="11">
        <v>41803</v>
      </c>
    </row>
    <row r="1211" spans="1:16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0</v>
      </c>
      <c r="M1211" s="6">
        <v>2014</v>
      </c>
      <c r="N1211" s="7">
        <v>23920365.56</v>
      </c>
      <c r="O1211" s="11">
        <v>41803</v>
      </c>
      <c r="P1211" s="11">
        <v>41803</v>
      </c>
    </row>
    <row r="1212" spans="1:16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3</v>
      </c>
      <c r="M1212" s="6">
        <v>2017</v>
      </c>
      <c r="N1212" s="7">
        <v>1509024</v>
      </c>
      <c r="O1212" s="11">
        <v>41803</v>
      </c>
      <c r="P1212" s="11">
        <v>41803</v>
      </c>
    </row>
    <row r="1213" spans="1:16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12</v>
      </c>
      <c r="M1213" s="6">
        <v>2026</v>
      </c>
      <c r="N1213" s="7">
        <v>0</v>
      </c>
      <c r="O1213" s="11">
        <v>41803</v>
      </c>
      <c r="P1213" s="11">
        <v>41803</v>
      </c>
    </row>
    <row r="1214" spans="1:16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2</v>
      </c>
      <c r="M1214" s="6">
        <v>2016</v>
      </c>
      <c r="N1214" s="7">
        <v>0</v>
      </c>
      <c r="O1214" s="11">
        <v>41803</v>
      </c>
      <c r="P1214" s="11">
        <v>41803</v>
      </c>
    </row>
    <row r="1215" spans="1:16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6</v>
      </c>
      <c r="M1215" s="6">
        <v>2020</v>
      </c>
      <c r="N1215" s="7">
        <v>0</v>
      </c>
      <c r="O1215" s="11">
        <v>41803</v>
      </c>
      <c r="P1215" s="11">
        <v>41803</v>
      </c>
    </row>
    <row r="1216" spans="1:16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9</v>
      </c>
      <c r="M1216" s="6">
        <v>2023</v>
      </c>
      <c r="N1216" s="7">
        <v>0</v>
      </c>
      <c r="O1216" s="11">
        <v>41803</v>
      </c>
      <c r="P1216" s="11">
        <v>41803</v>
      </c>
    </row>
    <row r="1217" spans="1:16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11</v>
      </c>
      <c r="M1217" s="6">
        <v>2025</v>
      </c>
      <c r="N1217" s="7">
        <v>0</v>
      </c>
      <c r="O1217" s="11">
        <v>41803</v>
      </c>
      <c r="P1217" s="11">
        <v>41803</v>
      </c>
    </row>
    <row r="1218" spans="1:16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8</v>
      </c>
      <c r="M1218" s="6">
        <v>2022</v>
      </c>
      <c r="N1218" s="7">
        <v>0</v>
      </c>
      <c r="O1218" s="11">
        <v>41803</v>
      </c>
      <c r="P1218" s="11">
        <v>41803</v>
      </c>
    </row>
    <row r="1219" spans="1:16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4</v>
      </c>
      <c r="M1219" s="6">
        <v>2018</v>
      </c>
      <c r="N1219" s="7">
        <v>0</v>
      </c>
      <c r="O1219" s="11">
        <v>41803</v>
      </c>
      <c r="P1219" s="11">
        <v>41803</v>
      </c>
    </row>
    <row r="1220" spans="1:16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1</v>
      </c>
      <c r="M1220" s="6">
        <v>2015</v>
      </c>
      <c r="N1220" s="7">
        <v>4999060.32</v>
      </c>
      <c r="O1220" s="11">
        <v>41803</v>
      </c>
      <c r="P1220" s="11">
        <v>41803</v>
      </c>
    </row>
    <row r="1221" spans="1:16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3</v>
      </c>
      <c r="M1221" s="6">
        <v>2017</v>
      </c>
      <c r="N1221" s="7">
        <v>0</v>
      </c>
      <c r="O1221" s="11">
        <v>41803</v>
      </c>
      <c r="P1221" s="11">
        <v>41803</v>
      </c>
    </row>
    <row r="1222" spans="1:16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5</v>
      </c>
      <c r="M1222" s="6">
        <v>2019</v>
      </c>
      <c r="N1222" s="7">
        <v>0</v>
      </c>
      <c r="O1222" s="11">
        <v>41803</v>
      </c>
      <c r="P1222" s="11">
        <v>41803</v>
      </c>
    </row>
    <row r="1223" spans="1:16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0</v>
      </c>
      <c r="M1223" s="6">
        <v>2014</v>
      </c>
      <c r="N1223" s="7">
        <v>8198338.44</v>
      </c>
      <c r="O1223" s="11">
        <v>41803</v>
      </c>
      <c r="P1223" s="11">
        <v>41803</v>
      </c>
    </row>
    <row r="1224" spans="1:16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7</v>
      </c>
      <c r="M1224" s="6">
        <v>2021</v>
      </c>
      <c r="N1224" s="7">
        <v>0</v>
      </c>
      <c r="O1224" s="11">
        <v>41803</v>
      </c>
      <c r="P1224" s="11">
        <v>41803</v>
      </c>
    </row>
    <row r="1225" spans="1:16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10</v>
      </c>
      <c r="M1225" s="6">
        <v>2024</v>
      </c>
      <c r="N1225" s="7">
        <v>0</v>
      </c>
      <c r="O1225" s="11">
        <v>41803</v>
      </c>
      <c r="P1225" s="11">
        <v>41803</v>
      </c>
    </row>
    <row r="1226" spans="1:16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2</v>
      </c>
      <c r="M1226" s="6">
        <v>2016</v>
      </c>
      <c r="N1226" s="7">
        <v>0</v>
      </c>
      <c r="O1226" s="11">
        <v>41803</v>
      </c>
      <c r="P1226" s="11">
        <v>41803</v>
      </c>
    </row>
    <row r="1227" spans="1:16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11</v>
      </c>
      <c r="M1227" s="6">
        <v>2025</v>
      </c>
      <c r="N1227" s="7">
        <v>0</v>
      </c>
      <c r="O1227" s="11">
        <v>41803</v>
      </c>
      <c r="P1227" s="11">
        <v>41803</v>
      </c>
    </row>
    <row r="1228" spans="1:16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6</v>
      </c>
      <c r="M1228" s="6">
        <v>2020</v>
      </c>
      <c r="N1228" s="7">
        <v>0</v>
      </c>
      <c r="O1228" s="11">
        <v>41803</v>
      </c>
      <c r="P1228" s="11">
        <v>41803</v>
      </c>
    </row>
    <row r="1229" spans="1:16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7</v>
      </c>
      <c r="M1229" s="6">
        <v>2021</v>
      </c>
      <c r="N1229" s="7">
        <v>0</v>
      </c>
      <c r="O1229" s="11">
        <v>41803</v>
      </c>
      <c r="P1229" s="11">
        <v>41803</v>
      </c>
    </row>
    <row r="1230" spans="1:16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3</v>
      </c>
      <c r="M1230" s="6">
        <v>2017</v>
      </c>
      <c r="N1230" s="7">
        <v>0</v>
      </c>
      <c r="O1230" s="11">
        <v>41803</v>
      </c>
      <c r="P1230" s="11">
        <v>41803</v>
      </c>
    </row>
    <row r="1231" spans="1:16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12</v>
      </c>
      <c r="M1231" s="6">
        <v>2026</v>
      </c>
      <c r="N1231" s="7">
        <v>0</v>
      </c>
      <c r="O1231" s="11">
        <v>41803</v>
      </c>
      <c r="P1231" s="11">
        <v>41803</v>
      </c>
    </row>
    <row r="1232" spans="1:16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10</v>
      </c>
      <c r="M1232" s="6">
        <v>2024</v>
      </c>
      <c r="N1232" s="7">
        <v>0</v>
      </c>
      <c r="O1232" s="11">
        <v>41803</v>
      </c>
      <c r="P1232" s="11">
        <v>41803</v>
      </c>
    </row>
    <row r="1233" spans="1:16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1</v>
      </c>
      <c r="M1233" s="6">
        <v>2015</v>
      </c>
      <c r="N1233" s="7">
        <v>998631.15</v>
      </c>
      <c r="O1233" s="11">
        <v>41803</v>
      </c>
      <c r="P1233" s="11">
        <v>41803</v>
      </c>
    </row>
    <row r="1234" spans="1:16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5</v>
      </c>
      <c r="M1234" s="6">
        <v>2019</v>
      </c>
      <c r="N1234" s="7">
        <v>0</v>
      </c>
      <c r="O1234" s="11">
        <v>41803</v>
      </c>
      <c r="P1234" s="11">
        <v>41803</v>
      </c>
    </row>
    <row r="1235" spans="1:16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0</v>
      </c>
      <c r="M1235" s="6">
        <v>2014</v>
      </c>
      <c r="N1235" s="7">
        <v>5140072.95</v>
      </c>
      <c r="O1235" s="11">
        <v>41803</v>
      </c>
      <c r="P1235" s="11">
        <v>41803</v>
      </c>
    </row>
    <row r="1236" spans="1:16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4</v>
      </c>
      <c r="M1236" s="6">
        <v>2018</v>
      </c>
      <c r="N1236" s="7">
        <v>0</v>
      </c>
      <c r="O1236" s="11">
        <v>41803</v>
      </c>
      <c r="P1236" s="11">
        <v>41803</v>
      </c>
    </row>
    <row r="1237" spans="1:16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8</v>
      </c>
      <c r="M1237" s="6">
        <v>2022</v>
      </c>
      <c r="N1237" s="7">
        <v>0</v>
      </c>
      <c r="O1237" s="11">
        <v>41803</v>
      </c>
      <c r="P1237" s="11">
        <v>41803</v>
      </c>
    </row>
    <row r="1238" spans="1:16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9</v>
      </c>
      <c r="M1238" s="6">
        <v>2023</v>
      </c>
      <c r="N1238" s="7">
        <v>0</v>
      </c>
      <c r="O1238" s="11">
        <v>41803</v>
      </c>
      <c r="P1238" s="11">
        <v>41803</v>
      </c>
    </row>
    <row r="1239" spans="1:16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7</v>
      </c>
      <c r="M1239" s="6">
        <v>2021</v>
      </c>
      <c r="N1239" s="7">
        <v>0</v>
      </c>
      <c r="O1239" s="11">
        <v>41803</v>
      </c>
      <c r="P1239" s="11">
        <v>41803</v>
      </c>
    </row>
    <row r="1240" spans="1:16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11">
        <v>41803</v>
      </c>
      <c r="P1240" s="11">
        <v>41803</v>
      </c>
    </row>
    <row r="1241" spans="1:16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4</v>
      </c>
      <c r="M1241" s="6">
        <v>2018</v>
      </c>
      <c r="N1241" s="7">
        <v>0</v>
      </c>
      <c r="O1241" s="11">
        <v>41803</v>
      </c>
      <c r="P1241" s="11">
        <v>41803</v>
      </c>
    </row>
    <row r="1242" spans="1:16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10</v>
      </c>
      <c r="M1242" s="6">
        <v>2024</v>
      </c>
      <c r="N1242" s="7">
        <v>0</v>
      </c>
      <c r="O1242" s="11">
        <v>41803</v>
      </c>
      <c r="P1242" s="11">
        <v>41803</v>
      </c>
    </row>
    <row r="1243" spans="1:16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3</v>
      </c>
      <c r="M1243" s="6">
        <v>2017</v>
      </c>
      <c r="N1243" s="7">
        <v>0</v>
      </c>
      <c r="O1243" s="11">
        <v>41803</v>
      </c>
      <c r="P1243" s="11">
        <v>41803</v>
      </c>
    </row>
    <row r="1244" spans="1:16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12</v>
      </c>
      <c r="M1244" s="6">
        <v>2026</v>
      </c>
      <c r="N1244" s="7">
        <v>0</v>
      </c>
      <c r="O1244" s="11">
        <v>41803</v>
      </c>
      <c r="P1244" s="11">
        <v>41803</v>
      </c>
    </row>
    <row r="1245" spans="1:16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1</v>
      </c>
      <c r="M1245" s="6">
        <v>2015</v>
      </c>
      <c r="N1245" s="7">
        <v>0</v>
      </c>
      <c r="O1245" s="11">
        <v>41803</v>
      </c>
      <c r="P1245" s="11">
        <v>41803</v>
      </c>
    </row>
    <row r="1246" spans="1:16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2</v>
      </c>
      <c r="M1246" s="6">
        <v>2016</v>
      </c>
      <c r="N1246" s="7">
        <v>0</v>
      </c>
      <c r="O1246" s="11">
        <v>41803</v>
      </c>
      <c r="P1246" s="11">
        <v>41803</v>
      </c>
    </row>
    <row r="1247" spans="1:16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6</v>
      </c>
      <c r="M1247" s="6">
        <v>2020</v>
      </c>
      <c r="N1247" s="7">
        <v>0</v>
      </c>
      <c r="O1247" s="11">
        <v>41803</v>
      </c>
      <c r="P1247" s="11">
        <v>41803</v>
      </c>
    </row>
    <row r="1248" spans="1:16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9</v>
      </c>
      <c r="M1248" s="6">
        <v>2023</v>
      </c>
      <c r="N1248" s="7">
        <v>0</v>
      </c>
      <c r="O1248" s="11">
        <v>41803</v>
      </c>
      <c r="P1248" s="11">
        <v>41803</v>
      </c>
    </row>
    <row r="1249" spans="1:16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0</v>
      </c>
      <c r="M1249" s="6">
        <v>2014</v>
      </c>
      <c r="N1249" s="7">
        <v>0</v>
      </c>
      <c r="O1249" s="11">
        <v>41803</v>
      </c>
      <c r="P1249" s="11">
        <v>41803</v>
      </c>
    </row>
    <row r="1250" spans="1:16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5</v>
      </c>
      <c r="M1250" s="6">
        <v>2019</v>
      </c>
      <c r="N1250" s="7">
        <v>0</v>
      </c>
      <c r="O1250" s="11">
        <v>41803</v>
      </c>
      <c r="P1250" s="11">
        <v>41803</v>
      </c>
    </row>
    <row r="1251" spans="1:16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8</v>
      </c>
      <c r="M1251" s="6">
        <v>2022</v>
      </c>
      <c r="N1251" s="7">
        <v>0</v>
      </c>
      <c r="O1251" s="11">
        <v>41803</v>
      </c>
      <c r="P1251" s="11">
        <v>41803</v>
      </c>
    </row>
    <row r="1252" spans="1:16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9</v>
      </c>
      <c r="M1252" s="6">
        <v>2023</v>
      </c>
      <c r="N1252" s="7">
        <v>0</v>
      </c>
      <c r="O1252" s="11">
        <v>41803</v>
      </c>
      <c r="P1252" s="11">
        <v>41803</v>
      </c>
    </row>
    <row r="1253" spans="1:16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1</v>
      </c>
      <c r="M1253" s="6">
        <v>2015</v>
      </c>
      <c r="N1253" s="7">
        <v>0</v>
      </c>
      <c r="O1253" s="11">
        <v>41803</v>
      </c>
      <c r="P1253" s="11">
        <v>41803</v>
      </c>
    </row>
    <row r="1254" spans="1:16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0</v>
      </c>
      <c r="M1254" s="6">
        <v>2014</v>
      </c>
      <c r="N1254" s="7">
        <v>0</v>
      </c>
      <c r="O1254" s="11">
        <v>41803</v>
      </c>
      <c r="P1254" s="11">
        <v>41803</v>
      </c>
    </row>
    <row r="1255" spans="1:16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6</v>
      </c>
      <c r="M1255" s="6">
        <v>2020</v>
      </c>
      <c r="N1255" s="7">
        <v>0</v>
      </c>
      <c r="O1255" s="11">
        <v>41803</v>
      </c>
      <c r="P1255" s="11">
        <v>41803</v>
      </c>
    </row>
    <row r="1256" spans="1:16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5</v>
      </c>
      <c r="M1256" s="6">
        <v>2019</v>
      </c>
      <c r="N1256" s="7">
        <v>0</v>
      </c>
      <c r="O1256" s="11">
        <v>41803</v>
      </c>
      <c r="P1256" s="11">
        <v>41803</v>
      </c>
    </row>
    <row r="1257" spans="1:16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3</v>
      </c>
      <c r="M1257" s="6">
        <v>2017</v>
      </c>
      <c r="N1257" s="7">
        <v>0</v>
      </c>
      <c r="O1257" s="11">
        <v>41803</v>
      </c>
      <c r="P1257" s="11">
        <v>41803</v>
      </c>
    </row>
    <row r="1258" spans="1:16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11</v>
      </c>
      <c r="M1258" s="6">
        <v>2025</v>
      </c>
      <c r="N1258" s="7">
        <v>0</v>
      </c>
      <c r="O1258" s="11">
        <v>41803</v>
      </c>
      <c r="P1258" s="11">
        <v>41803</v>
      </c>
    </row>
    <row r="1259" spans="1:16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4</v>
      </c>
      <c r="M1259" s="6">
        <v>2018</v>
      </c>
      <c r="N1259" s="7">
        <v>0</v>
      </c>
      <c r="O1259" s="11">
        <v>41803</v>
      </c>
      <c r="P1259" s="11">
        <v>41803</v>
      </c>
    </row>
    <row r="1260" spans="1:16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8</v>
      </c>
      <c r="M1260" s="6">
        <v>2022</v>
      </c>
      <c r="N1260" s="7">
        <v>0</v>
      </c>
      <c r="O1260" s="11">
        <v>41803</v>
      </c>
      <c r="P1260" s="11">
        <v>41803</v>
      </c>
    </row>
    <row r="1261" spans="1:16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7</v>
      </c>
      <c r="M1261" s="6">
        <v>2021</v>
      </c>
      <c r="N1261" s="7">
        <v>0</v>
      </c>
      <c r="O1261" s="11">
        <v>41803</v>
      </c>
      <c r="P1261" s="11">
        <v>41803</v>
      </c>
    </row>
    <row r="1262" spans="1:16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12</v>
      </c>
      <c r="M1262" s="6">
        <v>2026</v>
      </c>
      <c r="N1262" s="7">
        <v>0</v>
      </c>
      <c r="O1262" s="11">
        <v>41803</v>
      </c>
      <c r="P1262" s="11">
        <v>41803</v>
      </c>
    </row>
    <row r="1263" spans="1:16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10</v>
      </c>
      <c r="M1263" s="6">
        <v>2024</v>
      </c>
      <c r="N1263" s="7">
        <v>0</v>
      </c>
      <c r="O1263" s="11">
        <v>41803</v>
      </c>
      <c r="P1263" s="11">
        <v>41803</v>
      </c>
    </row>
    <row r="1264" spans="1:16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2</v>
      </c>
      <c r="M1264" s="6">
        <v>2016</v>
      </c>
      <c r="N1264" s="7">
        <v>0</v>
      </c>
      <c r="O1264" s="11">
        <v>41803</v>
      </c>
      <c r="P1264" s="11">
        <v>41803</v>
      </c>
    </row>
    <row r="1265" spans="1:16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2</v>
      </c>
      <c r="M1265" s="6">
        <v>2016</v>
      </c>
      <c r="N1265" s="7">
        <v>5049000</v>
      </c>
      <c r="O1265" s="11">
        <v>41803</v>
      </c>
      <c r="P1265" s="11">
        <v>41803</v>
      </c>
    </row>
    <row r="1266" spans="1:16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8</v>
      </c>
      <c r="M1266" s="6">
        <v>2022</v>
      </c>
      <c r="N1266" s="7">
        <v>0</v>
      </c>
      <c r="O1266" s="11">
        <v>41803</v>
      </c>
      <c r="P1266" s="11">
        <v>41803</v>
      </c>
    </row>
    <row r="1267" spans="1:16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4</v>
      </c>
      <c r="M1267" s="6">
        <v>2018</v>
      </c>
      <c r="N1267" s="7">
        <v>0</v>
      </c>
      <c r="O1267" s="11">
        <v>41803</v>
      </c>
      <c r="P1267" s="11">
        <v>41803</v>
      </c>
    </row>
    <row r="1268" spans="1:16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0</v>
      </c>
      <c r="M1268" s="6">
        <v>2014</v>
      </c>
      <c r="N1268" s="7">
        <v>4850000</v>
      </c>
      <c r="O1268" s="11">
        <v>41803</v>
      </c>
      <c r="P1268" s="11">
        <v>41803</v>
      </c>
    </row>
    <row r="1269" spans="1:16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6</v>
      </c>
      <c r="M1269" s="6">
        <v>2020</v>
      </c>
      <c r="N1269" s="7">
        <v>0</v>
      </c>
      <c r="O1269" s="11">
        <v>41803</v>
      </c>
      <c r="P1269" s="11">
        <v>41803</v>
      </c>
    </row>
    <row r="1270" spans="1:16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9</v>
      </c>
      <c r="M1270" s="6">
        <v>2023</v>
      </c>
      <c r="N1270" s="7">
        <v>0</v>
      </c>
      <c r="O1270" s="11">
        <v>41803</v>
      </c>
      <c r="P1270" s="11">
        <v>41803</v>
      </c>
    </row>
    <row r="1271" spans="1:16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10</v>
      </c>
      <c r="M1271" s="6">
        <v>2024</v>
      </c>
      <c r="N1271" s="7">
        <v>0</v>
      </c>
      <c r="O1271" s="11">
        <v>41803</v>
      </c>
      <c r="P1271" s="11">
        <v>41803</v>
      </c>
    </row>
    <row r="1272" spans="1:16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12</v>
      </c>
      <c r="M1272" s="6">
        <v>2026</v>
      </c>
      <c r="N1272" s="7">
        <v>0</v>
      </c>
      <c r="O1272" s="11">
        <v>41803</v>
      </c>
      <c r="P1272" s="11">
        <v>41803</v>
      </c>
    </row>
    <row r="1273" spans="1:16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11</v>
      </c>
      <c r="M1273" s="6">
        <v>2025</v>
      </c>
      <c r="N1273" s="7">
        <v>0</v>
      </c>
      <c r="O1273" s="11">
        <v>41803</v>
      </c>
      <c r="P1273" s="11">
        <v>41803</v>
      </c>
    </row>
    <row r="1274" spans="1:16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3</v>
      </c>
      <c r="M1274" s="6">
        <v>2017</v>
      </c>
      <c r="N1274" s="7">
        <v>5149980</v>
      </c>
      <c r="O1274" s="11">
        <v>41803</v>
      </c>
      <c r="P1274" s="11">
        <v>41803</v>
      </c>
    </row>
    <row r="1275" spans="1:16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7</v>
      </c>
      <c r="M1275" s="6">
        <v>2021</v>
      </c>
      <c r="N1275" s="7">
        <v>0</v>
      </c>
      <c r="O1275" s="11">
        <v>41803</v>
      </c>
      <c r="P1275" s="11">
        <v>41803</v>
      </c>
    </row>
    <row r="1276" spans="1:16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5</v>
      </c>
      <c r="M1276" s="6">
        <v>2019</v>
      </c>
      <c r="N1276" s="7">
        <v>0</v>
      </c>
      <c r="O1276" s="11">
        <v>41803</v>
      </c>
      <c r="P1276" s="11">
        <v>41803</v>
      </c>
    </row>
    <row r="1277" spans="1:16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</v>
      </c>
      <c r="M1277" s="6">
        <v>2015</v>
      </c>
      <c r="N1277" s="7">
        <v>4950000</v>
      </c>
      <c r="O1277" s="11">
        <v>41803</v>
      </c>
      <c r="P1277" s="11">
        <v>41803</v>
      </c>
    </row>
    <row r="1278" spans="1:16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5</v>
      </c>
      <c r="M1278" s="6">
        <v>2019</v>
      </c>
      <c r="N1278" s="7">
        <v>0</v>
      </c>
      <c r="O1278" s="11">
        <v>41803</v>
      </c>
      <c r="P1278" s="11">
        <v>41803</v>
      </c>
    </row>
    <row r="1279" spans="1:16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3</v>
      </c>
      <c r="M1279" s="6">
        <v>2017</v>
      </c>
      <c r="N1279" s="7">
        <v>52035000</v>
      </c>
      <c r="O1279" s="11">
        <v>41803</v>
      </c>
      <c r="P1279" s="11">
        <v>41803</v>
      </c>
    </row>
    <row r="1280" spans="1:16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12</v>
      </c>
      <c r="M1280" s="6">
        <v>2026</v>
      </c>
      <c r="N1280" s="7">
        <v>0</v>
      </c>
      <c r="O1280" s="11">
        <v>41803</v>
      </c>
      <c r="P1280" s="11">
        <v>41803</v>
      </c>
    </row>
    <row r="1281" spans="1:16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4</v>
      </c>
      <c r="M1281" s="6">
        <v>2018</v>
      </c>
      <c r="N1281" s="7">
        <v>0</v>
      </c>
      <c r="O1281" s="11">
        <v>41803</v>
      </c>
      <c r="P1281" s="11">
        <v>41803</v>
      </c>
    </row>
    <row r="1282" spans="1:16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1</v>
      </c>
      <c r="M1282" s="6">
        <v>2015</v>
      </c>
      <c r="N1282" s="7">
        <v>50509000</v>
      </c>
      <c r="O1282" s="11">
        <v>41803</v>
      </c>
      <c r="P1282" s="11">
        <v>41803</v>
      </c>
    </row>
    <row r="1283" spans="1:16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11</v>
      </c>
      <c r="M1283" s="6">
        <v>2025</v>
      </c>
      <c r="N1283" s="7">
        <v>0</v>
      </c>
      <c r="O1283" s="11">
        <v>41803</v>
      </c>
      <c r="P1283" s="11">
        <v>41803</v>
      </c>
    </row>
    <row r="1284" spans="1:16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6</v>
      </c>
      <c r="M1284" s="6">
        <v>2020</v>
      </c>
      <c r="N1284" s="7">
        <v>0</v>
      </c>
      <c r="O1284" s="11">
        <v>41803</v>
      </c>
      <c r="P1284" s="11">
        <v>41803</v>
      </c>
    </row>
    <row r="1285" spans="1:16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10</v>
      </c>
      <c r="M1285" s="6">
        <v>2024</v>
      </c>
      <c r="N1285" s="7">
        <v>0</v>
      </c>
      <c r="O1285" s="11">
        <v>41803</v>
      </c>
      <c r="P1285" s="11">
        <v>41803</v>
      </c>
    </row>
    <row r="1286" spans="1:16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8</v>
      </c>
      <c r="M1286" s="6">
        <v>2022</v>
      </c>
      <c r="N1286" s="7">
        <v>0</v>
      </c>
      <c r="O1286" s="11">
        <v>41803</v>
      </c>
      <c r="P1286" s="11">
        <v>41803</v>
      </c>
    </row>
    <row r="1287" spans="1:16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2</v>
      </c>
      <c r="M1287" s="6">
        <v>2016</v>
      </c>
      <c r="N1287" s="7">
        <v>51266600</v>
      </c>
      <c r="O1287" s="11">
        <v>41803</v>
      </c>
      <c r="P1287" s="11">
        <v>41803</v>
      </c>
    </row>
    <row r="1288" spans="1:16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9</v>
      </c>
      <c r="M1288" s="6">
        <v>2023</v>
      </c>
      <c r="N1288" s="7">
        <v>0</v>
      </c>
      <c r="O1288" s="11">
        <v>41803</v>
      </c>
      <c r="P1288" s="11">
        <v>41803</v>
      </c>
    </row>
    <row r="1289" spans="1:16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0</v>
      </c>
      <c r="M1289" s="6">
        <v>2014</v>
      </c>
      <c r="N1289" s="7">
        <v>49762981.12</v>
      </c>
      <c r="O1289" s="11">
        <v>41803</v>
      </c>
      <c r="P1289" s="11">
        <v>41803</v>
      </c>
    </row>
    <row r="1290" spans="1:16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7</v>
      </c>
      <c r="M1290" s="6">
        <v>2021</v>
      </c>
      <c r="N1290" s="7">
        <v>0</v>
      </c>
      <c r="O1290" s="11">
        <v>41803</v>
      </c>
      <c r="P1290" s="11">
        <v>41803</v>
      </c>
    </row>
    <row r="1291" spans="1:16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2</v>
      </c>
      <c r="M1291" s="6">
        <v>2016</v>
      </c>
      <c r="N1291" s="7">
        <v>0</v>
      </c>
      <c r="O1291" s="11">
        <v>41803</v>
      </c>
      <c r="P1291" s="11">
        <v>41803</v>
      </c>
    </row>
    <row r="1292" spans="1:16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8</v>
      </c>
      <c r="M1292" s="6">
        <v>2022</v>
      </c>
      <c r="N1292" s="7">
        <v>0</v>
      </c>
      <c r="O1292" s="11">
        <v>41803</v>
      </c>
      <c r="P1292" s="11">
        <v>41803</v>
      </c>
    </row>
    <row r="1293" spans="1:16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4</v>
      </c>
      <c r="M1293" s="6">
        <v>2018</v>
      </c>
      <c r="N1293" s="7">
        <v>0</v>
      </c>
      <c r="O1293" s="11">
        <v>41803</v>
      </c>
      <c r="P1293" s="11">
        <v>41803</v>
      </c>
    </row>
    <row r="1294" spans="1:16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5</v>
      </c>
      <c r="M1294" s="6">
        <v>2019</v>
      </c>
      <c r="N1294" s="7">
        <v>0</v>
      </c>
      <c r="O1294" s="11">
        <v>41803</v>
      </c>
      <c r="P1294" s="11">
        <v>41803</v>
      </c>
    </row>
    <row r="1295" spans="1:16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7</v>
      </c>
      <c r="M1295" s="6">
        <v>2021</v>
      </c>
      <c r="N1295" s="7">
        <v>0</v>
      </c>
      <c r="O1295" s="11">
        <v>41803</v>
      </c>
      <c r="P1295" s="11">
        <v>41803</v>
      </c>
    </row>
    <row r="1296" spans="1:16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3</v>
      </c>
      <c r="M1296" s="6">
        <v>2017</v>
      </c>
      <c r="N1296" s="7">
        <v>0</v>
      </c>
      <c r="O1296" s="11">
        <v>41803</v>
      </c>
      <c r="P1296" s="11">
        <v>41803</v>
      </c>
    </row>
    <row r="1297" spans="1:16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10</v>
      </c>
      <c r="M1297" s="6">
        <v>2024</v>
      </c>
      <c r="N1297" s="7">
        <v>0</v>
      </c>
      <c r="O1297" s="11">
        <v>41803</v>
      </c>
      <c r="P1297" s="11">
        <v>41803</v>
      </c>
    </row>
    <row r="1298" spans="1:16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</v>
      </c>
      <c r="M1298" s="6">
        <v>2015</v>
      </c>
      <c r="N1298" s="7">
        <v>5881247.44</v>
      </c>
      <c r="O1298" s="11">
        <v>41803</v>
      </c>
      <c r="P1298" s="11">
        <v>41803</v>
      </c>
    </row>
    <row r="1299" spans="1:16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12</v>
      </c>
      <c r="M1299" s="6">
        <v>2026</v>
      </c>
      <c r="N1299" s="7">
        <v>0</v>
      </c>
      <c r="O1299" s="11">
        <v>41803</v>
      </c>
      <c r="P1299" s="11">
        <v>41803</v>
      </c>
    </row>
    <row r="1300" spans="1:16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9</v>
      </c>
      <c r="M1300" s="6">
        <v>2023</v>
      </c>
      <c r="N1300" s="7">
        <v>0</v>
      </c>
      <c r="O1300" s="11">
        <v>41803</v>
      </c>
      <c r="P1300" s="11">
        <v>41803</v>
      </c>
    </row>
    <row r="1301" spans="1:16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6</v>
      </c>
      <c r="M1301" s="6">
        <v>2020</v>
      </c>
      <c r="N1301" s="7">
        <v>0</v>
      </c>
      <c r="O1301" s="11">
        <v>41803</v>
      </c>
      <c r="P1301" s="11">
        <v>41803</v>
      </c>
    </row>
    <row r="1302" spans="1:16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11</v>
      </c>
      <c r="M1302" s="6">
        <v>2025</v>
      </c>
      <c r="N1302" s="7">
        <v>0</v>
      </c>
      <c r="O1302" s="11">
        <v>41803</v>
      </c>
      <c r="P1302" s="11">
        <v>41803</v>
      </c>
    </row>
    <row r="1303" spans="1:16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0</v>
      </c>
      <c r="M1303" s="6">
        <v>2014</v>
      </c>
      <c r="N1303" s="7">
        <v>13189774.05</v>
      </c>
      <c r="O1303" s="11">
        <v>41803</v>
      </c>
      <c r="P1303" s="11">
        <v>41803</v>
      </c>
    </row>
    <row r="1304" spans="1:16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4</v>
      </c>
      <c r="M1304" s="6">
        <v>2018</v>
      </c>
      <c r="N1304" s="7">
        <v>0</v>
      </c>
      <c r="O1304" s="11">
        <v>41803</v>
      </c>
      <c r="P1304" s="11">
        <v>41803</v>
      </c>
    </row>
    <row r="1305" spans="1:16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8</v>
      </c>
      <c r="M1305" s="6">
        <v>2022</v>
      </c>
      <c r="N1305" s="7">
        <v>0</v>
      </c>
      <c r="O1305" s="11">
        <v>41803</v>
      </c>
      <c r="P1305" s="11">
        <v>41803</v>
      </c>
    </row>
    <row r="1306" spans="1:16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900</v>
      </c>
      <c r="H1306" s="10">
        <v>14.3</v>
      </c>
      <c r="I1306" s="10"/>
      <c r="J1306" s="10" t="s">
        <v>116</v>
      </c>
      <c r="K1306" s="10" t="b">
        <v>1</v>
      </c>
      <c r="L1306" s="10">
        <v>12</v>
      </c>
      <c r="M1306" s="6">
        <v>2026</v>
      </c>
      <c r="N1306" s="7">
        <v>0</v>
      </c>
      <c r="O1306" s="11">
        <v>41803</v>
      </c>
      <c r="P1306" s="11">
        <v>41803</v>
      </c>
    </row>
    <row r="1307" spans="1:16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900</v>
      </c>
      <c r="H1307" s="10">
        <v>14.3</v>
      </c>
      <c r="I1307" s="10"/>
      <c r="J1307" s="10" t="s">
        <v>116</v>
      </c>
      <c r="K1307" s="10" t="b">
        <v>1</v>
      </c>
      <c r="L1307" s="10">
        <v>10</v>
      </c>
      <c r="M1307" s="6">
        <v>2024</v>
      </c>
      <c r="N1307" s="7">
        <v>0</v>
      </c>
      <c r="O1307" s="11">
        <v>41803</v>
      </c>
      <c r="P1307" s="11">
        <v>41803</v>
      </c>
    </row>
    <row r="1308" spans="1:16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3</v>
      </c>
      <c r="M1308" s="6">
        <v>2017</v>
      </c>
      <c r="N1308" s="7">
        <v>0</v>
      </c>
      <c r="O1308" s="11">
        <v>41803</v>
      </c>
      <c r="P1308" s="11">
        <v>41803</v>
      </c>
    </row>
    <row r="1309" spans="1:16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6</v>
      </c>
      <c r="M1309" s="6">
        <v>2020</v>
      </c>
      <c r="N1309" s="7">
        <v>0</v>
      </c>
      <c r="O1309" s="11">
        <v>41803</v>
      </c>
      <c r="P1309" s="11">
        <v>41803</v>
      </c>
    </row>
    <row r="1310" spans="1:16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7</v>
      </c>
      <c r="M1310" s="6">
        <v>2021</v>
      </c>
      <c r="N1310" s="7">
        <v>0</v>
      </c>
      <c r="O1310" s="11">
        <v>41803</v>
      </c>
      <c r="P1310" s="11">
        <v>41803</v>
      </c>
    </row>
    <row r="1311" spans="1:16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1</v>
      </c>
      <c r="M1311" s="6">
        <v>2015</v>
      </c>
      <c r="N1311" s="7">
        <v>998631.15</v>
      </c>
      <c r="O1311" s="11">
        <v>41803</v>
      </c>
      <c r="P1311" s="11">
        <v>41803</v>
      </c>
    </row>
    <row r="1312" spans="1:16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11</v>
      </c>
      <c r="M1312" s="6">
        <v>2025</v>
      </c>
      <c r="N1312" s="7">
        <v>0</v>
      </c>
      <c r="O1312" s="11">
        <v>41803</v>
      </c>
      <c r="P1312" s="11">
        <v>41803</v>
      </c>
    </row>
    <row r="1313" spans="1:16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10</v>
      </c>
      <c r="M1313" s="6">
        <v>2024</v>
      </c>
      <c r="N1313" s="7">
        <v>0</v>
      </c>
      <c r="O1313" s="11">
        <v>41803</v>
      </c>
      <c r="P1313" s="11">
        <v>41803</v>
      </c>
    </row>
    <row r="1314" spans="1:16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2</v>
      </c>
      <c r="M1314" s="6">
        <v>2016</v>
      </c>
      <c r="N1314" s="7">
        <v>0</v>
      </c>
      <c r="O1314" s="11">
        <v>41803</v>
      </c>
      <c r="P1314" s="11">
        <v>41803</v>
      </c>
    </row>
    <row r="1315" spans="1:16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12</v>
      </c>
      <c r="M1315" s="6">
        <v>2026</v>
      </c>
      <c r="N1315" s="7">
        <v>0</v>
      </c>
      <c r="O1315" s="11">
        <v>41803</v>
      </c>
      <c r="P1315" s="11">
        <v>41803</v>
      </c>
    </row>
    <row r="1316" spans="1:16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0</v>
      </c>
      <c r="M1316" s="6">
        <v>2014</v>
      </c>
      <c r="N1316" s="7">
        <v>5140072.95</v>
      </c>
      <c r="O1316" s="11">
        <v>41803</v>
      </c>
      <c r="P1316" s="11">
        <v>41803</v>
      </c>
    </row>
    <row r="1317" spans="1:16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9</v>
      </c>
      <c r="M1317" s="6">
        <v>2023</v>
      </c>
      <c r="N1317" s="7">
        <v>0</v>
      </c>
      <c r="O1317" s="11">
        <v>41803</v>
      </c>
      <c r="P1317" s="11">
        <v>41803</v>
      </c>
    </row>
    <row r="1318" spans="1:16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249</v>
      </c>
      <c r="K1318" s="10" t="b">
        <v>1</v>
      </c>
      <c r="L1318" s="10">
        <v>5</v>
      </c>
      <c r="M1318" s="6">
        <v>2019</v>
      </c>
      <c r="N1318" s="7">
        <v>0</v>
      </c>
      <c r="O1318" s="11">
        <v>41803</v>
      </c>
      <c r="P1318" s="11">
        <v>41803</v>
      </c>
    </row>
    <row r="1319" spans="1:16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</v>
      </c>
      <c r="M1319" s="6">
        <v>2015</v>
      </c>
      <c r="N1319" s="7">
        <v>0</v>
      </c>
      <c r="O1319" s="11">
        <v>41803</v>
      </c>
      <c r="P1319" s="11">
        <v>41803</v>
      </c>
    </row>
    <row r="1320" spans="1:16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5</v>
      </c>
      <c r="M1320" s="6">
        <v>2019</v>
      </c>
      <c r="N1320" s="7">
        <v>0</v>
      </c>
      <c r="O1320" s="11">
        <v>41803</v>
      </c>
      <c r="P1320" s="11">
        <v>41803</v>
      </c>
    </row>
    <row r="1321" spans="1:16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4</v>
      </c>
      <c r="M1321" s="6">
        <v>2018</v>
      </c>
      <c r="N1321" s="7">
        <v>0</v>
      </c>
      <c r="O1321" s="11">
        <v>41803</v>
      </c>
      <c r="P1321" s="11">
        <v>41803</v>
      </c>
    </row>
    <row r="1322" spans="1:16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7</v>
      </c>
      <c r="M1322" s="6">
        <v>2021</v>
      </c>
      <c r="N1322" s="7">
        <v>0</v>
      </c>
      <c r="O1322" s="11">
        <v>41803</v>
      </c>
      <c r="P1322" s="11">
        <v>41803</v>
      </c>
    </row>
    <row r="1323" spans="1:16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8</v>
      </c>
      <c r="M1323" s="6">
        <v>2022</v>
      </c>
      <c r="N1323" s="7">
        <v>0</v>
      </c>
      <c r="O1323" s="11">
        <v>41803</v>
      </c>
      <c r="P1323" s="11">
        <v>41803</v>
      </c>
    </row>
    <row r="1324" spans="1:16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6</v>
      </c>
      <c r="M1324" s="6">
        <v>2020</v>
      </c>
      <c r="N1324" s="7">
        <v>0</v>
      </c>
      <c r="O1324" s="11">
        <v>41803</v>
      </c>
      <c r="P1324" s="11">
        <v>41803</v>
      </c>
    </row>
    <row r="1325" spans="1:16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12</v>
      </c>
      <c r="M1325" s="6">
        <v>2026</v>
      </c>
      <c r="N1325" s="7">
        <v>0</v>
      </c>
      <c r="O1325" s="11">
        <v>41803</v>
      </c>
      <c r="P1325" s="11">
        <v>41803</v>
      </c>
    </row>
    <row r="1326" spans="1:16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2</v>
      </c>
      <c r="M1326" s="6">
        <v>2016</v>
      </c>
      <c r="N1326" s="7">
        <v>0</v>
      </c>
      <c r="O1326" s="11">
        <v>41803</v>
      </c>
      <c r="P1326" s="11">
        <v>41803</v>
      </c>
    </row>
    <row r="1327" spans="1:16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11</v>
      </c>
      <c r="M1327" s="6">
        <v>2025</v>
      </c>
      <c r="N1327" s="7">
        <v>0</v>
      </c>
      <c r="O1327" s="11">
        <v>41803</v>
      </c>
      <c r="P1327" s="11">
        <v>41803</v>
      </c>
    </row>
    <row r="1328" spans="1:16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10</v>
      </c>
      <c r="M1328" s="6">
        <v>2024</v>
      </c>
      <c r="N1328" s="7">
        <v>0</v>
      </c>
      <c r="O1328" s="11">
        <v>41803</v>
      </c>
      <c r="P1328" s="11">
        <v>41803</v>
      </c>
    </row>
    <row r="1329" spans="1:16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0</v>
      </c>
      <c r="M1329" s="6">
        <v>2014</v>
      </c>
      <c r="N1329" s="7">
        <v>0</v>
      </c>
      <c r="O1329" s="11">
        <v>41803</v>
      </c>
      <c r="P1329" s="11">
        <v>41803</v>
      </c>
    </row>
    <row r="1330" spans="1:16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3</v>
      </c>
      <c r="M1330" s="6">
        <v>2017</v>
      </c>
      <c r="N1330" s="7">
        <v>0</v>
      </c>
      <c r="O1330" s="11">
        <v>41803</v>
      </c>
      <c r="P1330" s="11">
        <v>41803</v>
      </c>
    </row>
    <row r="1331" spans="1:16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9</v>
      </c>
      <c r="M1331" s="6">
        <v>2023</v>
      </c>
      <c r="N1331" s="7">
        <v>0</v>
      </c>
      <c r="O1331" s="11">
        <v>41803</v>
      </c>
      <c r="P1331" s="11">
        <v>41803</v>
      </c>
    </row>
    <row r="1332" spans="1:16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0</v>
      </c>
      <c r="M1332" s="6">
        <v>2014</v>
      </c>
      <c r="N1332" s="7">
        <v>0</v>
      </c>
      <c r="O1332" s="11">
        <v>41803</v>
      </c>
      <c r="P1332" s="11">
        <v>41803</v>
      </c>
    </row>
    <row r="1333" spans="1:16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11</v>
      </c>
      <c r="M1333" s="6">
        <v>2025</v>
      </c>
      <c r="N1333" s="7">
        <v>0</v>
      </c>
      <c r="O1333" s="11">
        <v>41803</v>
      </c>
      <c r="P1333" s="11">
        <v>41803</v>
      </c>
    </row>
    <row r="1334" spans="1:16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</v>
      </c>
      <c r="M1334" s="6">
        <v>2015</v>
      </c>
      <c r="N1334" s="7">
        <v>0</v>
      </c>
      <c r="O1334" s="11">
        <v>41803</v>
      </c>
      <c r="P1334" s="11">
        <v>41803</v>
      </c>
    </row>
    <row r="1335" spans="1:16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3</v>
      </c>
      <c r="M1335" s="6">
        <v>2017</v>
      </c>
      <c r="N1335" s="7">
        <v>0</v>
      </c>
      <c r="O1335" s="11">
        <v>41803</v>
      </c>
      <c r="P1335" s="11">
        <v>41803</v>
      </c>
    </row>
    <row r="1336" spans="1:16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4</v>
      </c>
      <c r="M1336" s="6">
        <v>2018</v>
      </c>
      <c r="N1336" s="7">
        <v>0</v>
      </c>
      <c r="O1336" s="11">
        <v>41803</v>
      </c>
      <c r="P1336" s="11">
        <v>41803</v>
      </c>
    </row>
    <row r="1337" spans="1:16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5</v>
      </c>
      <c r="M1337" s="6">
        <v>2019</v>
      </c>
      <c r="N1337" s="7">
        <v>0</v>
      </c>
      <c r="O1337" s="11">
        <v>41803</v>
      </c>
      <c r="P1337" s="11">
        <v>41803</v>
      </c>
    </row>
    <row r="1338" spans="1:16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2</v>
      </c>
      <c r="M1338" s="6">
        <v>2016</v>
      </c>
      <c r="N1338" s="7">
        <v>0</v>
      </c>
      <c r="O1338" s="11">
        <v>41803</v>
      </c>
      <c r="P1338" s="11">
        <v>41803</v>
      </c>
    </row>
    <row r="1339" spans="1:16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6</v>
      </c>
      <c r="M1339" s="6">
        <v>2020</v>
      </c>
      <c r="N1339" s="7">
        <v>0</v>
      </c>
      <c r="O1339" s="11">
        <v>41803</v>
      </c>
      <c r="P1339" s="11">
        <v>41803</v>
      </c>
    </row>
    <row r="1340" spans="1:16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7</v>
      </c>
      <c r="M1340" s="6">
        <v>2021</v>
      </c>
      <c r="N1340" s="7">
        <v>0</v>
      </c>
      <c r="O1340" s="11">
        <v>41803</v>
      </c>
      <c r="P1340" s="11">
        <v>41803</v>
      </c>
    </row>
    <row r="1341" spans="1:16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9</v>
      </c>
      <c r="M1341" s="6">
        <v>2023</v>
      </c>
      <c r="N1341" s="7">
        <v>0</v>
      </c>
      <c r="O1341" s="11">
        <v>41803</v>
      </c>
      <c r="P1341" s="11">
        <v>41803</v>
      </c>
    </row>
    <row r="1342" spans="1:16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8</v>
      </c>
      <c r="M1342" s="6">
        <v>2022</v>
      </c>
      <c r="N1342" s="7">
        <v>0</v>
      </c>
      <c r="O1342" s="11">
        <v>41803</v>
      </c>
      <c r="P1342" s="11">
        <v>41803</v>
      </c>
    </row>
    <row r="1343" spans="1:16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10</v>
      </c>
      <c r="M1343" s="6">
        <v>2024</v>
      </c>
      <c r="N1343" s="7">
        <v>0</v>
      </c>
      <c r="O1343" s="11">
        <v>41803</v>
      </c>
      <c r="P1343" s="11">
        <v>41803</v>
      </c>
    </row>
    <row r="1344" spans="1:16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870</v>
      </c>
      <c r="H1344" s="10">
        <v>14</v>
      </c>
      <c r="I1344" s="10"/>
      <c r="J1344" s="10" t="s">
        <v>113</v>
      </c>
      <c r="K1344" s="10" t="b">
        <v>1</v>
      </c>
      <c r="L1344" s="10">
        <v>12</v>
      </c>
      <c r="M1344" s="6">
        <v>2026</v>
      </c>
      <c r="N1344" s="7">
        <v>0</v>
      </c>
      <c r="O1344" s="11">
        <v>41803</v>
      </c>
      <c r="P1344" s="11">
        <v>41803</v>
      </c>
    </row>
    <row r="1345" spans="1:16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4</v>
      </c>
      <c r="M1345" s="6">
        <v>2018</v>
      </c>
      <c r="N1345" s="7">
        <v>0</v>
      </c>
      <c r="O1345" s="11">
        <v>41803</v>
      </c>
      <c r="P1345" s="11">
        <v>41803</v>
      </c>
    </row>
    <row r="1346" spans="1:16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0</v>
      </c>
      <c r="M1346" s="6">
        <v>2014</v>
      </c>
      <c r="N1346" s="7">
        <v>0</v>
      </c>
      <c r="O1346" s="11">
        <v>41803</v>
      </c>
      <c r="P1346" s="11">
        <v>41803</v>
      </c>
    </row>
    <row r="1347" spans="1:16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6</v>
      </c>
      <c r="M1347" s="6">
        <v>2020</v>
      </c>
      <c r="N1347" s="7">
        <v>0</v>
      </c>
      <c r="O1347" s="11">
        <v>41803</v>
      </c>
      <c r="P1347" s="11">
        <v>41803</v>
      </c>
    </row>
    <row r="1348" spans="1:16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1</v>
      </c>
      <c r="M1348" s="6">
        <v>2015</v>
      </c>
      <c r="N1348" s="7">
        <v>0</v>
      </c>
      <c r="O1348" s="11">
        <v>41803</v>
      </c>
      <c r="P1348" s="11">
        <v>41803</v>
      </c>
    </row>
    <row r="1349" spans="1:16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5</v>
      </c>
      <c r="M1349" s="6">
        <v>2019</v>
      </c>
      <c r="N1349" s="7">
        <v>0</v>
      </c>
      <c r="O1349" s="11">
        <v>41803</v>
      </c>
      <c r="P1349" s="11">
        <v>41803</v>
      </c>
    </row>
    <row r="1350" spans="1:16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11</v>
      </c>
      <c r="M1350" s="6">
        <v>2025</v>
      </c>
      <c r="N1350" s="7">
        <v>0</v>
      </c>
      <c r="O1350" s="11">
        <v>41803</v>
      </c>
      <c r="P1350" s="11">
        <v>41803</v>
      </c>
    </row>
    <row r="1351" spans="1:16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2</v>
      </c>
      <c r="M1351" s="6">
        <v>2016</v>
      </c>
      <c r="N1351" s="7">
        <v>0</v>
      </c>
      <c r="O1351" s="11">
        <v>41803</v>
      </c>
      <c r="P1351" s="11">
        <v>41803</v>
      </c>
    </row>
    <row r="1352" spans="1:16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3</v>
      </c>
      <c r="M1352" s="6">
        <v>2017</v>
      </c>
      <c r="N1352" s="7">
        <v>0</v>
      </c>
      <c r="O1352" s="11">
        <v>41803</v>
      </c>
      <c r="P1352" s="11">
        <v>41803</v>
      </c>
    </row>
    <row r="1353" spans="1:16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7</v>
      </c>
      <c r="M1353" s="6">
        <v>2021</v>
      </c>
      <c r="N1353" s="7">
        <v>0</v>
      </c>
      <c r="O1353" s="11">
        <v>41803</v>
      </c>
      <c r="P1353" s="11">
        <v>41803</v>
      </c>
    </row>
    <row r="1354" spans="1:16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9</v>
      </c>
      <c r="M1354" s="6">
        <v>2023</v>
      </c>
      <c r="N1354" s="7">
        <v>0</v>
      </c>
      <c r="O1354" s="11">
        <v>41803</v>
      </c>
      <c r="P1354" s="11">
        <v>41803</v>
      </c>
    </row>
    <row r="1355" spans="1:16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8</v>
      </c>
      <c r="M1355" s="6">
        <v>2022</v>
      </c>
      <c r="N1355" s="7">
        <v>0</v>
      </c>
      <c r="O1355" s="11">
        <v>41803</v>
      </c>
      <c r="P1355" s="11">
        <v>41803</v>
      </c>
    </row>
    <row r="1356" spans="1:16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10</v>
      </c>
      <c r="M1356" s="6">
        <v>2024</v>
      </c>
      <c r="N1356" s="7">
        <v>0</v>
      </c>
      <c r="O1356" s="11">
        <v>41803</v>
      </c>
      <c r="P1356" s="11">
        <v>41803</v>
      </c>
    </row>
    <row r="1357" spans="1:16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8</v>
      </c>
      <c r="M1357" s="6">
        <v>2022</v>
      </c>
      <c r="N1357" s="7">
        <v>0</v>
      </c>
      <c r="O1357" s="11">
        <v>41803</v>
      </c>
      <c r="P1357" s="11">
        <v>41803</v>
      </c>
    </row>
    <row r="1358" spans="1:16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7</v>
      </c>
      <c r="M1358" s="6">
        <v>2021</v>
      </c>
      <c r="N1358" s="7">
        <v>0</v>
      </c>
      <c r="O1358" s="11">
        <v>41803</v>
      </c>
      <c r="P1358" s="11">
        <v>41803</v>
      </c>
    </row>
    <row r="1359" spans="1:16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5</v>
      </c>
      <c r="M1359" s="6">
        <v>2019</v>
      </c>
      <c r="N1359" s="7">
        <v>0</v>
      </c>
      <c r="O1359" s="11">
        <v>41803</v>
      </c>
      <c r="P1359" s="11">
        <v>41803</v>
      </c>
    </row>
    <row r="1360" spans="1:16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3</v>
      </c>
      <c r="M1360" s="6">
        <v>2017</v>
      </c>
      <c r="N1360" s="7">
        <v>0</v>
      </c>
      <c r="O1360" s="11">
        <v>41803</v>
      </c>
      <c r="P1360" s="11">
        <v>41803</v>
      </c>
    </row>
    <row r="1361" spans="1:16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2</v>
      </c>
      <c r="M1361" s="6">
        <v>2016</v>
      </c>
      <c r="N1361" s="7">
        <v>0</v>
      </c>
      <c r="O1361" s="11">
        <v>41803</v>
      </c>
      <c r="P1361" s="11">
        <v>41803</v>
      </c>
    </row>
    <row r="1362" spans="1:16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9</v>
      </c>
      <c r="M1362" s="6">
        <v>2023</v>
      </c>
      <c r="N1362" s="7">
        <v>0</v>
      </c>
      <c r="O1362" s="11">
        <v>41803</v>
      </c>
      <c r="P1362" s="11">
        <v>41803</v>
      </c>
    </row>
    <row r="1363" spans="1:16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11</v>
      </c>
      <c r="M1363" s="6">
        <v>2025</v>
      </c>
      <c r="N1363" s="7">
        <v>0</v>
      </c>
      <c r="O1363" s="11">
        <v>41803</v>
      </c>
      <c r="P1363" s="11">
        <v>41803</v>
      </c>
    </row>
    <row r="1364" spans="1:16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0</v>
      </c>
      <c r="M1364" s="6">
        <v>2014</v>
      </c>
      <c r="N1364" s="7">
        <v>0</v>
      </c>
      <c r="O1364" s="11">
        <v>41803</v>
      </c>
      <c r="P1364" s="11">
        <v>41803</v>
      </c>
    </row>
    <row r="1365" spans="1:16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6</v>
      </c>
      <c r="M1365" s="6">
        <v>2020</v>
      </c>
      <c r="N1365" s="7">
        <v>0</v>
      </c>
      <c r="O1365" s="11">
        <v>41803</v>
      </c>
      <c r="P1365" s="11">
        <v>41803</v>
      </c>
    </row>
    <row r="1366" spans="1:16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12</v>
      </c>
      <c r="M1366" s="6">
        <v>2026</v>
      </c>
      <c r="N1366" s="7">
        <v>0</v>
      </c>
      <c r="O1366" s="11">
        <v>41803</v>
      </c>
      <c r="P1366" s="11">
        <v>41803</v>
      </c>
    </row>
    <row r="1367" spans="1:16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1</v>
      </c>
      <c r="M1367" s="6">
        <v>2015</v>
      </c>
      <c r="N1367" s="7">
        <v>0</v>
      </c>
      <c r="O1367" s="11">
        <v>41803</v>
      </c>
      <c r="P1367" s="11">
        <v>41803</v>
      </c>
    </row>
    <row r="1368" spans="1:16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4</v>
      </c>
      <c r="M1368" s="6">
        <v>2018</v>
      </c>
      <c r="N1368" s="7">
        <v>0</v>
      </c>
      <c r="O1368" s="11">
        <v>41803</v>
      </c>
      <c r="P1368" s="11">
        <v>41803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0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3</v>
      </c>
      <c r="M4" s="6">
        <v>2017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41803</v>
      </c>
      <c r="S4" s="11">
        <v>41803</v>
      </c>
    </row>
    <row r="5" spans="1:19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11</v>
      </c>
      <c r="M5" s="6">
        <v>2025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41803</v>
      </c>
      <c r="S5" s="11">
        <v>41803</v>
      </c>
    </row>
    <row r="6" spans="1:19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8</v>
      </c>
      <c r="M6" s="6">
        <v>2022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41803</v>
      </c>
      <c r="S6" s="11">
        <v>41803</v>
      </c>
    </row>
    <row r="7" spans="1:19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0</v>
      </c>
      <c r="M7" s="6">
        <v>2014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41803</v>
      </c>
      <c r="S7" s="11">
        <v>41803</v>
      </c>
    </row>
    <row r="8" spans="1:19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6</v>
      </c>
      <c r="M8" s="6">
        <v>2020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41803</v>
      </c>
      <c r="S8" s="11">
        <v>41803</v>
      </c>
    </row>
    <row r="9" spans="1:19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12</v>
      </c>
      <c r="M9" s="6">
        <v>2026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41803</v>
      </c>
      <c r="S9" s="11">
        <v>41803</v>
      </c>
    </row>
    <row r="10" spans="1:19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5</v>
      </c>
      <c r="M10" s="6">
        <v>2019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41803</v>
      </c>
      <c r="S10" s="11">
        <v>41803</v>
      </c>
    </row>
    <row r="11" spans="1:19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2</v>
      </c>
      <c r="M11" s="6">
        <v>2016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41803</v>
      </c>
      <c r="S11" s="11">
        <v>41803</v>
      </c>
    </row>
    <row r="12" spans="1:19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1</v>
      </c>
      <c r="M12" s="6">
        <v>2015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41803</v>
      </c>
      <c r="S12" s="11">
        <v>41803</v>
      </c>
    </row>
    <row r="13" spans="1:19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4</v>
      </c>
      <c r="M13" s="6">
        <v>2018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41803</v>
      </c>
      <c r="S13" s="11">
        <v>41803</v>
      </c>
    </row>
    <row r="14" spans="1:19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9</v>
      </c>
      <c r="M14" s="6">
        <v>2023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41803</v>
      </c>
      <c r="S14" s="11">
        <v>41803</v>
      </c>
    </row>
    <row r="15" spans="1:19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10</v>
      </c>
      <c r="M15" s="6">
        <v>2024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41803</v>
      </c>
      <c r="S15" s="11">
        <v>41803</v>
      </c>
    </row>
    <row r="16" spans="1:19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7</v>
      </c>
      <c r="M16" s="6">
        <v>2021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41803</v>
      </c>
      <c r="S16" s="11">
        <v>41803</v>
      </c>
    </row>
    <row r="17" spans="1:19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8</v>
      </c>
      <c r="M17" s="6">
        <v>2022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41803</v>
      </c>
      <c r="S17" s="11">
        <v>41803</v>
      </c>
    </row>
    <row r="18" spans="1:19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12</v>
      </c>
      <c r="M18" s="6">
        <v>2026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41803</v>
      </c>
      <c r="S18" s="11">
        <v>41803</v>
      </c>
    </row>
    <row r="19" spans="1:19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7</v>
      </c>
      <c r="M19" s="6">
        <v>2021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41803</v>
      </c>
      <c r="S19" s="11">
        <v>41803</v>
      </c>
    </row>
    <row r="20" spans="1:19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0</v>
      </c>
      <c r="M20" s="6">
        <v>2014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41803</v>
      </c>
      <c r="S20" s="11">
        <v>41803</v>
      </c>
    </row>
    <row r="21" spans="1:19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9</v>
      </c>
      <c r="M21" s="6">
        <v>2023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41803</v>
      </c>
      <c r="S21" s="11">
        <v>41803</v>
      </c>
    </row>
    <row r="22" spans="1:19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1</v>
      </c>
      <c r="M22" s="6">
        <v>2015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41803</v>
      </c>
      <c r="S22" s="11">
        <v>41803</v>
      </c>
    </row>
    <row r="23" spans="1:19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2</v>
      </c>
      <c r="M23" s="6">
        <v>2016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41803</v>
      </c>
      <c r="S23" s="11">
        <v>41803</v>
      </c>
    </row>
    <row r="24" spans="1:19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5</v>
      </c>
      <c r="M24" s="6">
        <v>2019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41803</v>
      </c>
      <c r="S24" s="11">
        <v>41803</v>
      </c>
    </row>
    <row r="25" spans="1:19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11</v>
      </c>
      <c r="M25" s="6">
        <v>2025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41803</v>
      </c>
      <c r="S25" s="11">
        <v>41803</v>
      </c>
    </row>
    <row r="26" spans="1:19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4</v>
      </c>
      <c r="M26" s="6">
        <v>2018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41803</v>
      </c>
      <c r="S26" s="11">
        <v>41803</v>
      </c>
    </row>
    <row r="27" spans="1:19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10</v>
      </c>
      <c r="M27" s="6">
        <v>2024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41803</v>
      </c>
      <c r="S27" s="11">
        <v>41803</v>
      </c>
    </row>
    <row r="28" spans="1:19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6</v>
      </c>
      <c r="M28" s="6">
        <v>2020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41803</v>
      </c>
      <c r="S28" s="11">
        <v>41803</v>
      </c>
    </row>
    <row r="29" spans="1:19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3</v>
      </c>
      <c r="M29" s="6">
        <v>2017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41803</v>
      </c>
      <c r="S29" s="11">
        <v>41803</v>
      </c>
    </row>
    <row r="30" spans="1:19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3</v>
      </c>
      <c r="M30" s="6">
        <v>2017</v>
      </c>
      <c r="N30" s="7">
        <v>0</v>
      </c>
      <c r="O30" s="7">
        <v>0</v>
      </c>
      <c r="P30" s="7">
        <v>0</v>
      </c>
      <c r="Q30" s="7">
        <v>0</v>
      </c>
      <c r="R30" s="11">
        <v>41803</v>
      </c>
      <c r="S30" s="11">
        <v>41803</v>
      </c>
    </row>
    <row r="31" spans="1:19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12</v>
      </c>
      <c r="M31" s="6">
        <v>2026</v>
      </c>
      <c r="N31" s="7">
        <v>0</v>
      </c>
      <c r="O31" s="7">
        <v>0</v>
      </c>
      <c r="P31" s="7">
        <v>0</v>
      </c>
      <c r="Q31" s="7">
        <v>0</v>
      </c>
      <c r="R31" s="11">
        <v>41803</v>
      </c>
      <c r="S31" s="11">
        <v>41803</v>
      </c>
    </row>
    <row r="32" spans="1:19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0</v>
      </c>
      <c r="M32" s="6">
        <v>2014</v>
      </c>
      <c r="N32" s="7">
        <v>0</v>
      </c>
      <c r="O32" s="7">
        <v>0</v>
      </c>
      <c r="P32" s="7">
        <v>0</v>
      </c>
      <c r="Q32" s="7">
        <v>0</v>
      </c>
      <c r="R32" s="11">
        <v>41803</v>
      </c>
      <c r="S32" s="11">
        <v>41803</v>
      </c>
    </row>
    <row r="33" spans="1:19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7">
        <v>0</v>
      </c>
      <c r="P33" s="7">
        <v>0</v>
      </c>
      <c r="Q33" s="7">
        <v>0</v>
      </c>
      <c r="R33" s="11">
        <v>41803</v>
      </c>
      <c r="S33" s="11">
        <v>41803</v>
      </c>
    </row>
    <row r="34" spans="1:19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5</v>
      </c>
      <c r="M34" s="6">
        <v>2019</v>
      </c>
      <c r="N34" s="7">
        <v>0</v>
      </c>
      <c r="O34" s="7">
        <v>0</v>
      </c>
      <c r="P34" s="7">
        <v>0</v>
      </c>
      <c r="Q34" s="7">
        <v>0</v>
      </c>
      <c r="R34" s="11">
        <v>41803</v>
      </c>
      <c r="S34" s="11">
        <v>41803</v>
      </c>
    </row>
    <row r="35" spans="1:19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10</v>
      </c>
      <c r="M35" s="6">
        <v>2024</v>
      </c>
      <c r="N35" s="7">
        <v>0</v>
      </c>
      <c r="O35" s="7">
        <v>0</v>
      </c>
      <c r="P35" s="7">
        <v>0</v>
      </c>
      <c r="Q35" s="7">
        <v>0</v>
      </c>
      <c r="R35" s="11">
        <v>41803</v>
      </c>
      <c r="S35" s="11">
        <v>41803</v>
      </c>
    </row>
    <row r="36" spans="1:19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9</v>
      </c>
      <c r="M36" s="6">
        <v>2023</v>
      </c>
      <c r="N36" s="7">
        <v>0</v>
      </c>
      <c r="O36" s="7">
        <v>0</v>
      </c>
      <c r="P36" s="7">
        <v>0</v>
      </c>
      <c r="Q36" s="7">
        <v>0</v>
      </c>
      <c r="R36" s="11">
        <v>41803</v>
      </c>
      <c r="S36" s="11">
        <v>41803</v>
      </c>
    </row>
    <row r="37" spans="1:19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1</v>
      </c>
      <c r="M37" s="6">
        <v>2015</v>
      </c>
      <c r="N37" s="7">
        <v>0</v>
      </c>
      <c r="O37" s="7">
        <v>0</v>
      </c>
      <c r="P37" s="7">
        <v>0</v>
      </c>
      <c r="Q37" s="7">
        <v>0</v>
      </c>
      <c r="R37" s="11">
        <v>41803</v>
      </c>
      <c r="S37" s="11">
        <v>41803</v>
      </c>
    </row>
    <row r="38" spans="1:19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2</v>
      </c>
      <c r="M38" s="6">
        <v>2016</v>
      </c>
      <c r="N38" s="7">
        <v>0</v>
      </c>
      <c r="O38" s="7">
        <v>0</v>
      </c>
      <c r="P38" s="7">
        <v>0</v>
      </c>
      <c r="Q38" s="7">
        <v>0</v>
      </c>
      <c r="R38" s="11">
        <v>41803</v>
      </c>
      <c r="S38" s="11">
        <v>41803</v>
      </c>
    </row>
    <row r="39" spans="1:19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11</v>
      </c>
      <c r="M39" s="6">
        <v>2025</v>
      </c>
      <c r="N39" s="7">
        <v>0</v>
      </c>
      <c r="O39" s="7">
        <v>0</v>
      </c>
      <c r="P39" s="7">
        <v>0</v>
      </c>
      <c r="Q39" s="7">
        <v>0</v>
      </c>
      <c r="R39" s="11">
        <v>41803</v>
      </c>
      <c r="S39" s="11">
        <v>41803</v>
      </c>
    </row>
    <row r="40" spans="1:19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8</v>
      </c>
      <c r="M40" s="6">
        <v>2022</v>
      </c>
      <c r="N40" s="7">
        <v>0</v>
      </c>
      <c r="O40" s="7">
        <v>0</v>
      </c>
      <c r="P40" s="7">
        <v>0</v>
      </c>
      <c r="Q40" s="7">
        <v>0</v>
      </c>
      <c r="R40" s="11">
        <v>41803</v>
      </c>
      <c r="S40" s="11">
        <v>41803</v>
      </c>
    </row>
    <row r="41" spans="1:19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7</v>
      </c>
      <c r="M41" s="6">
        <v>2021</v>
      </c>
      <c r="N41" s="7">
        <v>0</v>
      </c>
      <c r="O41" s="7">
        <v>0</v>
      </c>
      <c r="P41" s="7">
        <v>0</v>
      </c>
      <c r="Q41" s="7">
        <v>0</v>
      </c>
      <c r="R41" s="11">
        <v>41803</v>
      </c>
      <c r="S41" s="11">
        <v>41803</v>
      </c>
    </row>
    <row r="42" spans="1:19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6</v>
      </c>
      <c r="M42" s="6">
        <v>2020</v>
      </c>
      <c r="N42" s="7">
        <v>0</v>
      </c>
      <c r="O42" s="7">
        <v>0</v>
      </c>
      <c r="P42" s="7">
        <v>0</v>
      </c>
      <c r="Q42" s="7">
        <v>0</v>
      </c>
      <c r="R42" s="11">
        <v>41803</v>
      </c>
      <c r="S42" s="11">
        <v>41803</v>
      </c>
    </row>
    <row r="43" spans="1:19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1</v>
      </c>
      <c r="M43" s="6">
        <v>2015</v>
      </c>
      <c r="N43" s="7">
        <v>0</v>
      </c>
      <c r="O43" s="7">
        <v>0</v>
      </c>
      <c r="P43" s="7">
        <v>0</v>
      </c>
      <c r="Q43" s="7">
        <v>0</v>
      </c>
      <c r="R43" s="11">
        <v>41803</v>
      </c>
      <c r="S43" s="11">
        <v>41803</v>
      </c>
    </row>
    <row r="44" spans="1:19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5</v>
      </c>
      <c r="M44" s="6">
        <v>2019</v>
      </c>
      <c r="N44" s="7">
        <v>0</v>
      </c>
      <c r="O44" s="7">
        <v>0</v>
      </c>
      <c r="P44" s="7">
        <v>0</v>
      </c>
      <c r="Q44" s="7">
        <v>0</v>
      </c>
      <c r="R44" s="11">
        <v>41803</v>
      </c>
      <c r="S44" s="11">
        <v>41803</v>
      </c>
    </row>
    <row r="45" spans="1:19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2</v>
      </c>
      <c r="M45" s="6">
        <v>2016</v>
      </c>
      <c r="N45" s="7">
        <v>0</v>
      </c>
      <c r="O45" s="7">
        <v>0</v>
      </c>
      <c r="P45" s="7">
        <v>0</v>
      </c>
      <c r="Q45" s="7">
        <v>0</v>
      </c>
      <c r="R45" s="11">
        <v>41803</v>
      </c>
      <c r="S45" s="11">
        <v>41803</v>
      </c>
    </row>
    <row r="46" spans="1:19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10</v>
      </c>
      <c r="M46" s="6">
        <v>2024</v>
      </c>
      <c r="N46" s="7">
        <v>0</v>
      </c>
      <c r="O46" s="7">
        <v>0</v>
      </c>
      <c r="P46" s="7">
        <v>0</v>
      </c>
      <c r="Q46" s="7">
        <v>0</v>
      </c>
      <c r="R46" s="11">
        <v>41803</v>
      </c>
      <c r="S46" s="11">
        <v>41803</v>
      </c>
    </row>
    <row r="47" spans="1:19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8</v>
      </c>
      <c r="M47" s="6">
        <v>2022</v>
      </c>
      <c r="N47" s="7">
        <v>0</v>
      </c>
      <c r="O47" s="7">
        <v>0</v>
      </c>
      <c r="P47" s="7">
        <v>0</v>
      </c>
      <c r="Q47" s="7">
        <v>0</v>
      </c>
      <c r="R47" s="11">
        <v>41803</v>
      </c>
      <c r="S47" s="11">
        <v>41803</v>
      </c>
    </row>
    <row r="48" spans="1:19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4</v>
      </c>
      <c r="M48" s="6">
        <v>2018</v>
      </c>
      <c r="N48" s="7">
        <v>0</v>
      </c>
      <c r="O48" s="7">
        <v>0</v>
      </c>
      <c r="P48" s="7">
        <v>0</v>
      </c>
      <c r="Q48" s="7">
        <v>0</v>
      </c>
      <c r="R48" s="11">
        <v>41803</v>
      </c>
      <c r="S48" s="11">
        <v>41803</v>
      </c>
    </row>
    <row r="49" spans="1:19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0</v>
      </c>
      <c r="M49" s="6">
        <v>2014</v>
      </c>
      <c r="N49" s="7">
        <v>0</v>
      </c>
      <c r="O49" s="7">
        <v>0</v>
      </c>
      <c r="P49" s="7">
        <v>0</v>
      </c>
      <c r="Q49" s="7">
        <v>0</v>
      </c>
      <c r="R49" s="11">
        <v>41803</v>
      </c>
      <c r="S49" s="11">
        <v>41803</v>
      </c>
    </row>
    <row r="50" spans="1:19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12</v>
      </c>
      <c r="M50" s="6">
        <v>2026</v>
      </c>
      <c r="N50" s="7">
        <v>0</v>
      </c>
      <c r="O50" s="7">
        <v>0</v>
      </c>
      <c r="P50" s="7">
        <v>0</v>
      </c>
      <c r="Q50" s="7">
        <v>0</v>
      </c>
      <c r="R50" s="11">
        <v>41803</v>
      </c>
      <c r="S50" s="11">
        <v>41803</v>
      </c>
    </row>
    <row r="51" spans="1:19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9</v>
      </c>
      <c r="M51" s="6">
        <v>2023</v>
      </c>
      <c r="N51" s="7">
        <v>0</v>
      </c>
      <c r="O51" s="7">
        <v>0</v>
      </c>
      <c r="P51" s="7">
        <v>0</v>
      </c>
      <c r="Q51" s="7">
        <v>0</v>
      </c>
      <c r="R51" s="11">
        <v>41803</v>
      </c>
      <c r="S51" s="11">
        <v>41803</v>
      </c>
    </row>
    <row r="52" spans="1:19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7</v>
      </c>
      <c r="M52" s="6">
        <v>2021</v>
      </c>
      <c r="N52" s="7">
        <v>0</v>
      </c>
      <c r="O52" s="7">
        <v>0</v>
      </c>
      <c r="P52" s="7">
        <v>0</v>
      </c>
      <c r="Q52" s="7">
        <v>0</v>
      </c>
      <c r="R52" s="11">
        <v>41803</v>
      </c>
      <c r="S52" s="11">
        <v>41803</v>
      </c>
    </row>
    <row r="53" spans="1:19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3</v>
      </c>
      <c r="M53" s="6">
        <v>2017</v>
      </c>
      <c r="N53" s="7">
        <v>0</v>
      </c>
      <c r="O53" s="7">
        <v>0</v>
      </c>
      <c r="P53" s="7">
        <v>0</v>
      </c>
      <c r="Q53" s="7">
        <v>0</v>
      </c>
      <c r="R53" s="11">
        <v>41803</v>
      </c>
      <c r="S53" s="11">
        <v>41803</v>
      </c>
    </row>
    <row r="54" spans="1:19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11</v>
      </c>
      <c r="M54" s="6">
        <v>2025</v>
      </c>
      <c r="N54" s="7">
        <v>0</v>
      </c>
      <c r="O54" s="7">
        <v>0</v>
      </c>
      <c r="P54" s="7">
        <v>0</v>
      </c>
      <c r="Q54" s="7">
        <v>0</v>
      </c>
      <c r="R54" s="11">
        <v>41803</v>
      </c>
      <c r="S54" s="11">
        <v>41803</v>
      </c>
    </row>
    <row r="55" spans="1:19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6</v>
      </c>
      <c r="M55" s="6">
        <v>2020</v>
      </c>
      <c r="N55" s="7">
        <v>0</v>
      </c>
      <c r="O55" s="7">
        <v>0</v>
      </c>
      <c r="P55" s="7">
        <v>0</v>
      </c>
      <c r="Q55" s="7">
        <v>0</v>
      </c>
      <c r="R55" s="11">
        <v>41803</v>
      </c>
      <c r="S55" s="11">
        <v>41803</v>
      </c>
    </row>
    <row r="56" spans="1:19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4</v>
      </c>
      <c r="M56" s="6">
        <v>2018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41803</v>
      </c>
      <c r="S56" s="11">
        <v>41803</v>
      </c>
    </row>
    <row r="57" spans="1:19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10</v>
      </c>
      <c r="M57" s="6">
        <v>2024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41803</v>
      </c>
      <c r="S57" s="11">
        <v>41803</v>
      </c>
    </row>
    <row r="58" spans="1:19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5</v>
      </c>
      <c r="M58" s="6">
        <v>2019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41803</v>
      </c>
      <c r="S58" s="11">
        <v>41803</v>
      </c>
    </row>
    <row r="59" spans="1:19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7</v>
      </c>
      <c r="M59" s="6">
        <v>2021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41803</v>
      </c>
      <c r="S59" s="11">
        <v>41803</v>
      </c>
    </row>
    <row r="60" spans="1:19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3</v>
      </c>
      <c r="M60" s="6">
        <v>2017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41803</v>
      </c>
      <c r="S60" s="11">
        <v>41803</v>
      </c>
    </row>
    <row r="61" spans="1:19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6</v>
      </c>
      <c r="M61" s="6">
        <v>2020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41803</v>
      </c>
      <c r="S61" s="11">
        <v>41803</v>
      </c>
    </row>
    <row r="62" spans="1:19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0</v>
      </c>
      <c r="M62" s="6">
        <v>2014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41803</v>
      </c>
      <c r="S62" s="11">
        <v>41803</v>
      </c>
    </row>
    <row r="63" spans="1:19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9</v>
      </c>
      <c r="M63" s="6">
        <v>2023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41803</v>
      </c>
      <c r="S63" s="11">
        <v>41803</v>
      </c>
    </row>
    <row r="64" spans="1:19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2</v>
      </c>
      <c r="M64" s="6">
        <v>2016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41803</v>
      </c>
      <c r="S64" s="11">
        <v>41803</v>
      </c>
    </row>
    <row r="65" spans="1:19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1</v>
      </c>
      <c r="M65" s="6">
        <v>2015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41803</v>
      </c>
      <c r="S65" s="11">
        <v>41803</v>
      </c>
    </row>
    <row r="66" spans="1:19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8</v>
      </c>
      <c r="M66" s="6">
        <v>2022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41803</v>
      </c>
      <c r="S66" s="11">
        <v>41803</v>
      </c>
    </row>
    <row r="67" spans="1:19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12</v>
      </c>
      <c r="M67" s="6">
        <v>2026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41803</v>
      </c>
      <c r="S67" s="11">
        <v>41803</v>
      </c>
    </row>
    <row r="68" spans="1:19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11</v>
      </c>
      <c r="M68" s="6">
        <v>2025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41803</v>
      </c>
      <c r="S68" s="11">
        <v>41803</v>
      </c>
    </row>
    <row r="69" spans="1:19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3</v>
      </c>
      <c r="M69" s="6">
        <v>2017</v>
      </c>
      <c r="N69" s="7">
        <v>0</v>
      </c>
      <c r="O69" s="7">
        <v>0</v>
      </c>
      <c r="P69" s="7">
        <v>0</v>
      </c>
      <c r="Q69" s="7">
        <v>0</v>
      </c>
      <c r="R69" s="11">
        <v>41803</v>
      </c>
      <c r="S69" s="11">
        <v>41803</v>
      </c>
    </row>
    <row r="70" spans="1:19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2020</v>
      </c>
      <c r="N70" s="7">
        <v>0</v>
      </c>
      <c r="O70" s="7">
        <v>0</v>
      </c>
      <c r="P70" s="7">
        <v>0</v>
      </c>
      <c r="Q70" s="7">
        <v>0</v>
      </c>
      <c r="R70" s="11">
        <v>41803</v>
      </c>
      <c r="S70" s="11">
        <v>41803</v>
      </c>
    </row>
    <row r="71" spans="1:19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5</v>
      </c>
      <c r="M71" s="6">
        <v>2019</v>
      </c>
      <c r="N71" s="7">
        <v>0</v>
      </c>
      <c r="O71" s="7">
        <v>0</v>
      </c>
      <c r="P71" s="7">
        <v>0</v>
      </c>
      <c r="Q71" s="7">
        <v>0</v>
      </c>
      <c r="R71" s="11">
        <v>41803</v>
      </c>
      <c r="S71" s="11">
        <v>41803</v>
      </c>
    </row>
    <row r="72" spans="1:19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9</v>
      </c>
      <c r="M72" s="6">
        <v>2023</v>
      </c>
      <c r="N72" s="7">
        <v>0</v>
      </c>
      <c r="O72" s="7">
        <v>0</v>
      </c>
      <c r="P72" s="7">
        <v>0</v>
      </c>
      <c r="Q72" s="7">
        <v>0</v>
      </c>
      <c r="R72" s="11">
        <v>41803</v>
      </c>
      <c r="S72" s="11">
        <v>41803</v>
      </c>
    </row>
    <row r="73" spans="1:19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2</v>
      </c>
      <c r="M73" s="6">
        <v>2016</v>
      </c>
      <c r="N73" s="7">
        <v>0</v>
      </c>
      <c r="O73" s="7">
        <v>0</v>
      </c>
      <c r="P73" s="7">
        <v>0</v>
      </c>
      <c r="Q73" s="7">
        <v>0</v>
      </c>
      <c r="R73" s="11">
        <v>41803</v>
      </c>
      <c r="S73" s="11">
        <v>41803</v>
      </c>
    </row>
    <row r="74" spans="1:19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0</v>
      </c>
      <c r="M74" s="6">
        <v>2014</v>
      </c>
      <c r="N74" s="7">
        <v>0</v>
      </c>
      <c r="O74" s="7">
        <v>0</v>
      </c>
      <c r="P74" s="7">
        <v>0</v>
      </c>
      <c r="Q74" s="7">
        <v>0</v>
      </c>
      <c r="R74" s="11">
        <v>41803</v>
      </c>
      <c r="S74" s="11">
        <v>41803</v>
      </c>
    </row>
    <row r="75" spans="1:19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11</v>
      </c>
      <c r="M75" s="6">
        <v>2025</v>
      </c>
      <c r="N75" s="7">
        <v>0</v>
      </c>
      <c r="O75" s="7">
        <v>0</v>
      </c>
      <c r="P75" s="7">
        <v>0</v>
      </c>
      <c r="Q75" s="7">
        <v>0</v>
      </c>
      <c r="R75" s="11">
        <v>41803</v>
      </c>
      <c r="S75" s="11">
        <v>41803</v>
      </c>
    </row>
    <row r="76" spans="1:19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4</v>
      </c>
      <c r="M76" s="6">
        <v>2018</v>
      </c>
      <c r="N76" s="7">
        <v>0</v>
      </c>
      <c r="O76" s="7">
        <v>0</v>
      </c>
      <c r="P76" s="7">
        <v>0</v>
      </c>
      <c r="Q76" s="7">
        <v>0</v>
      </c>
      <c r="R76" s="11">
        <v>41803</v>
      </c>
      <c r="S76" s="11">
        <v>41803</v>
      </c>
    </row>
    <row r="77" spans="1:19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12</v>
      </c>
      <c r="M77" s="6">
        <v>2026</v>
      </c>
      <c r="N77" s="7">
        <v>0</v>
      </c>
      <c r="O77" s="7">
        <v>0</v>
      </c>
      <c r="P77" s="7">
        <v>0</v>
      </c>
      <c r="Q77" s="7">
        <v>0</v>
      </c>
      <c r="R77" s="11">
        <v>41803</v>
      </c>
      <c r="S77" s="11">
        <v>41803</v>
      </c>
    </row>
    <row r="78" spans="1:19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7</v>
      </c>
      <c r="M78" s="6">
        <v>2021</v>
      </c>
      <c r="N78" s="7">
        <v>0</v>
      </c>
      <c r="O78" s="7">
        <v>0</v>
      </c>
      <c r="P78" s="7">
        <v>0</v>
      </c>
      <c r="Q78" s="7">
        <v>0</v>
      </c>
      <c r="R78" s="11">
        <v>41803</v>
      </c>
      <c r="S78" s="11">
        <v>41803</v>
      </c>
    </row>
    <row r="79" spans="1:19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10</v>
      </c>
      <c r="M79" s="6">
        <v>2024</v>
      </c>
      <c r="N79" s="7">
        <v>0</v>
      </c>
      <c r="O79" s="7">
        <v>0</v>
      </c>
      <c r="P79" s="7">
        <v>0</v>
      </c>
      <c r="Q79" s="7">
        <v>0</v>
      </c>
      <c r="R79" s="11">
        <v>41803</v>
      </c>
      <c r="S79" s="11">
        <v>41803</v>
      </c>
    </row>
    <row r="80" spans="1:19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8</v>
      </c>
      <c r="M80" s="6">
        <v>2022</v>
      </c>
      <c r="N80" s="7">
        <v>0</v>
      </c>
      <c r="O80" s="7">
        <v>0</v>
      </c>
      <c r="P80" s="7">
        <v>0</v>
      </c>
      <c r="Q80" s="7">
        <v>0</v>
      </c>
      <c r="R80" s="11">
        <v>41803</v>
      </c>
      <c r="S80" s="11">
        <v>41803</v>
      </c>
    </row>
    <row r="81" spans="1:19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1</v>
      </c>
      <c r="M81" s="6">
        <v>2015</v>
      </c>
      <c r="N81" s="7">
        <v>0</v>
      </c>
      <c r="O81" s="7">
        <v>0</v>
      </c>
      <c r="P81" s="7">
        <v>0</v>
      </c>
      <c r="Q81" s="7">
        <v>0</v>
      </c>
      <c r="R81" s="11">
        <v>41803</v>
      </c>
      <c r="S81" s="11">
        <v>41803</v>
      </c>
    </row>
    <row r="82" spans="1:19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7</v>
      </c>
      <c r="M82" s="6">
        <v>2021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41803</v>
      </c>
      <c r="S82" s="11">
        <v>41803</v>
      </c>
    </row>
    <row r="83" spans="1:19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0</v>
      </c>
      <c r="M83" s="6">
        <v>2014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41803</v>
      </c>
      <c r="S83" s="11">
        <v>41803</v>
      </c>
    </row>
    <row r="84" spans="1:19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2</v>
      </c>
      <c r="M84" s="6">
        <v>2016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41803</v>
      </c>
      <c r="S84" s="11">
        <v>41803</v>
      </c>
    </row>
    <row r="85" spans="1:19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6</v>
      </c>
      <c r="M85" s="6">
        <v>2020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41803</v>
      </c>
      <c r="S85" s="11">
        <v>41803</v>
      </c>
    </row>
    <row r="86" spans="1:19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10</v>
      </c>
      <c r="M86" s="6">
        <v>2024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41803</v>
      </c>
      <c r="S86" s="11">
        <v>41803</v>
      </c>
    </row>
    <row r="87" spans="1:19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11</v>
      </c>
      <c r="M87" s="6">
        <v>2025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41803</v>
      </c>
      <c r="S87" s="11">
        <v>41803</v>
      </c>
    </row>
    <row r="88" spans="1:19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3</v>
      </c>
      <c r="M88" s="6">
        <v>2017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41803</v>
      </c>
      <c r="S88" s="11">
        <v>41803</v>
      </c>
    </row>
    <row r="89" spans="1:19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9</v>
      </c>
      <c r="M89" s="6">
        <v>2023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41803</v>
      </c>
      <c r="S89" s="11">
        <v>41803</v>
      </c>
    </row>
    <row r="90" spans="1:19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5</v>
      </c>
      <c r="M90" s="6">
        <v>2019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41803</v>
      </c>
      <c r="S90" s="11">
        <v>41803</v>
      </c>
    </row>
    <row r="91" spans="1:19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8</v>
      </c>
      <c r="M91" s="6">
        <v>2022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41803</v>
      </c>
      <c r="S91" s="11">
        <v>41803</v>
      </c>
    </row>
    <row r="92" spans="1:19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1</v>
      </c>
      <c r="M92" s="6">
        <v>2015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41803</v>
      </c>
      <c r="S92" s="11">
        <v>41803</v>
      </c>
    </row>
    <row r="93" spans="1:19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4</v>
      </c>
      <c r="M93" s="6">
        <v>2018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41803</v>
      </c>
      <c r="S93" s="11">
        <v>41803</v>
      </c>
    </row>
    <row r="94" spans="1:19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12</v>
      </c>
      <c r="M94" s="6">
        <v>2026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41803</v>
      </c>
      <c r="S94" s="11">
        <v>41803</v>
      </c>
    </row>
    <row r="95" spans="1:19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10</v>
      </c>
      <c r="M95" s="6">
        <v>2024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41803</v>
      </c>
      <c r="S95" s="11">
        <v>41803</v>
      </c>
    </row>
    <row r="96" spans="1:19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0</v>
      </c>
      <c r="M96" s="6">
        <v>2014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41803</v>
      </c>
      <c r="S96" s="11">
        <v>41803</v>
      </c>
    </row>
    <row r="97" spans="1:19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5</v>
      </c>
      <c r="M97" s="6">
        <v>2019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41803</v>
      </c>
      <c r="S97" s="11">
        <v>41803</v>
      </c>
    </row>
    <row r="98" spans="1:19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6</v>
      </c>
      <c r="M98" s="6">
        <v>2020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41803</v>
      </c>
      <c r="S98" s="11">
        <v>41803</v>
      </c>
    </row>
    <row r="99" spans="1:19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8</v>
      </c>
      <c r="M99" s="6">
        <v>2022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41803</v>
      </c>
      <c r="S99" s="11">
        <v>41803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3</v>
      </c>
      <c r="M100" s="6">
        <v>2017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41803</v>
      </c>
      <c r="S100" s="11">
        <v>41803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11</v>
      </c>
      <c r="M101" s="6">
        <v>2025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41803</v>
      </c>
      <c r="S101" s="11">
        <v>41803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7</v>
      </c>
      <c r="M102" s="6">
        <v>2021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41803</v>
      </c>
      <c r="S102" s="11">
        <v>41803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2</v>
      </c>
      <c r="M103" s="6">
        <v>2016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41803</v>
      </c>
      <c r="S103" s="11">
        <v>41803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1</v>
      </c>
      <c r="M104" s="6">
        <v>2015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41803</v>
      </c>
      <c r="S104" s="11">
        <v>41803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12</v>
      </c>
      <c r="M105" s="6">
        <v>2026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41803</v>
      </c>
      <c r="S105" s="11">
        <v>41803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9</v>
      </c>
      <c r="M106" s="6">
        <v>2023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41803</v>
      </c>
      <c r="S106" s="11">
        <v>41803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4</v>
      </c>
      <c r="M107" s="6">
        <v>2018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41803</v>
      </c>
      <c r="S107" s="11">
        <v>41803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7</v>
      </c>
      <c r="M108" s="6">
        <v>2021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41803</v>
      </c>
      <c r="S108" s="11">
        <v>41803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2</v>
      </c>
      <c r="M109" s="6">
        <v>2016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41803</v>
      </c>
      <c r="S109" s="11">
        <v>41803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6</v>
      </c>
      <c r="M110" s="6">
        <v>2020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41803</v>
      </c>
      <c r="S110" s="11">
        <v>41803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9</v>
      </c>
      <c r="M111" s="6">
        <v>2023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41803</v>
      </c>
      <c r="S111" s="11">
        <v>41803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5</v>
      </c>
      <c r="M112" s="6">
        <v>2019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41803</v>
      </c>
      <c r="S112" s="11">
        <v>41803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8</v>
      </c>
      <c r="M113" s="6">
        <v>2022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41803</v>
      </c>
      <c r="S113" s="11">
        <v>41803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4</v>
      </c>
      <c r="M114" s="6">
        <v>2018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41803</v>
      </c>
      <c r="S114" s="11">
        <v>41803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11</v>
      </c>
      <c r="M115" s="6">
        <v>2025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41803</v>
      </c>
      <c r="S115" s="11">
        <v>41803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3</v>
      </c>
      <c r="M116" s="6">
        <v>2017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41803</v>
      </c>
      <c r="S116" s="11">
        <v>41803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10</v>
      </c>
      <c r="M117" s="6">
        <v>2024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41803</v>
      </c>
      <c r="S117" s="11">
        <v>41803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0</v>
      </c>
      <c r="M118" s="6">
        <v>2014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41803</v>
      </c>
      <c r="S118" s="11">
        <v>41803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1</v>
      </c>
      <c r="M119" s="6">
        <v>2015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41803</v>
      </c>
      <c r="S119" s="11">
        <v>41803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12</v>
      </c>
      <c r="M120" s="6">
        <v>2026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41803</v>
      </c>
      <c r="S120" s="11">
        <v>41803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10</v>
      </c>
      <c r="M121" s="6">
        <v>2024</v>
      </c>
      <c r="N121" s="7">
        <v>0</v>
      </c>
      <c r="O121" s="7">
        <v>0</v>
      </c>
      <c r="P121" s="7">
        <v>0</v>
      </c>
      <c r="Q121" s="7">
        <v>0</v>
      </c>
      <c r="R121" s="11">
        <v>41803</v>
      </c>
      <c r="S121" s="11">
        <v>41803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5</v>
      </c>
      <c r="M122" s="6">
        <v>2019</v>
      </c>
      <c r="N122" s="7">
        <v>0</v>
      </c>
      <c r="O122" s="7">
        <v>0</v>
      </c>
      <c r="P122" s="7">
        <v>0</v>
      </c>
      <c r="Q122" s="7">
        <v>0</v>
      </c>
      <c r="R122" s="11">
        <v>41803</v>
      </c>
      <c r="S122" s="11">
        <v>41803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9</v>
      </c>
      <c r="M123" s="6">
        <v>2023</v>
      </c>
      <c r="N123" s="7">
        <v>0</v>
      </c>
      <c r="O123" s="7">
        <v>0</v>
      </c>
      <c r="P123" s="7">
        <v>0</v>
      </c>
      <c r="Q123" s="7">
        <v>0</v>
      </c>
      <c r="R123" s="11">
        <v>41803</v>
      </c>
      <c r="S123" s="11">
        <v>41803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7</v>
      </c>
      <c r="M124" s="6">
        <v>2021</v>
      </c>
      <c r="N124" s="7">
        <v>0</v>
      </c>
      <c r="O124" s="7">
        <v>0</v>
      </c>
      <c r="P124" s="7">
        <v>0</v>
      </c>
      <c r="Q124" s="7">
        <v>0</v>
      </c>
      <c r="R124" s="11">
        <v>41803</v>
      </c>
      <c r="S124" s="11">
        <v>41803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4</v>
      </c>
      <c r="M125" s="6">
        <v>2018</v>
      </c>
      <c r="N125" s="7">
        <v>0</v>
      </c>
      <c r="O125" s="7">
        <v>0</v>
      </c>
      <c r="P125" s="7">
        <v>0</v>
      </c>
      <c r="Q125" s="7">
        <v>0</v>
      </c>
      <c r="R125" s="11">
        <v>41803</v>
      </c>
      <c r="S125" s="11">
        <v>41803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</v>
      </c>
      <c r="M126" s="6">
        <v>2015</v>
      </c>
      <c r="N126" s="7">
        <v>0</v>
      </c>
      <c r="O126" s="7">
        <v>0</v>
      </c>
      <c r="P126" s="7">
        <v>0</v>
      </c>
      <c r="Q126" s="7">
        <v>0</v>
      </c>
      <c r="R126" s="11">
        <v>41803</v>
      </c>
      <c r="S126" s="11">
        <v>41803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630</v>
      </c>
      <c r="H127" s="10">
        <v>11.4</v>
      </c>
      <c r="I127" s="10"/>
      <c r="J127" s="10" t="s">
        <v>81</v>
      </c>
      <c r="K127" s="10" t="b">
        <v>1</v>
      </c>
      <c r="L127" s="10">
        <v>7</v>
      </c>
      <c r="M127" s="6">
        <v>2021</v>
      </c>
      <c r="N127" s="7">
        <v>0</v>
      </c>
      <c r="O127" s="7">
        <v>0</v>
      </c>
      <c r="P127" s="7">
        <v>24666584.14</v>
      </c>
      <c r="Q127" s="7">
        <v>26029497.98</v>
      </c>
      <c r="R127" s="11">
        <v>41803</v>
      </c>
      <c r="S127" s="11">
        <v>41803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630</v>
      </c>
      <c r="H128" s="10">
        <v>11.4</v>
      </c>
      <c r="I128" s="10"/>
      <c r="J128" s="10" t="s">
        <v>81</v>
      </c>
      <c r="K128" s="10" t="b">
        <v>1</v>
      </c>
      <c r="L128" s="10">
        <v>12</v>
      </c>
      <c r="M128" s="6">
        <v>2026</v>
      </c>
      <c r="N128" s="7">
        <v>0</v>
      </c>
      <c r="O128" s="7">
        <v>0</v>
      </c>
      <c r="P128" s="7">
        <v>24666584.14</v>
      </c>
      <c r="Q128" s="7">
        <v>26029497.98</v>
      </c>
      <c r="R128" s="11">
        <v>41803</v>
      </c>
      <c r="S128" s="11">
        <v>41803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11</v>
      </c>
      <c r="M129" s="6">
        <v>2025</v>
      </c>
      <c r="N129" s="7">
        <v>0</v>
      </c>
      <c r="O129" s="7">
        <v>0</v>
      </c>
      <c r="P129" s="7">
        <v>0</v>
      </c>
      <c r="Q129" s="7">
        <v>0</v>
      </c>
      <c r="R129" s="11">
        <v>41803</v>
      </c>
      <c r="S129" s="11">
        <v>41803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6</v>
      </c>
      <c r="M130" s="6">
        <v>2020</v>
      </c>
      <c r="N130" s="7">
        <v>0</v>
      </c>
      <c r="O130" s="7">
        <v>0</v>
      </c>
      <c r="P130" s="7">
        <v>0</v>
      </c>
      <c r="Q130" s="7">
        <v>0</v>
      </c>
      <c r="R130" s="11">
        <v>41803</v>
      </c>
      <c r="S130" s="11">
        <v>41803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3</v>
      </c>
      <c r="M131" s="6">
        <v>2017</v>
      </c>
      <c r="N131" s="7">
        <v>0</v>
      </c>
      <c r="O131" s="7">
        <v>0</v>
      </c>
      <c r="P131" s="7">
        <v>0</v>
      </c>
      <c r="Q131" s="7">
        <v>0</v>
      </c>
      <c r="R131" s="11">
        <v>41803</v>
      </c>
      <c r="S131" s="11">
        <v>41803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12</v>
      </c>
      <c r="M132" s="6">
        <v>2026</v>
      </c>
      <c r="N132" s="7">
        <v>0</v>
      </c>
      <c r="O132" s="7">
        <v>0</v>
      </c>
      <c r="P132" s="7">
        <v>0</v>
      </c>
      <c r="Q132" s="7">
        <v>0</v>
      </c>
      <c r="R132" s="11">
        <v>41803</v>
      </c>
      <c r="S132" s="11">
        <v>41803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8</v>
      </c>
      <c r="M133" s="6">
        <v>2022</v>
      </c>
      <c r="N133" s="7">
        <v>0</v>
      </c>
      <c r="O133" s="7">
        <v>0</v>
      </c>
      <c r="P133" s="7">
        <v>0</v>
      </c>
      <c r="Q133" s="7">
        <v>0</v>
      </c>
      <c r="R133" s="11">
        <v>41803</v>
      </c>
      <c r="S133" s="11">
        <v>41803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840</v>
      </c>
      <c r="H134" s="10">
        <v>13.5</v>
      </c>
      <c r="I134" s="10"/>
      <c r="J134" s="10" t="s">
        <v>110</v>
      </c>
      <c r="K134" s="10" t="b">
        <v>1</v>
      </c>
      <c r="L134" s="10">
        <v>2</v>
      </c>
      <c r="M134" s="6">
        <v>2016</v>
      </c>
      <c r="N134" s="7">
        <v>0</v>
      </c>
      <c r="O134" s="7">
        <v>0</v>
      </c>
      <c r="P134" s="7">
        <v>0</v>
      </c>
      <c r="Q134" s="7">
        <v>0</v>
      </c>
      <c r="R134" s="11">
        <v>41803</v>
      </c>
      <c r="S134" s="11">
        <v>41803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840</v>
      </c>
      <c r="H135" s="10">
        <v>13.5</v>
      </c>
      <c r="I135" s="10"/>
      <c r="J135" s="10" t="s">
        <v>110</v>
      </c>
      <c r="K135" s="10" t="b">
        <v>1</v>
      </c>
      <c r="L135" s="10">
        <v>0</v>
      </c>
      <c r="M135" s="6">
        <v>2014</v>
      </c>
      <c r="N135" s="7">
        <v>0</v>
      </c>
      <c r="O135" s="7">
        <v>0</v>
      </c>
      <c r="P135" s="7">
        <v>0</v>
      </c>
      <c r="Q135" s="7">
        <v>0</v>
      </c>
      <c r="R135" s="11">
        <v>41803</v>
      </c>
      <c r="S135" s="11">
        <v>41803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8</v>
      </c>
      <c r="M136" s="6">
        <v>2022</v>
      </c>
      <c r="N136" s="7">
        <v>0</v>
      </c>
      <c r="O136" s="7">
        <v>0</v>
      </c>
      <c r="P136" s="7">
        <v>0</v>
      </c>
      <c r="Q136" s="7">
        <v>0</v>
      </c>
      <c r="R136" s="11">
        <v>41803</v>
      </c>
      <c r="S136" s="11">
        <v>41803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1</v>
      </c>
      <c r="M137" s="6">
        <v>2015</v>
      </c>
      <c r="N137" s="7">
        <v>0</v>
      </c>
      <c r="O137" s="7">
        <v>0</v>
      </c>
      <c r="P137" s="7">
        <v>0</v>
      </c>
      <c r="Q137" s="7">
        <v>0</v>
      </c>
      <c r="R137" s="11">
        <v>41803</v>
      </c>
      <c r="S137" s="11">
        <v>41803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3</v>
      </c>
      <c r="M138" s="6">
        <v>2017</v>
      </c>
      <c r="N138" s="7">
        <v>0</v>
      </c>
      <c r="O138" s="7">
        <v>0</v>
      </c>
      <c r="P138" s="7">
        <v>0</v>
      </c>
      <c r="Q138" s="7">
        <v>0</v>
      </c>
      <c r="R138" s="11">
        <v>41803</v>
      </c>
      <c r="S138" s="11">
        <v>41803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10</v>
      </c>
      <c r="M139" s="6">
        <v>2024</v>
      </c>
      <c r="N139" s="7">
        <v>0</v>
      </c>
      <c r="O139" s="7">
        <v>0</v>
      </c>
      <c r="P139" s="7">
        <v>0</v>
      </c>
      <c r="Q139" s="7">
        <v>0</v>
      </c>
      <c r="R139" s="11">
        <v>41803</v>
      </c>
      <c r="S139" s="11">
        <v>41803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0</v>
      </c>
      <c r="M140" s="6">
        <v>2014</v>
      </c>
      <c r="N140" s="7">
        <v>0</v>
      </c>
      <c r="O140" s="7">
        <v>0</v>
      </c>
      <c r="P140" s="7">
        <v>0</v>
      </c>
      <c r="Q140" s="7">
        <v>0</v>
      </c>
      <c r="R140" s="11">
        <v>41803</v>
      </c>
      <c r="S140" s="11">
        <v>41803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9</v>
      </c>
      <c r="M141" s="6">
        <v>2023</v>
      </c>
      <c r="N141" s="7">
        <v>0</v>
      </c>
      <c r="O141" s="7">
        <v>0</v>
      </c>
      <c r="P141" s="7">
        <v>0</v>
      </c>
      <c r="Q141" s="7">
        <v>0</v>
      </c>
      <c r="R141" s="11">
        <v>41803</v>
      </c>
      <c r="S141" s="11">
        <v>41803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12</v>
      </c>
      <c r="M142" s="6">
        <v>2026</v>
      </c>
      <c r="N142" s="7">
        <v>0</v>
      </c>
      <c r="O142" s="7">
        <v>0</v>
      </c>
      <c r="P142" s="7">
        <v>0</v>
      </c>
      <c r="Q142" s="7">
        <v>0</v>
      </c>
      <c r="R142" s="11">
        <v>41803</v>
      </c>
      <c r="S142" s="11">
        <v>41803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11</v>
      </c>
      <c r="M143" s="6">
        <v>2025</v>
      </c>
      <c r="N143" s="7">
        <v>0</v>
      </c>
      <c r="O143" s="7">
        <v>0</v>
      </c>
      <c r="P143" s="7">
        <v>0</v>
      </c>
      <c r="Q143" s="7">
        <v>0</v>
      </c>
      <c r="R143" s="11">
        <v>41803</v>
      </c>
      <c r="S143" s="11">
        <v>41803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6</v>
      </c>
      <c r="M144" s="6">
        <v>2020</v>
      </c>
      <c r="N144" s="7">
        <v>0</v>
      </c>
      <c r="O144" s="7">
        <v>0</v>
      </c>
      <c r="P144" s="7">
        <v>0</v>
      </c>
      <c r="Q144" s="7">
        <v>0</v>
      </c>
      <c r="R144" s="11">
        <v>41803</v>
      </c>
      <c r="S144" s="11">
        <v>41803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2</v>
      </c>
      <c r="M145" s="6">
        <v>2016</v>
      </c>
      <c r="N145" s="7">
        <v>0</v>
      </c>
      <c r="O145" s="7">
        <v>0</v>
      </c>
      <c r="P145" s="7">
        <v>0</v>
      </c>
      <c r="Q145" s="7">
        <v>0</v>
      </c>
      <c r="R145" s="11">
        <v>41803</v>
      </c>
      <c r="S145" s="11">
        <v>41803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7</v>
      </c>
      <c r="M146" s="6">
        <v>2021</v>
      </c>
      <c r="N146" s="7">
        <v>0</v>
      </c>
      <c r="O146" s="7">
        <v>0</v>
      </c>
      <c r="P146" s="7">
        <v>0</v>
      </c>
      <c r="Q146" s="7">
        <v>0</v>
      </c>
      <c r="R146" s="11">
        <v>41803</v>
      </c>
      <c r="S146" s="11">
        <v>41803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280</v>
      </c>
      <c r="H147" s="10">
        <v>4.4</v>
      </c>
      <c r="I147" s="10"/>
      <c r="J147" s="10" t="s">
        <v>61</v>
      </c>
      <c r="K147" s="10" t="b">
        <v>0</v>
      </c>
      <c r="L147" s="10">
        <v>5</v>
      </c>
      <c r="M147" s="6">
        <v>2019</v>
      </c>
      <c r="N147" s="7">
        <v>0</v>
      </c>
      <c r="O147" s="7">
        <v>0</v>
      </c>
      <c r="P147" s="7">
        <v>0</v>
      </c>
      <c r="Q147" s="7">
        <v>0</v>
      </c>
      <c r="R147" s="11">
        <v>41803</v>
      </c>
      <c r="S147" s="11">
        <v>41803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280</v>
      </c>
      <c r="H148" s="10">
        <v>4.4</v>
      </c>
      <c r="I148" s="10"/>
      <c r="J148" s="10" t="s">
        <v>61</v>
      </c>
      <c r="K148" s="10" t="b">
        <v>0</v>
      </c>
      <c r="L148" s="10">
        <v>4</v>
      </c>
      <c r="M148" s="6">
        <v>2018</v>
      </c>
      <c r="N148" s="7">
        <v>0</v>
      </c>
      <c r="O148" s="7">
        <v>0</v>
      </c>
      <c r="P148" s="7">
        <v>0</v>
      </c>
      <c r="Q148" s="7">
        <v>0</v>
      </c>
      <c r="R148" s="11">
        <v>41803</v>
      </c>
      <c r="S148" s="11">
        <v>41803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12</v>
      </c>
      <c r="M149" s="6">
        <v>2026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41803</v>
      </c>
      <c r="S149" s="11">
        <v>41803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2</v>
      </c>
      <c r="M150" s="6">
        <v>2016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41803</v>
      </c>
      <c r="S150" s="11">
        <v>41803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3</v>
      </c>
      <c r="M151" s="6">
        <v>2017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41803</v>
      </c>
      <c r="S151" s="11">
        <v>41803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8</v>
      </c>
      <c r="M152" s="6">
        <v>2022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41803</v>
      </c>
      <c r="S152" s="11">
        <v>41803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7</v>
      </c>
      <c r="M153" s="6">
        <v>2021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41803</v>
      </c>
      <c r="S153" s="11">
        <v>41803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6</v>
      </c>
      <c r="M154" s="6">
        <v>2020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41803</v>
      </c>
      <c r="S154" s="11">
        <v>41803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5</v>
      </c>
      <c r="M155" s="6">
        <v>2019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41803</v>
      </c>
      <c r="S155" s="11">
        <v>41803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</v>
      </c>
      <c r="M156" s="6">
        <v>2015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41803</v>
      </c>
      <c r="S156" s="11">
        <v>41803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0</v>
      </c>
      <c r="M157" s="6">
        <v>2014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41803</v>
      </c>
      <c r="S157" s="11">
        <v>41803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11</v>
      </c>
      <c r="M158" s="6">
        <v>2025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41803</v>
      </c>
      <c r="S158" s="11">
        <v>41803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4</v>
      </c>
      <c r="M159" s="6">
        <v>2018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41803</v>
      </c>
      <c r="S159" s="11">
        <v>41803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700</v>
      </c>
      <c r="H160" s="10">
        <v>12.2</v>
      </c>
      <c r="I160" s="10"/>
      <c r="J160" s="10" t="s">
        <v>90</v>
      </c>
      <c r="K160" s="10" t="b">
        <v>0</v>
      </c>
      <c r="L160" s="10">
        <v>10</v>
      </c>
      <c r="M160" s="6">
        <v>2024</v>
      </c>
      <c r="N160" s="7">
        <v>0</v>
      </c>
      <c r="O160" s="7">
        <v>0</v>
      </c>
      <c r="P160" s="7">
        <v>2292204.36</v>
      </c>
      <c r="Q160" s="7">
        <v>1681225.77</v>
      </c>
      <c r="R160" s="11">
        <v>41803</v>
      </c>
      <c r="S160" s="11">
        <v>41803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700</v>
      </c>
      <c r="H161" s="10">
        <v>12.2</v>
      </c>
      <c r="I161" s="10"/>
      <c r="J161" s="10" t="s">
        <v>90</v>
      </c>
      <c r="K161" s="10" t="b">
        <v>0</v>
      </c>
      <c r="L161" s="10">
        <v>9</v>
      </c>
      <c r="M161" s="6">
        <v>2023</v>
      </c>
      <c r="N161" s="7">
        <v>0</v>
      </c>
      <c r="O161" s="7">
        <v>0</v>
      </c>
      <c r="P161" s="7">
        <v>2292204.36</v>
      </c>
      <c r="Q161" s="7">
        <v>1681225.77</v>
      </c>
      <c r="R161" s="11">
        <v>41803</v>
      </c>
      <c r="S161" s="11">
        <v>41803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11</v>
      </c>
      <c r="M162" s="6">
        <v>2025</v>
      </c>
      <c r="N162" s="7">
        <v>0</v>
      </c>
      <c r="O162" s="7">
        <v>0</v>
      </c>
      <c r="P162" s="7">
        <v>0</v>
      </c>
      <c r="Q162" s="7">
        <v>0</v>
      </c>
      <c r="R162" s="11">
        <v>41803</v>
      </c>
      <c r="S162" s="11">
        <v>41803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10</v>
      </c>
      <c r="M163" s="6">
        <v>2024</v>
      </c>
      <c r="N163" s="7">
        <v>0</v>
      </c>
      <c r="O163" s="7">
        <v>0</v>
      </c>
      <c r="P163" s="7">
        <v>0</v>
      </c>
      <c r="Q163" s="7">
        <v>0</v>
      </c>
      <c r="R163" s="11">
        <v>41803</v>
      </c>
      <c r="S163" s="11">
        <v>41803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12</v>
      </c>
      <c r="M164" s="6">
        <v>2026</v>
      </c>
      <c r="N164" s="7">
        <v>0</v>
      </c>
      <c r="O164" s="7">
        <v>0</v>
      </c>
      <c r="P164" s="7">
        <v>0</v>
      </c>
      <c r="Q164" s="7">
        <v>0</v>
      </c>
      <c r="R164" s="11">
        <v>41803</v>
      </c>
      <c r="S164" s="11">
        <v>41803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6</v>
      </c>
      <c r="M165" s="6">
        <v>2020</v>
      </c>
      <c r="N165" s="7">
        <v>0</v>
      </c>
      <c r="O165" s="7">
        <v>0</v>
      </c>
      <c r="P165" s="7">
        <v>0</v>
      </c>
      <c r="Q165" s="7">
        <v>0</v>
      </c>
      <c r="R165" s="11">
        <v>41803</v>
      </c>
      <c r="S165" s="11">
        <v>41803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9</v>
      </c>
      <c r="M166" s="6">
        <v>2023</v>
      </c>
      <c r="N166" s="7">
        <v>0</v>
      </c>
      <c r="O166" s="7">
        <v>0</v>
      </c>
      <c r="P166" s="7">
        <v>0</v>
      </c>
      <c r="Q166" s="7">
        <v>0</v>
      </c>
      <c r="R166" s="11">
        <v>41803</v>
      </c>
      <c r="S166" s="11">
        <v>41803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4</v>
      </c>
      <c r="M167" s="6">
        <v>2018</v>
      </c>
      <c r="N167" s="7">
        <v>0</v>
      </c>
      <c r="O167" s="7">
        <v>0</v>
      </c>
      <c r="P167" s="7">
        <v>0</v>
      </c>
      <c r="Q167" s="7">
        <v>0</v>
      </c>
      <c r="R167" s="11">
        <v>41803</v>
      </c>
      <c r="S167" s="11">
        <v>41803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3</v>
      </c>
      <c r="M168" s="6">
        <v>2017</v>
      </c>
      <c r="N168" s="7">
        <v>0</v>
      </c>
      <c r="O168" s="7">
        <v>0</v>
      </c>
      <c r="P168" s="7">
        <v>0</v>
      </c>
      <c r="Q168" s="7">
        <v>0</v>
      </c>
      <c r="R168" s="11">
        <v>41803</v>
      </c>
      <c r="S168" s="11">
        <v>41803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5</v>
      </c>
      <c r="M169" s="6">
        <v>2019</v>
      </c>
      <c r="N169" s="7">
        <v>0</v>
      </c>
      <c r="O169" s="7">
        <v>0</v>
      </c>
      <c r="P169" s="7">
        <v>0</v>
      </c>
      <c r="Q169" s="7">
        <v>0</v>
      </c>
      <c r="R169" s="11">
        <v>41803</v>
      </c>
      <c r="S169" s="11">
        <v>41803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2</v>
      </c>
      <c r="M170" s="6">
        <v>2016</v>
      </c>
      <c r="N170" s="7">
        <v>0</v>
      </c>
      <c r="O170" s="7">
        <v>0</v>
      </c>
      <c r="P170" s="7">
        <v>0</v>
      </c>
      <c r="Q170" s="7">
        <v>0</v>
      </c>
      <c r="R170" s="11">
        <v>41803</v>
      </c>
      <c r="S170" s="11">
        <v>41803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7</v>
      </c>
      <c r="M171" s="6">
        <v>2021</v>
      </c>
      <c r="N171" s="7">
        <v>0</v>
      </c>
      <c r="O171" s="7">
        <v>0</v>
      </c>
      <c r="P171" s="7">
        <v>0</v>
      </c>
      <c r="Q171" s="7">
        <v>0</v>
      </c>
      <c r="R171" s="11">
        <v>41803</v>
      </c>
      <c r="S171" s="11">
        <v>41803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1</v>
      </c>
      <c r="M172" s="6">
        <v>2015</v>
      </c>
      <c r="N172" s="7">
        <v>0</v>
      </c>
      <c r="O172" s="7">
        <v>0</v>
      </c>
      <c r="P172" s="7">
        <v>0</v>
      </c>
      <c r="Q172" s="7">
        <v>0</v>
      </c>
      <c r="R172" s="11">
        <v>41803</v>
      </c>
      <c r="S172" s="11">
        <v>41803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230</v>
      </c>
      <c r="H173" s="10" t="s">
        <v>54</v>
      </c>
      <c r="I173" s="10"/>
      <c r="J173" s="10" t="s">
        <v>55</v>
      </c>
      <c r="K173" s="10" t="b">
        <v>0</v>
      </c>
      <c r="L173" s="10">
        <v>8</v>
      </c>
      <c r="M173" s="6">
        <v>2022</v>
      </c>
      <c r="N173" s="7">
        <v>0</v>
      </c>
      <c r="O173" s="7">
        <v>0</v>
      </c>
      <c r="P173" s="7">
        <v>0</v>
      </c>
      <c r="Q173" s="7">
        <v>0</v>
      </c>
      <c r="R173" s="11">
        <v>41803</v>
      </c>
      <c r="S173" s="11">
        <v>41803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230</v>
      </c>
      <c r="H174" s="10" t="s">
        <v>54</v>
      </c>
      <c r="I174" s="10"/>
      <c r="J174" s="10" t="s">
        <v>55</v>
      </c>
      <c r="K174" s="10" t="b">
        <v>0</v>
      </c>
      <c r="L174" s="10">
        <v>0</v>
      </c>
      <c r="M174" s="6">
        <v>2014</v>
      </c>
      <c r="N174" s="7">
        <v>0</v>
      </c>
      <c r="O174" s="7">
        <v>0</v>
      </c>
      <c r="P174" s="7">
        <v>0</v>
      </c>
      <c r="Q174" s="7">
        <v>0</v>
      </c>
      <c r="R174" s="11">
        <v>41803</v>
      </c>
      <c r="S174" s="11">
        <v>41803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8</v>
      </c>
      <c r="M175" s="6">
        <v>2022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41803</v>
      </c>
      <c r="S175" s="11">
        <v>41803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0</v>
      </c>
      <c r="M176" s="6">
        <v>2014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41803</v>
      </c>
      <c r="S176" s="11">
        <v>41803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6</v>
      </c>
      <c r="M177" s="6">
        <v>2020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41803</v>
      </c>
      <c r="S177" s="11">
        <v>41803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12</v>
      </c>
      <c r="M178" s="6">
        <v>2026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41803</v>
      </c>
      <c r="S178" s="11">
        <v>41803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10</v>
      </c>
      <c r="M179" s="6">
        <v>2024</v>
      </c>
      <c r="N179" s="7">
        <v>0.0638</v>
      </c>
      <c r="O179" s="7">
        <v>0.0742</v>
      </c>
      <c r="P179" s="7">
        <v>0.0749</v>
      </c>
      <c r="Q179" s="7">
        <v>0.0704</v>
      </c>
      <c r="R179" s="11">
        <v>41803</v>
      </c>
      <c r="S179" s="11">
        <v>41803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1</v>
      </c>
      <c r="M180" s="6">
        <v>2015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41803</v>
      </c>
      <c r="S180" s="11">
        <v>41803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5</v>
      </c>
      <c r="M181" s="6">
        <v>2019</v>
      </c>
      <c r="N181" s="7">
        <v>0.0638</v>
      </c>
      <c r="O181" s="7">
        <v>0.0742</v>
      </c>
      <c r="P181" s="7">
        <v>0.0749</v>
      </c>
      <c r="Q181" s="7">
        <v>0.0704</v>
      </c>
      <c r="R181" s="11">
        <v>41803</v>
      </c>
      <c r="S181" s="11">
        <v>41803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9</v>
      </c>
      <c r="M182" s="6">
        <v>2023</v>
      </c>
      <c r="N182" s="7">
        <v>0.0638</v>
      </c>
      <c r="O182" s="7">
        <v>0.0742</v>
      </c>
      <c r="P182" s="7">
        <v>0.0749</v>
      </c>
      <c r="Q182" s="7">
        <v>0.0704</v>
      </c>
      <c r="R182" s="11">
        <v>41803</v>
      </c>
      <c r="S182" s="11">
        <v>41803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11</v>
      </c>
      <c r="M183" s="6">
        <v>2025</v>
      </c>
      <c r="N183" s="7">
        <v>0.0638</v>
      </c>
      <c r="O183" s="7">
        <v>0.0742</v>
      </c>
      <c r="P183" s="7">
        <v>0.0749</v>
      </c>
      <c r="Q183" s="7">
        <v>0.0704</v>
      </c>
      <c r="R183" s="11">
        <v>41803</v>
      </c>
      <c r="S183" s="11">
        <v>41803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2</v>
      </c>
      <c r="M184" s="6">
        <v>2016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41803</v>
      </c>
      <c r="S184" s="11">
        <v>41803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4</v>
      </c>
      <c r="M185" s="6">
        <v>2018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41803</v>
      </c>
      <c r="S185" s="11">
        <v>41803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7</v>
      </c>
      <c r="M186" s="6">
        <v>2021</v>
      </c>
      <c r="N186" s="7">
        <v>0.0638</v>
      </c>
      <c r="O186" s="7">
        <v>0.0742</v>
      </c>
      <c r="P186" s="7">
        <v>0.0749</v>
      </c>
      <c r="Q186" s="7">
        <v>0.0704</v>
      </c>
      <c r="R186" s="11">
        <v>41803</v>
      </c>
      <c r="S186" s="11">
        <v>41803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500</v>
      </c>
      <c r="H187" s="10">
        <v>9.4</v>
      </c>
      <c r="I187" s="10" t="s">
        <v>232</v>
      </c>
      <c r="J187" s="10" t="s">
        <v>233</v>
      </c>
      <c r="K187" s="10" t="b">
        <v>0</v>
      </c>
      <c r="L187" s="10">
        <v>3</v>
      </c>
      <c r="M187" s="6">
        <v>2017</v>
      </c>
      <c r="N187" s="7">
        <v>0.0638</v>
      </c>
      <c r="O187" s="7">
        <v>0.0742</v>
      </c>
      <c r="P187" s="7">
        <v>0.0749</v>
      </c>
      <c r="Q187" s="7">
        <v>0.0704</v>
      </c>
      <c r="R187" s="11">
        <v>41803</v>
      </c>
      <c r="S187" s="11">
        <v>41803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12</v>
      </c>
      <c r="M188" s="6">
        <v>2026</v>
      </c>
      <c r="N188" s="7">
        <v>11769688.29</v>
      </c>
      <c r="O188" s="7">
        <v>2053733.92</v>
      </c>
      <c r="P188" s="7">
        <v>2012368.5</v>
      </c>
      <c r="Q188" s="7">
        <v>1411062.32</v>
      </c>
      <c r="R188" s="11">
        <v>41803</v>
      </c>
      <c r="S188" s="11">
        <v>41803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0</v>
      </c>
      <c r="M189" s="6">
        <v>2014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41803</v>
      </c>
      <c r="S189" s="11">
        <v>41803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6</v>
      </c>
      <c r="M190" s="6">
        <v>2020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41803</v>
      </c>
      <c r="S190" s="11">
        <v>41803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4</v>
      </c>
      <c r="M191" s="6">
        <v>2018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41803</v>
      </c>
      <c r="S191" s="11">
        <v>41803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1</v>
      </c>
      <c r="M192" s="6">
        <v>2015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41803</v>
      </c>
      <c r="S192" s="11">
        <v>41803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7</v>
      </c>
      <c r="M193" s="6">
        <v>2021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41803</v>
      </c>
      <c r="S193" s="11">
        <v>41803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8</v>
      </c>
      <c r="M194" s="6">
        <v>2022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41803</v>
      </c>
      <c r="S194" s="11">
        <v>41803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9</v>
      </c>
      <c r="M195" s="6">
        <v>2023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41803</v>
      </c>
      <c r="S195" s="11">
        <v>41803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10</v>
      </c>
      <c r="M196" s="6">
        <v>2024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41803</v>
      </c>
      <c r="S196" s="11">
        <v>41803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5</v>
      </c>
      <c r="M197" s="6">
        <v>2019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41803</v>
      </c>
      <c r="S197" s="11">
        <v>41803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2</v>
      </c>
      <c r="M198" s="6">
        <v>2016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41803</v>
      </c>
      <c r="S198" s="11">
        <v>41803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710</v>
      </c>
      <c r="H199" s="10" t="s">
        <v>91</v>
      </c>
      <c r="I199" s="10"/>
      <c r="J199" s="10" t="s">
        <v>92</v>
      </c>
      <c r="K199" s="10" t="b">
        <v>0</v>
      </c>
      <c r="L199" s="10">
        <v>3</v>
      </c>
      <c r="M199" s="6">
        <v>2017</v>
      </c>
      <c r="N199" s="7">
        <v>11769688.29</v>
      </c>
      <c r="O199" s="7">
        <v>2053733.92</v>
      </c>
      <c r="P199" s="7">
        <v>2012368.5</v>
      </c>
      <c r="Q199" s="7">
        <v>1411062.32</v>
      </c>
      <c r="R199" s="11">
        <v>41803</v>
      </c>
      <c r="S199" s="11">
        <v>41803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710</v>
      </c>
      <c r="H200" s="10" t="s">
        <v>91</v>
      </c>
      <c r="I200" s="10"/>
      <c r="J200" s="10" t="s">
        <v>92</v>
      </c>
      <c r="K200" s="10" t="b">
        <v>0</v>
      </c>
      <c r="L200" s="10">
        <v>11</v>
      </c>
      <c r="M200" s="6">
        <v>2025</v>
      </c>
      <c r="N200" s="7">
        <v>11769688.29</v>
      </c>
      <c r="O200" s="7">
        <v>2053733.92</v>
      </c>
      <c r="P200" s="7">
        <v>2012368.5</v>
      </c>
      <c r="Q200" s="7">
        <v>1411062.32</v>
      </c>
      <c r="R200" s="11">
        <v>41803</v>
      </c>
      <c r="S200" s="11">
        <v>41803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5</v>
      </c>
      <c r="M201" s="6">
        <v>2019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41803</v>
      </c>
      <c r="S201" s="11">
        <v>41803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10</v>
      </c>
      <c r="M202" s="6">
        <v>2024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41803</v>
      </c>
      <c r="S202" s="11">
        <v>41803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8</v>
      </c>
      <c r="M203" s="6">
        <v>2022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41803</v>
      </c>
      <c r="S203" s="11">
        <v>41803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2</v>
      </c>
      <c r="M204" s="6">
        <v>2016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41803</v>
      </c>
      <c r="S204" s="11">
        <v>41803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0</v>
      </c>
      <c r="M205" s="6">
        <v>2014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41803</v>
      </c>
      <c r="S205" s="11">
        <v>41803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</v>
      </c>
      <c r="M206" s="6">
        <v>2015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41803</v>
      </c>
      <c r="S206" s="11">
        <v>41803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9</v>
      </c>
      <c r="M207" s="6">
        <v>2023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41803</v>
      </c>
      <c r="S207" s="11">
        <v>41803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11</v>
      </c>
      <c r="M208" s="6">
        <v>2025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41803</v>
      </c>
      <c r="S208" s="11">
        <v>41803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4</v>
      </c>
      <c r="M209" s="6">
        <v>2018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41803</v>
      </c>
      <c r="S209" s="11">
        <v>41803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6</v>
      </c>
      <c r="M210" s="6">
        <v>2020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41803</v>
      </c>
      <c r="S210" s="11">
        <v>41803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3</v>
      </c>
      <c r="M211" s="6">
        <v>2017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41803</v>
      </c>
      <c r="S211" s="11">
        <v>41803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10</v>
      </c>
      <c r="M212" s="6">
        <v>2024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41803</v>
      </c>
      <c r="S212" s="11">
        <v>41803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9</v>
      </c>
      <c r="M213" s="6">
        <v>2023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41803</v>
      </c>
      <c r="S213" s="11">
        <v>41803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1</v>
      </c>
      <c r="M214" s="6">
        <v>2015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41803</v>
      </c>
      <c r="S214" s="11">
        <v>41803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2</v>
      </c>
      <c r="M215" s="6">
        <v>2016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41803</v>
      </c>
      <c r="S215" s="11">
        <v>41803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4</v>
      </c>
      <c r="M216" s="6">
        <v>2018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41803</v>
      </c>
      <c r="S216" s="11">
        <v>41803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3</v>
      </c>
      <c r="M217" s="6">
        <v>2017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41803</v>
      </c>
      <c r="S217" s="11">
        <v>41803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6</v>
      </c>
      <c r="M218" s="6">
        <v>2020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41803</v>
      </c>
      <c r="S218" s="11">
        <v>41803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11</v>
      </c>
      <c r="M219" s="6">
        <v>2025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41803</v>
      </c>
      <c r="S219" s="11">
        <v>41803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0</v>
      </c>
      <c r="M220" s="6">
        <v>2014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41803</v>
      </c>
      <c r="S220" s="11">
        <v>41803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8</v>
      </c>
      <c r="M221" s="6">
        <v>2022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41803</v>
      </c>
      <c r="S221" s="11">
        <v>41803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5</v>
      </c>
      <c r="M222" s="6">
        <v>2019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41803</v>
      </c>
      <c r="S222" s="11">
        <v>41803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12</v>
      </c>
      <c r="M223" s="6">
        <v>2026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41803</v>
      </c>
      <c r="S223" s="11">
        <v>41803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7</v>
      </c>
      <c r="M224" s="6">
        <v>2021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41803</v>
      </c>
      <c r="S224" s="11">
        <v>41803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10</v>
      </c>
      <c r="M225" s="6">
        <v>2024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41803</v>
      </c>
      <c r="S225" s="11">
        <v>41803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2</v>
      </c>
      <c r="M226" s="6">
        <v>2016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41803</v>
      </c>
      <c r="S226" s="11">
        <v>41803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12</v>
      </c>
      <c r="M227" s="6">
        <v>2026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41803</v>
      </c>
      <c r="S227" s="11">
        <v>41803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4</v>
      </c>
      <c r="M228" s="6">
        <v>2018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41803</v>
      </c>
      <c r="S228" s="11">
        <v>41803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8</v>
      </c>
      <c r="M229" s="6">
        <v>2022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41803</v>
      </c>
      <c r="S229" s="11">
        <v>41803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5</v>
      </c>
      <c r="M230" s="6">
        <v>2019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41803</v>
      </c>
      <c r="S230" s="11">
        <v>41803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41803</v>
      </c>
      <c r="S231" s="11">
        <v>41803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6</v>
      </c>
      <c r="M232" s="6">
        <v>2020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41803</v>
      </c>
      <c r="S232" s="11">
        <v>41803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3</v>
      </c>
      <c r="M233" s="6">
        <v>2017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41803</v>
      </c>
      <c r="S233" s="11">
        <v>41803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7</v>
      </c>
      <c r="M234" s="6">
        <v>2021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41803</v>
      </c>
      <c r="S234" s="11">
        <v>41803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1</v>
      </c>
      <c r="M235" s="6">
        <v>2015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41803</v>
      </c>
      <c r="S235" s="11">
        <v>41803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11</v>
      </c>
      <c r="M236" s="6">
        <v>2025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41803</v>
      </c>
      <c r="S236" s="11">
        <v>41803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9</v>
      </c>
      <c r="M237" s="6">
        <v>2023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41803</v>
      </c>
      <c r="S237" s="11">
        <v>41803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6</v>
      </c>
      <c r="M238" s="6">
        <v>2020</v>
      </c>
      <c r="N238" s="7">
        <v>0</v>
      </c>
      <c r="O238" s="7">
        <v>0</v>
      </c>
      <c r="P238" s="7">
        <v>0</v>
      </c>
      <c r="Q238" s="7">
        <v>0</v>
      </c>
      <c r="R238" s="11">
        <v>41803</v>
      </c>
      <c r="S238" s="11">
        <v>41803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0</v>
      </c>
      <c r="M239" s="6">
        <v>2014</v>
      </c>
      <c r="N239" s="7">
        <v>0</v>
      </c>
      <c r="O239" s="7">
        <v>0</v>
      </c>
      <c r="P239" s="7">
        <v>0</v>
      </c>
      <c r="Q239" s="7">
        <v>0</v>
      </c>
      <c r="R239" s="11">
        <v>41803</v>
      </c>
      <c r="S239" s="11">
        <v>41803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10</v>
      </c>
      <c r="M240" s="6">
        <v>2024</v>
      </c>
      <c r="N240" s="7">
        <v>0</v>
      </c>
      <c r="O240" s="7">
        <v>0</v>
      </c>
      <c r="P240" s="7">
        <v>0</v>
      </c>
      <c r="Q240" s="7">
        <v>0</v>
      </c>
      <c r="R240" s="11">
        <v>41803</v>
      </c>
      <c r="S240" s="11">
        <v>41803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1</v>
      </c>
      <c r="M241" s="6">
        <v>2015</v>
      </c>
      <c r="N241" s="7">
        <v>0</v>
      </c>
      <c r="O241" s="7">
        <v>0</v>
      </c>
      <c r="P241" s="7">
        <v>0</v>
      </c>
      <c r="Q241" s="7">
        <v>0</v>
      </c>
      <c r="R241" s="11">
        <v>41803</v>
      </c>
      <c r="S241" s="11">
        <v>41803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2</v>
      </c>
      <c r="M242" s="6">
        <v>2016</v>
      </c>
      <c r="N242" s="7">
        <v>0</v>
      </c>
      <c r="O242" s="7">
        <v>0</v>
      </c>
      <c r="P242" s="7">
        <v>0</v>
      </c>
      <c r="Q242" s="7">
        <v>0</v>
      </c>
      <c r="R242" s="11">
        <v>41803</v>
      </c>
      <c r="S242" s="11">
        <v>41803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9</v>
      </c>
      <c r="M243" s="6">
        <v>2023</v>
      </c>
      <c r="N243" s="7">
        <v>0</v>
      </c>
      <c r="O243" s="7">
        <v>0</v>
      </c>
      <c r="P243" s="7">
        <v>0</v>
      </c>
      <c r="Q243" s="7">
        <v>0</v>
      </c>
      <c r="R243" s="11">
        <v>41803</v>
      </c>
      <c r="S243" s="11">
        <v>41803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12</v>
      </c>
      <c r="M244" s="6">
        <v>2026</v>
      </c>
      <c r="N244" s="7">
        <v>0</v>
      </c>
      <c r="O244" s="7">
        <v>0</v>
      </c>
      <c r="P244" s="7">
        <v>0</v>
      </c>
      <c r="Q244" s="7">
        <v>0</v>
      </c>
      <c r="R244" s="11">
        <v>41803</v>
      </c>
      <c r="S244" s="11">
        <v>41803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4</v>
      </c>
      <c r="M245" s="6">
        <v>2018</v>
      </c>
      <c r="N245" s="7">
        <v>0</v>
      </c>
      <c r="O245" s="7">
        <v>0</v>
      </c>
      <c r="P245" s="7">
        <v>0</v>
      </c>
      <c r="Q245" s="7">
        <v>0</v>
      </c>
      <c r="R245" s="11">
        <v>41803</v>
      </c>
      <c r="S245" s="11">
        <v>41803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170</v>
      </c>
      <c r="H246" s="10" t="s">
        <v>50</v>
      </c>
      <c r="I246" s="10"/>
      <c r="J246" s="10" t="s">
        <v>208</v>
      </c>
      <c r="K246" s="10" t="b">
        <v>1</v>
      </c>
      <c r="L246" s="10">
        <v>10</v>
      </c>
      <c r="M246" s="6">
        <v>2024</v>
      </c>
      <c r="N246" s="7">
        <v>4192438.07</v>
      </c>
      <c r="O246" s="7">
        <v>5127565.18</v>
      </c>
      <c r="P246" s="7">
        <v>7250000</v>
      </c>
      <c r="Q246" s="7">
        <v>4189639.37</v>
      </c>
      <c r="R246" s="11">
        <v>41803</v>
      </c>
      <c r="S246" s="11">
        <v>41803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170</v>
      </c>
      <c r="H247" s="10" t="s">
        <v>50</v>
      </c>
      <c r="I247" s="10"/>
      <c r="J247" s="10" t="s">
        <v>208</v>
      </c>
      <c r="K247" s="10" t="b">
        <v>1</v>
      </c>
      <c r="L247" s="10">
        <v>5</v>
      </c>
      <c r="M247" s="6">
        <v>2019</v>
      </c>
      <c r="N247" s="7">
        <v>4192438.07</v>
      </c>
      <c r="O247" s="7">
        <v>5127565.18</v>
      </c>
      <c r="P247" s="7">
        <v>7250000</v>
      </c>
      <c r="Q247" s="7">
        <v>4189639.37</v>
      </c>
      <c r="R247" s="11">
        <v>41803</v>
      </c>
      <c r="S247" s="11">
        <v>41803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7</v>
      </c>
      <c r="M248" s="6">
        <v>2021</v>
      </c>
      <c r="N248" s="7">
        <v>0</v>
      </c>
      <c r="O248" s="7">
        <v>0</v>
      </c>
      <c r="P248" s="7">
        <v>0</v>
      </c>
      <c r="Q248" s="7">
        <v>0</v>
      </c>
      <c r="R248" s="11">
        <v>41803</v>
      </c>
      <c r="S248" s="11">
        <v>41803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3</v>
      </c>
      <c r="M249" s="6">
        <v>2017</v>
      </c>
      <c r="N249" s="7">
        <v>0</v>
      </c>
      <c r="O249" s="7">
        <v>0</v>
      </c>
      <c r="P249" s="7">
        <v>0</v>
      </c>
      <c r="Q249" s="7">
        <v>0</v>
      </c>
      <c r="R249" s="11">
        <v>41803</v>
      </c>
      <c r="S249" s="11">
        <v>41803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8</v>
      </c>
      <c r="M250" s="6">
        <v>2022</v>
      </c>
      <c r="N250" s="7">
        <v>0</v>
      </c>
      <c r="O250" s="7">
        <v>0</v>
      </c>
      <c r="P250" s="7">
        <v>0</v>
      </c>
      <c r="Q250" s="7">
        <v>0</v>
      </c>
      <c r="R250" s="11">
        <v>41803</v>
      </c>
      <c r="S250" s="11">
        <v>41803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252</v>
      </c>
      <c r="K251" s="10" t="b">
        <v>1</v>
      </c>
      <c r="L251" s="10">
        <v>11</v>
      </c>
      <c r="M251" s="6">
        <v>2025</v>
      </c>
      <c r="N251" s="7">
        <v>0</v>
      </c>
      <c r="O251" s="7">
        <v>0</v>
      </c>
      <c r="P251" s="7">
        <v>0</v>
      </c>
      <c r="Q251" s="7">
        <v>0</v>
      </c>
      <c r="R251" s="11">
        <v>41803</v>
      </c>
      <c r="S251" s="11">
        <v>41803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767</v>
      </c>
      <c r="H252" s="10">
        <v>12.7</v>
      </c>
      <c r="I252" s="10"/>
      <c r="J252" s="10" t="s">
        <v>252</v>
      </c>
      <c r="K252" s="10" t="b">
        <v>1</v>
      </c>
      <c r="L252" s="10">
        <v>5</v>
      </c>
      <c r="M252" s="6">
        <v>2019</v>
      </c>
      <c r="N252" s="7">
        <v>0</v>
      </c>
      <c r="O252" s="7">
        <v>0</v>
      </c>
      <c r="P252" s="7">
        <v>0</v>
      </c>
      <c r="Q252" s="7">
        <v>0</v>
      </c>
      <c r="R252" s="11">
        <v>41803</v>
      </c>
      <c r="S252" s="11">
        <v>41803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0</v>
      </c>
      <c r="M253" s="6">
        <v>2014</v>
      </c>
      <c r="N253" s="7">
        <v>102898340.24</v>
      </c>
      <c r="O253" s="7">
        <v>120625935.48</v>
      </c>
      <c r="P253" s="7">
        <v>116312210.64</v>
      </c>
      <c r="Q253" s="7">
        <v>116312210.64</v>
      </c>
      <c r="R253" s="11">
        <v>41803</v>
      </c>
      <c r="S253" s="11">
        <v>41803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7</v>
      </c>
      <c r="M254" s="6">
        <v>2021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41803</v>
      </c>
      <c r="S254" s="11">
        <v>41803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10</v>
      </c>
      <c r="M255" s="6">
        <v>2024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41803</v>
      </c>
      <c r="S255" s="11">
        <v>41803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6</v>
      </c>
      <c r="M256" s="6">
        <v>2020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41803</v>
      </c>
      <c r="S256" s="11">
        <v>41803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8</v>
      </c>
      <c r="M257" s="6">
        <v>2022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41803</v>
      </c>
      <c r="S257" s="11">
        <v>41803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5</v>
      </c>
      <c r="M258" s="6">
        <v>2019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41803</v>
      </c>
      <c r="S258" s="11">
        <v>41803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4</v>
      </c>
      <c r="M259" s="6">
        <v>2018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41803</v>
      </c>
      <c r="S259" s="11">
        <v>41803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3</v>
      </c>
      <c r="M260" s="6">
        <v>2017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41803</v>
      </c>
      <c r="S260" s="11">
        <v>41803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9</v>
      </c>
      <c r="M261" s="6">
        <v>2023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41803</v>
      </c>
      <c r="S261" s="11">
        <v>41803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2</v>
      </c>
      <c r="M262" s="6">
        <v>2016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41803</v>
      </c>
      <c r="S262" s="11">
        <v>41803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11</v>
      </c>
      <c r="M263" s="6">
        <v>2025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41803</v>
      </c>
      <c r="S263" s="11">
        <v>41803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350</v>
      </c>
      <c r="H264" s="10">
        <v>6</v>
      </c>
      <c r="I264" s="10"/>
      <c r="J264" s="10" t="s">
        <v>23</v>
      </c>
      <c r="K264" s="10" t="b">
        <v>1</v>
      </c>
      <c r="L264" s="10">
        <v>12</v>
      </c>
      <c r="M264" s="6">
        <v>2026</v>
      </c>
      <c r="N264" s="7">
        <v>102898340.24</v>
      </c>
      <c r="O264" s="7">
        <v>120625935.48</v>
      </c>
      <c r="P264" s="7">
        <v>116312210.64</v>
      </c>
      <c r="Q264" s="7">
        <v>116312210.64</v>
      </c>
      <c r="R264" s="11">
        <v>41803</v>
      </c>
      <c r="S264" s="11">
        <v>41803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350</v>
      </c>
      <c r="H265" s="10">
        <v>6</v>
      </c>
      <c r="I265" s="10"/>
      <c r="J265" s="10" t="s">
        <v>23</v>
      </c>
      <c r="K265" s="10" t="b">
        <v>1</v>
      </c>
      <c r="L265" s="10">
        <v>1</v>
      </c>
      <c r="M265" s="6">
        <v>2015</v>
      </c>
      <c r="N265" s="7">
        <v>102898340.24</v>
      </c>
      <c r="O265" s="7">
        <v>120625935.48</v>
      </c>
      <c r="P265" s="7">
        <v>116312210.64</v>
      </c>
      <c r="Q265" s="7">
        <v>116312210.64</v>
      </c>
      <c r="R265" s="11">
        <v>41803</v>
      </c>
      <c r="S265" s="11">
        <v>41803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9</v>
      </c>
      <c r="M266" s="6">
        <v>2023</v>
      </c>
      <c r="N266" s="7">
        <v>4192438.07</v>
      </c>
      <c r="O266" s="7">
        <v>5127565.18</v>
      </c>
      <c r="P266" s="7">
        <v>7250000</v>
      </c>
      <c r="Q266" s="7">
        <v>4189639.37</v>
      </c>
      <c r="R266" s="11">
        <v>41803</v>
      </c>
      <c r="S266" s="11">
        <v>41803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12</v>
      </c>
      <c r="M267" s="6">
        <v>2026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41803</v>
      </c>
      <c r="S267" s="11">
        <v>41803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6</v>
      </c>
      <c r="M268" s="6">
        <v>2020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41803</v>
      </c>
      <c r="S268" s="11">
        <v>41803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3</v>
      </c>
      <c r="M269" s="6">
        <v>2017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41803</v>
      </c>
      <c r="S269" s="11">
        <v>41803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0</v>
      </c>
      <c r="M270" s="6">
        <v>2014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41803</v>
      </c>
      <c r="S270" s="11">
        <v>41803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1</v>
      </c>
      <c r="M271" s="6">
        <v>2015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41803</v>
      </c>
      <c r="S271" s="11">
        <v>41803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11</v>
      </c>
      <c r="M272" s="6">
        <v>2025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41803</v>
      </c>
      <c r="S272" s="11">
        <v>41803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7</v>
      </c>
      <c r="M273" s="6">
        <v>2021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41803</v>
      </c>
      <c r="S273" s="11">
        <v>41803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4</v>
      </c>
      <c r="M274" s="6">
        <v>2018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41803</v>
      </c>
      <c r="S274" s="11">
        <v>41803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8</v>
      </c>
      <c r="M275" s="6">
        <v>2022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41803</v>
      </c>
      <c r="S275" s="11">
        <v>41803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2</v>
      </c>
      <c r="M276" s="6">
        <v>2016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41803</v>
      </c>
      <c r="S276" s="11">
        <v>41803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2</v>
      </c>
      <c r="M277" s="6">
        <v>2016</v>
      </c>
      <c r="N277" s="7">
        <v>11642920.83</v>
      </c>
      <c r="O277" s="7">
        <v>23619995.24</v>
      </c>
      <c r="P277" s="7">
        <v>0</v>
      </c>
      <c r="Q277" s="7">
        <v>0</v>
      </c>
      <c r="R277" s="11">
        <v>41803</v>
      </c>
      <c r="S277" s="11">
        <v>41803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6</v>
      </c>
      <c r="M278" s="6">
        <v>2020</v>
      </c>
      <c r="N278" s="7">
        <v>11642920.83</v>
      </c>
      <c r="O278" s="7">
        <v>23619995.24</v>
      </c>
      <c r="P278" s="7">
        <v>0</v>
      </c>
      <c r="Q278" s="7">
        <v>0</v>
      </c>
      <c r="R278" s="11">
        <v>41803</v>
      </c>
      <c r="S278" s="11">
        <v>41803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8</v>
      </c>
      <c r="M279" s="6">
        <v>2022</v>
      </c>
      <c r="N279" s="7">
        <v>11642920.83</v>
      </c>
      <c r="O279" s="7">
        <v>23619995.24</v>
      </c>
      <c r="P279" s="7">
        <v>0</v>
      </c>
      <c r="Q279" s="7">
        <v>0</v>
      </c>
      <c r="R279" s="11">
        <v>41803</v>
      </c>
      <c r="S279" s="11">
        <v>41803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5</v>
      </c>
      <c r="M280" s="6">
        <v>2019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41803</v>
      </c>
      <c r="S280" s="11">
        <v>41803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10</v>
      </c>
      <c r="M281" s="6">
        <v>2024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41803</v>
      </c>
      <c r="S281" s="11">
        <v>41803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11</v>
      </c>
      <c r="M282" s="6">
        <v>2025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41803</v>
      </c>
      <c r="S282" s="11">
        <v>41803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3</v>
      </c>
      <c r="M283" s="6">
        <v>2017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41803</v>
      </c>
      <c r="S283" s="11">
        <v>41803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7</v>
      </c>
      <c r="M284" s="6">
        <v>2021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41803</v>
      </c>
      <c r="S284" s="11">
        <v>41803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1</v>
      </c>
      <c r="M285" s="6">
        <v>2015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41803</v>
      </c>
      <c r="S285" s="11">
        <v>41803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4</v>
      </c>
      <c r="M286" s="6">
        <v>2018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41803</v>
      </c>
      <c r="S286" s="11">
        <v>41803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9</v>
      </c>
      <c r="M287" s="6">
        <v>2023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41803</v>
      </c>
      <c r="S287" s="11">
        <v>41803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0</v>
      </c>
      <c r="M288" s="6">
        <v>2014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41803</v>
      </c>
      <c r="S288" s="11">
        <v>41803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12</v>
      </c>
      <c r="M289" s="6">
        <v>2026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41803</v>
      </c>
      <c r="S289" s="11">
        <v>41803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1</v>
      </c>
      <c r="M290" s="6">
        <v>2015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41803</v>
      </c>
      <c r="S290" s="11">
        <v>41803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7</v>
      </c>
      <c r="M291" s="6">
        <v>2021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41803</v>
      </c>
      <c r="S291" s="11">
        <v>41803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2</v>
      </c>
      <c r="M292" s="6">
        <v>2016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41803</v>
      </c>
      <c r="S292" s="11">
        <v>41803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5</v>
      </c>
      <c r="M293" s="6">
        <v>2019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41803</v>
      </c>
      <c r="S293" s="11">
        <v>41803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4</v>
      </c>
      <c r="M294" s="6">
        <v>2018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41803</v>
      </c>
      <c r="S294" s="11">
        <v>41803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12</v>
      </c>
      <c r="M295" s="6">
        <v>2026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41803</v>
      </c>
      <c r="S295" s="11">
        <v>41803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0</v>
      </c>
      <c r="M296" s="6">
        <v>2014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41803</v>
      </c>
      <c r="S296" s="11">
        <v>41803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6</v>
      </c>
      <c r="M297" s="6">
        <v>2020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41803</v>
      </c>
      <c r="S297" s="11">
        <v>41803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3</v>
      </c>
      <c r="M298" s="6">
        <v>2017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41803</v>
      </c>
      <c r="S298" s="11">
        <v>41803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11</v>
      </c>
      <c r="M299" s="6">
        <v>2025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41803</v>
      </c>
      <c r="S299" s="11">
        <v>41803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8</v>
      </c>
      <c r="M300" s="6">
        <v>2022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41803</v>
      </c>
      <c r="S300" s="11">
        <v>41803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10</v>
      </c>
      <c r="M301" s="6">
        <v>2024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41803</v>
      </c>
      <c r="S301" s="11">
        <v>41803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9</v>
      </c>
      <c r="M302" s="6">
        <v>2023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41803</v>
      </c>
      <c r="S302" s="11">
        <v>41803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4</v>
      </c>
      <c r="M303" s="6">
        <v>2018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41803</v>
      </c>
      <c r="S303" s="11">
        <v>41803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1</v>
      </c>
      <c r="M304" s="6">
        <v>2015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41803</v>
      </c>
      <c r="S304" s="11">
        <v>41803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11</v>
      </c>
      <c r="M305" s="6">
        <v>2025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41803</v>
      </c>
      <c r="S305" s="11">
        <v>41803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2</v>
      </c>
      <c r="M306" s="6">
        <v>2016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41803</v>
      </c>
      <c r="S306" s="11">
        <v>41803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12</v>
      </c>
      <c r="M307" s="6">
        <v>2026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41803</v>
      </c>
      <c r="S307" s="11">
        <v>41803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5</v>
      </c>
      <c r="M308" s="6">
        <v>2019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41803</v>
      </c>
      <c r="S308" s="11">
        <v>41803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0</v>
      </c>
      <c r="M309" s="6">
        <v>2014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41803</v>
      </c>
      <c r="S309" s="11">
        <v>41803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8</v>
      </c>
      <c r="M310" s="6">
        <v>2022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41803</v>
      </c>
      <c r="S310" s="11">
        <v>41803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10</v>
      </c>
      <c r="M311" s="6">
        <v>2024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41803</v>
      </c>
      <c r="S311" s="11">
        <v>41803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6</v>
      </c>
      <c r="M312" s="6">
        <v>2020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41803</v>
      </c>
      <c r="S312" s="11">
        <v>41803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9</v>
      </c>
      <c r="M313" s="6">
        <v>2023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41803</v>
      </c>
      <c r="S313" s="11">
        <v>41803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7</v>
      </c>
      <c r="M314" s="6">
        <v>2021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41803</v>
      </c>
      <c r="S314" s="11">
        <v>41803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3</v>
      </c>
      <c r="M315" s="6">
        <v>2017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41803</v>
      </c>
      <c r="S315" s="11">
        <v>41803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2</v>
      </c>
      <c r="M316" s="6">
        <v>2016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41803</v>
      </c>
      <c r="S316" s="11">
        <v>41803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4</v>
      </c>
      <c r="M317" s="6">
        <v>2018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41803</v>
      </c>
      <c r="S317" s="11">
        <v>41803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7</v>
      </c>
      <c r="M318" s="6">
        <v>2021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41803</v>
      </c>
      <c r="S318" s="11">
        <v>41803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12</v>
      </c>
      <c r="M319" s="6">
        <v>2026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41803</v>
      </c>
      <c r="S319" s="11">
        <v>41803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11</v>
      </c>
      <c r="M320" s="6">
        <v>2025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41803</v>
      </c>
      <c r="S320" s="11">
        <v>41803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6</v>
      </c>
      <c r="M321" s="6">
        <v>2020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41803</v>
      </c>
      <c r="S321" s="11">
        <v>41803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10</v>
      </c>
      <c r="M322" s="6">
        <v>2024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41803</v>
      </c>
      <c r="S322" s="11">
        <v>41803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9</v>
      </c>
      <c r="M323" s="6">
        <v>2023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41803</v>
      </c>
      <c r="S323" s="11">
        <v>41803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0</v>
      </c>
      <c r="M324" s="6">
        <v>2014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41803</v>
      </c>
      <c r="S324" s="11">
        <v>41803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1</v>
      </c>
      <c r="M325" s="6">
        <v>2015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41803</v>
      </c>
      <c r="S325" s="11">
        <v>41803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3</v>
      </c>
      <c r="M326" s="6">
        <v>2017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41803</v>
      </c>
      <c r="S326" s="11">
        <v>41803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5</v>
      </c>
      <c r="M327" s="6">
        <v>2019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41803</v>
      </c>
      <c r="S327" s="11">
        <v>41803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8</v>
      </c>
      <c r="M328" s="6">
        <v>2022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41803</v>
      </c>
      <c r="S328" s="11">
        <v>41803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3</v>
      </c>
      <c r="M329" s="6">
        <v>2017</v>
      </c>
      <c r="N329" s="7">
        <v>0</v>
      </c>
      <c r="O329" s="7">
        <v>0</v>
      </c>
      <c r="P329" s="7">
        <v>0</v>
      </c>
      <c r="Q329" s="7">
        <v>1142075.58</v>
      </c>
      <c r="R329" s="11">
        <v>41803</v>
      </c>
      <c r="S329" s="11">
        <v>41803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7</v>
      </c>
      <c r="M330" s="6">
        <v>2021</v>
      </c>
      <c r="N330" s="7">
        <v>0</v>
      </c>
      <c r="O330" s="7">
        <v>0</v>
      </c>
      <c r="P330" s="7">
        <v>0</v>
      </c>
      <c r="Q330" s="7">
        <v>1142075.58</v>
      </c>
      <c r="R330" s="11">
        <v>41803</v>
      </c>
      <c r="S330" s="11">
        <v>41803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10</v>
      </c>
      <c r="M331" s="6">
        <v>2024</v>
      </c>
      <c r="N331" s="7">
        <v>0</v>
      </c>
      <c r="O331" s="7">
        <v>0</v>
      </c>
      <c r="P331" s="7">
        <v>0</v>
      </c>
      <c r="Q331" s="7">
        <v>1142075.58</v>
      </c>
      <c r="R331" s="11">
        <v>41803</v>
      </c>
      <c r="S331" s="11">
        <v>41803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6</v>
      </c>
      <c r="M332" s="6">
        <v>2020</v>
      </c>
      <c r="N332" s="7">
        <v>0</v>
      </c>
      <c r="O332" s="7">
        <v>0</v>
      </c>
      <c r="P332" s="7">
        <v>0</v>
      </c>
      <c r="Q332" s="7">
        <v>1142075.58</v>
      </c>
      <c r="R332" s="11">
        <v>41803</v>
      </c>
      <c r="S332" s="11">
        <v>41803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8</v>
      </c>
      <c r="M333" s="6">
        <v>2022</v>
      </c>
      <c r="N333" s="7">
        <v>0</v>
      </c>
      <c r="O333" s="7">
        <v>0</v>
      </c>
      <c r="P333" s="7">
        <v>0</v>
      </c>
      <c r="Q333" s="7">
        <v>1142075.58</v>
      </c>
      <c r="R333" s="11">
        <v>41803</v>
      </c>
      <c r="S333" s="11">
        <v>41803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12</v>
      </c>
      <c r="M334" s="6">
        <v>2026</v>
      </c>
      <c r="N334" s="7">
        <v>0</v>
      </c>
      <c r="O334" s="7">
        <v>0</v>
      </c>
      <c r="P334" s="7">
        <v>0</v>
      </c>
      <c r="Q334" s="7">
        <v>1142075.58</v>
      </c>
      <c r="R334" s="11">
        <v>41803</v>
      </c>
      <c r="S334" s="11">
        <v>41803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0</v>
      </c>
      <c r="M335" s="6">
        <v>2014</v>
      </c>
      <c r="N335" s="7">
        <v>0</v>
      </c>
      <c r="O335" s="7">
        <v>0</v>
      </c>
      <c r="P335" s="7">
        <v>0</v>
      </c>
      <c r="Q335" s="7">
        <v>1142075.58</v>
      </c>
      <c r="R335" s="11">
        <v>41803</v>
      </c>
      <c r="S335" s="11">
        <v>41803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2</v>
      </c>
      <c r="M336" s="6">
        <v>2016</v>
      </c>
      <c r="N336" s="7">
        <v>0</v>
      </c>
      <c r="O336" s="7">
        <v>0</v>
      </c>
      <c r="P336" s="7">
        <v>0</v>
      </c>
      <c r="Q336" s="7">
        <v>1142075.58</v>
      </c>
      <c r="R336" s="11">
        <v>41803</v>
      </c>
      <c r="S336" s="11">
        <v>41803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5</v>
      </c>
      <c r="M337" s="6">
        <v>2019</v>
      </c>
      <c r="N337" s="7">
        <v>0</v>
      </c>
      <c r="O337" s="7">
        <v>0</v>
      </c>
      <c r="P337" s="7">
        <v>0</v>
      </c>
      <c r="Q337" s="7">
        <v>1142075.58</v>
      </c>
      <c r="R337" s="11">
        <v>41803</v>
      </c>
      <c r="S337" s="11">
        <v>41803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11</v>
      </c>
      <c r="M338" s="6">
        <v>2025</v>
      </c>
      <c r="N338" s="7">
        <v>0</v>
      </c>
      <c r="O338" s="7">
        <v>0</v>
      </c>
      <c r="P338" s="7">
        <v>0</v>
      </c>
      <c r="Q338" s="7">
        <v>1142075.58</v>
      </c>
      <c r="R338" s="11">
        <v>41803</v>
      </c>
      <c r="S338" s="11">
        <v>41803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9</v>
      </c>
      <c r="M339" s="6">
        <v>2023</v>
      </c>
      <c r="N339" s="7">
        <v>0</v>
      </c>
      <c r="O339" s="7">
        <v>0</v>
      </c>
      <c r="P339" s="7">
        <v>0</v>
      </c>
      <c r="Q339" s="7">
        <v>1142075.58</v>
      </c>
      <c r="R339" s="11">
        <v>41803</v>
      </c>
      <c r="S339" s="11">
        <v>41803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4</v>
      </c>
      <c r="M340" s="6">
        <v>2018</v>
      </c>
      <c r="N340" s="7">
        <v>0</v>
      </c>
      <c r="O340" s="7">
        <v>0</v>
      </c>
      <c r="P340" s="7">
        <v>0</v>
      </c>
      <c r="Q340" s="7">
        <v>1142075.58</v>
      </c>
      <c r="R340" s="11">
        <v>41803</v>
      </c>
      <c r="S340" s="11">
        <v>41803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1</v>
      </c>
      <c r="M341" s="6">
        <v>2015</v>
      </c>
      <c r="N341" s="7">
        <v>0</v>
      </c>
      <c r="O341" s="7">
        <v>0</v>
      </c>
      <c r="P341" s="7">
        <v>0</v>
      </c>
      <c r="Q341" s="7">
        <v>1142075.58</v>
      </c>
      <c r="R341" s="11">
        <v>41803</v>
      </c>
      <c r="S341" s="11">
        <v>41803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12</v>
      </c>
      <c r="M342" s="6">
        <v>2026</v>
      </c>
      <c r="N342" s="7">
        <v>0</v>
      </c>
      <c r="O342" s="7">
        <v>0</v>
      </c>
      <c r="P342" s="7">
        <v>0</v>
      </c>
      <c r="Q342" s="7">
        <v>0</v>
      </c>
      <c r="R342" s="11">
        <v>41803</v>
      </c>
      <c r="S342" s="11">
        <v>41803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2</v>
      </c>
      <c r="M343" s="6">
        <v>2016</v>
      </c>
      <c r="N343" s="7">
        <v>0</v>
      </c>
      <c r="O343" s="7">
        <v>0</v>
      </c>
      <c r="P343" s="7">
        <v>0</v>
      </c>
      <c r="Q343" s="7">
        <v>0</v>
      </c>
      <c r="R343" s="11">
        <v>41803</v>
      </c>
      <c r="S343" s="11">
        <v>41803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4</v>
      </c>
      <c r="M344" s="6">
        <v>2018</v>
      </c>
      <c r="N344" s="7">
        <v>0</v>
      </c>
      <c r="O344" s="7">
        <v>0</v>
      </c>
      <c r="P344" s="7">
        <v>0</v>
      </c>
      <c r="Q344" s="7">
        <v>0</v>
      </c>
      <c r="R344" s="11">
        <v>41803</v>
      </c>
      <c r="S344" s="11">
        <v>41803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1</v>
      </c>
      <c r="M345" s="6">
        <v>2015</v>
      </c>
      <c r="N345" s="7">
        <v>0</v>
      </c>
      <c r="O345" s="7">
        <v>0</v>
      </c>
      <c r="P345" s="7">
        <v>0</v>
      </c>
      <c r="Q345" s="7">
        <v>0</v>
      </c>
      <c r="R345" s="11">
        <v>41803</v>
      </c>
      <c r="S345" s="11">
        <v>41803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8</v>
      </c>
      <c r="M346" s="6">
        <v>2022</v>
      </c>
      <c r="N346" s="7">
        <v>0</v>
      </c>
      <c r="O346" s="7">
        <v>0</v>
      </c>
      <c r="P346" s="7">
        <v>0</v>
      </c>
      <c r="Q346" s="7">
        <v>0</v>
      </c>
      <c r="R346" s="11">
        <v>41803</v>
      </c>
      <c r="S346" s="11">
        <v>41803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6</v>
      </c>
      <c r="M347" s="6">
        <v>2020</v>
      </c>
      <c r="N347" s="7">
        <v>0</v>
      </c>
      <c r="O347" s="7">
        <v>0</v>
      </c>
      <c r="P347" s="7">
        <v>0</v>
      </c>
      <c r="Q347" s="7">
        <v>0</v>
      </c>
      <c r="R347" s="11">
        <v>41803</v>
      </c>
      <c r="S347" s="11">
        <v>41803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3</v>
      </c>
      <c r="M348" s="6">
        <v>2017</v>
      </c>
      <c r="N348" s="7">
        <v>0</v>
      </c>
      <c r="O348" s="7">
        <v>0</v>
      </c>
      <c r="P348" s="7">
        <v>0</v>
      </c>
      <c r="Q348" s="7">
        <v>0</v>
      </c>
      <c r="R348" s="11">
        <v>41803</v>
      </c>
      <c r="S348" s="11">
        <v>41803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5</v>
      </c>
      <c r="M349" s="6">
        <v>2019</v>
      </c>
      <c r="N349" s="7">
        <v>0</v>
      </c>
      <c r="O349" s="7">
        <v>0</v>
      </c>
      <c r="P349" s="7">
        <v>0</v>
      </c>
      <c r="Q349" s="7">
        <v>0</v>
      </c>
      <c r="R349" s="11">
        <v>41803</v>
      </c>
      <c r="S349" s="11">
        <v>41803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0</v>
      </c>
      <c r="M350" s="6">
        <v>2014</v>
      </c>
      <c r="N350" s="7">
        <v>0</v>
      </c>
      <c r="O350" s="7">
        <v>0</v>
      </c>
      <c r="P350" s="7">
        <v>0</v>
      </c>
      <c r="Q350" s="7">
        <v>0</v>
      </c>
      <c r="R350" s="11">
        <v>41803</v>
      </c>
      <c r="S350" s="11">
        <v>41803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10</v>
      </c>
      <c r="M351" s="6">
        <v>2024</v>
      </c>
      <c r="N351" s="7">
        <v>0</v>
      </c>
      <c r="O351" s="7">
        <v>0</v>
      </c>
      <c r="P351" s="7">
        <v>0</v>
      </c>
      <c r="Q351" s="7">
        <v>0</v>
      </c>
      <c r="R351" s="11">
        <v>41803</v>
      </c>
      <c r="S351" s="11">
        <v>41803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9</v>
      </c>
      <c r="M352" s="6">
        <v>2023</v>
      </c>
      <c r="N352" s="7">
        <v>0</v>
      </c>
      <c r="O352" s="7">
        <v>0</v>
      </c>
      <c r="P352" s="7">
        <v>0</v>
      </c>
      <c r="Q352" s="7">
        <v>0</v>
      </c>
      <c r="R352" s="11">
        <v>41803</v>
      </c>
      <c r="S352" s="11">
        <v>41803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7</v>
      </c>
      <c r="M353" s="6">
        <v>2021</v>
      </c>
      <c r="N353" s="7">
        <v>0</v>
      </c>
      <c r="O353" s="7">
        <v>0</v>
      </c>
      <c r="P353" s="7">
        <v>0</v>
      </c>
      <c r="Q353" s="7">
        <v>0</v>
      </c>
      <c r="R353" s="11">
        <v>41803</v>
      </c>
      <c r="S353" s="11">
        <v>41803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11</v>
      </c>
      <c r="M354" s="6">
        <v>2025</v>
      </c>
      <c r="N354" s="7">
        <v>0</v>
      </c>
      <c r="O354" s="7">
        <v>0</v>
      </c>
      <c r="P354" s="7">
        <v>0</v>
      </c>
      <c r="Q354" s="7">
        <v>0</v>
      </c>
      <c r="R354" s="11">
        <v>41803</v>
      </c>
      <c r="S354" s="11">
        <v>41803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2</v>
      </c>
      <c r="M355" s="6">
        <v>2016</v>
      </c>
      <c r="N355" s="7">
        <v>0</v>
      </c>
      <c r="O355" s="7">
        <v>0</v>
      </c>
      <c r="P355" s="7">
        <v>0</v>
      </c>
      <c r="Q355" s="7">
        <v>0</v>
      </c>
      <c r="R355" s="11">
        <v>41803</v>
      </c>
      <c r="S355" s="11">
        <v>41803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11</v>
      </c>
      <c r="M356" s="6">
        <v>2025</v>
      </c>
      <c r="N356" s="7">
        <v>0</v>
      </c>
      <c r="O356" s="7">
        <v>0</v>
      </c>
      <c r="P356" s="7">
        <v>0</v>
      </c>
      <c r="Q356" s="7">
        <v>0</v>
      </c>
      <c r="R356" s="11">
        <v>41803</v>
      </c>
      <c r="S356" s="11">
        <v>41803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8</v>
      </c>
      <c r="M357" s="6">
        <v>2022</v>
      </c>
      <c r="N357" s="7">
        <v>0</v>
      </c>
      <c r="O357" s="7">
        <v>0</v>
      </c>
      <c r="P357" s="7">
        <v>0</v>
      </c>
      <c r="Q357" s="7">
        <v>0</v>
      </c>
      <c r="R357" s="11">
        <v>41803</v>
      </c>
      <c r="S357" s="11">
        <v>41803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7</v>
      </c>
      <c r="M358" s="6">
        <v>2021</v>
      </c>
      <c r="N358" s="7">
        <v>0</v>
      </c>
      <c r="O358" s="7">
        <v>0</v>
      </c>
      <c r="P358" s="7">
        <v>0</v>
      </c>
      <c r="Q358" s="7">
        <v>0</v>
      </c>
      <c r="R358" s="11">
        <v>41803</v>
      </c>
      <c r="S358" s="11">
        <v>41803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5</v>
      </c>
      <c r="M359" s="6">
        <v>2019</v>
      </c>
      <c r="N359" s="7">
        <v>0</v>
      </c>
      <c r="O359" s="7">
        <v>0</v>
      </c>
      <c r="P359" s="7">
        <v>0</v>
      </c>
      <c r="Q359" s="7">
        <v>0</v>
      </c>
      <c r="R359" s="11">
        <v>41803</v>
      </c>
      <c r="S359" s="11">
        <v>41803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9</v>
      </c>
      <c r="M360" s="6">
        <v>2023</v>
      </c>
      <c r="N360" s="7">
        <v>0</v>
      </c>
      <c r="O360" s="7">
        <v>0</v>
      </c>
      <c r="P360" s="7">
        <v>0</v>
      </c>
      <c r="Q360" s="7">
        <v>0</v>
      </c>
      <c r="R360" s="11">
        <v>41803</v>
      </c>
      <c r="S360" s="11">
        <v>41803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0</v>
      </c>
      <c r="M361" s="6">
        <v>2014</v>
      </c>
      <c r="N361" s="7">
        <v>0</v>
      </c>
      <c r="O361" s="7">
        <v>0</v>
      </c>
      <c r="P361" s="7">
        <v>0</v>
      </c>
      <c r="Q361" s="7">
        <v>0</v>
      </c>
      <c r="R361" s="11">
        <v>41803</v>
      </c>
      <c r="S361" s="11">
        <v>41803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3</v>
      </c>
      <c r="M362" s="6">
        <v>2017</v>
      </c>
      <c r="N362" s="7">
        <v>0</v>
      </c>
      <c r="O362" s="7">
        <v>0</v>
      </c>
      <c r="P362" s="7">
        <v>0</v>
      </c>
      <c r="Q362" s="7">
        <v>0</v>
      </c>
      <c r="R362" s="11">
        <v>41803</v>
      </c>
      <c r="S362" s="11">
        <v>41803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10</v>
      </c>
      <c r="M363" s="6">
        <v>2024</v>
      </c>
      <c r="N363" s="7">
        <v>0</v>
      </c>
      <c r="O363" s="7">
        <v>0</v>
      </c>
      <c r="P363" s="7">
        <v>0</v>
      </c>
      <c r="Q363" s="7">
        <v>0</v>
      </c>
      <c r="R363" s="11">
        <v>41803</v>
      </c>
      <c r="S363" s="11">
        <v>41803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12</v>
      </c>
      <c r="M364" s="6">
        <v>2026</v>
      </c>
      <c r="N364" s="7">
        <v>0</v>
      </c>
      <c r="O364" s="7">
        <v>0</v>
      </c>
      <c r="P364" s="7">
        <v>0</v>
      </c>
      <c r="Q364" s="7">
        <v>0</v>
      </c>
      <c r="R364" s="11">
        <v>41803</v>
      </c>
      <c r="S364" s="11">
        <v>41803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4</v>
      </c>
      <c r="M365" s="6">
        <v>2018</v>
      </c>
      <c r="N365" s="7">
        <v>0</v>
      </c>
      <c r="O365" s="7">
        <v>0</v>
      </c>
      <c r="P365" s="7">
        <v>0</v>
      </c>
      <c r="Q365" s="7">
        <v>0</v>
      </c>
      <c r="R365" s="11">
        <v>41803</v>
      </c>
      <c r="S365" s="11">
        <v>41803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1</v>
      </c>
      <c r="M366" s="6">
        <v>2015</v>
      </c>
      <c r="N366" s="7">
        <v>0</v>
      </c>
      <c r="O366" s="7">
        <v>0</v>
      </c>
      <c r="P366" s="7">
        <v>0</v>
      </c>
      <c r="Q366" s="7">
        <v>0</v>
      </c>
      <c r="R366" s="11">
        <v>41803</v>
      </c>
      <c r="S366" s="11">
        <v>41803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6</v>
      </c>
      <c r="M367" s="6">
        <v>2020</v>
      </c>
      <c r="N367" s="7">
        <v>0</v>
      </c>
      <c r="O367" s="7">
        <v>0</v>
      </c>
      <c r="P367" s="7">
        <v>0</v>
      </c>
      <c r="Q367" s="7">
        <v>0</v>
      </c>
      <c r="R367" s="11">
        <v>41803</v>
      </c>
      <c r="S367" s="11">
        <v>41803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5</v>
      </c>
      <c r="M368" s="6">
        <v>2019</v>
      </c>
      <c r="N368" s="7">
        <v>0</v>
      </c>
      <c r="O368" s="7">
        <v>0</v>
      </c>
      <c r="P368" s="7">
        <v>0</v>
      </c>
      <c r="Q368" s="7">
        <v>0</v>
      </c>
      <c r="R368" s="11">
        <v>41803</v>
      </c>
      <c r="S368" s="11">
        <v>41803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4</v>
      </c>
      <c r="M369" s="6">
        <v>2018</v>
      </c>
      <c r="N369" s="7">
        <v>0</v>
      </c>
      <c r="O369" s="7">
        <v>0</v>
      </c>
      <c r="P369" s="7">
        <v>0</v>
      </c>
      <c r="Q369" s="7">
        <v>0</v>
      </c>
      <c r="R369" s="11">
        <v>41803</v>
      </c>
      <c r="S369" s="11">
        <v>41803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410</v>
      </c>
      <c r="H370" s="10">
        <v>8</v>
      </c>
      <c r="I370" s="10"/>
      <c r="J370" s="10" t="s">
        <v>133</v>
      </c>
      <c r="K370" s="10" t="b">
        <v>1</v>
      </c>
      <c r="L370" s="10">
        <v>12</v>
      </c>
      <c r="M370" s="6">
        <v>2026</v>
      </c>
      <c r="N370" s="7">
        <v>0</v>
      </c>
      <c r="O370" s="7">
        <v>0</v>
      </c>
      <c r="P370" s="7">
        <v>0</v>
      </c>
      <c r="Q370" s="7">
        <v>0</v>
      </c>
      <c r="R370" s="11">
        <v>41803</v>
      </c>
      <c r="S370" s="11">
        <v>41803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9</v>
      </c>
      <c r="M371" s="6">
        <v>2023</v>
      </c>
      <c r="N371" s="7">
        <v>0</v>
      </c>
      <c r="O371" s="7">
        <v>0</v>
      </c>
      <c r="P371" s="7">
        <v>0</v>
      </c>
      <c r="Q371" s="7">
        <v>0</v>
      </c>
      <c r="R371" s="11">
        <v>41803</v>
      </c>
      <c r="S371" s="11">
        <v>41803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7</v>
      </c>
      <c r="M372" s="6">
        <v>2021</v>
      </c>
      <c r="N372" s="7">
        <v>0</v>
      </c>
      <c r="O372" s="7">
        <v>0</v>
      </c>
      <c r="P372" s="7">
        <v>0</v>
      </c>
      <c r="Q372" s="7">
        <v>0</v>
      </c>
      <c r="R372" s="11">
        <v>41803</v>
      </c>
      <c r="S372" s="11">
        <v>41803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1</v>
      </c>
      <c r="M373" s="6">
        <v>2015</v>
      </c>
      <c r="N373" s="7">
        <v>0</v>
      </c>
      <c r="O373" s="7">
        <v>0</v>
      </c>
      <c r="P373" s="7">
        <v>0</v>
      </c>
      <c r="Q373" s="7">
        <v>0</v>
      </c>
      <c r="R373" s="11">
        <v>41803</v>
      </c>
      <c r="S373" s="11">
        <v>41803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2</v>
      </c>
      <c r="M374" s="6">
        <v>2016</v>
      </c>
      <c r="N374" s="7">
        <v>0</v>
      </c>
      <c r="O374" s="7">
        <v>0</v>
      </c>
      <c r="P374" s="7">
        <v>0</v>
      </c>
      <c r="Q374" s="7">
        <v>0</v>
      </c>
      <c r="R374" s="11">
        <v>41803</v>
      </c>
      <c r="S374" s="11">
        <v>41803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11</v>
      </c>
      <c r="M375" s="6">
        <v>2025</v>
      </c>
      <c r="N375" s="7">
        <v>0</v>
      </c>
      <c r="O375" s="7">
        <v>0</v>
      </c>
      <c r="P375" s="7">
        <v>0</v>
      </c>
      <c r="Q375" s="7">
        <v>0</v>
      </c>
      <c r="R375" s="11">
        <v>41803</v>
      </c>
      <c r="S375" s="11">
        <v>41803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8</v>
      </c>
      <c r="M376" s="6">
        <v>2022</v>
      </c>
      <c r="N376" s="7">
        <v>0</v>
      </c>
      <c r="O376" s="7">
        <v>0</v>
      </c>
      <c r="P376" s="7">
        <v>0</v>
      </c>
      <c r="Q376" s="7">
        <v>0</v>
      </c>
      <c r="R376" s="11">
        <v>41803</v>
      </c>
      <c r="S376" s="11">
        <v>41803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3</v>
      </c>
      <c r="M377" s="6">
        <v>2017</v>
      </c>
      <c r="N377" s="7">
        <v>0</v>
      </c>
      <c r="O377" s="7">
        <v>0</v>
      </c>
      <c r="P377" s="7">
        <v>0</v>
      </c>
      <c r="Q377" s="7">
        <v>0</v>
      </c>
      <c r="R377" s="11">
        <v>41803</v>
      </c>
      <c r="S377" s="11">
        <v>41803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6</v>
      </c>
      <c r="M378" s="6">
        <v>2020</v>
      </c>
      <c r="N378" s="7">
        <v>0</v>
      </c>
      <c r="O378" s="7">
        <v>0</v>
      </c>
      <c r="P378" s="7">
        <v>0</v>
      </c>
      <c r="Q378" s="7">
        <v>0</v>
      </c>
      <c r="R378" s="11">
        <v>41803</v>
      </c>
      <c r="S378" s="11">
        <v>41803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12</v>
      </c>
      <c r="M379" s="6">
        <v>2026</v>
      </c>
      <c r="N379" s="7">
        <v>0</v>
      </c>
      <c r="O379" s="7">
        <v>0</v>
      </c>
      <c r="P379" s="7">
        <v>0</v>
      </c>
      <c r="Q379" s="7">
        <v>0</v>
      </c>
      <c r="R379" s="11">
        <v>41803</v>
      </c>
      <c r="S379" s="11">
        <v>41803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0</v>
      </c>
      <c r="M380" s="6">
        <v>2014</v>
      </c>
      <c r="N380" s="7">
        <v>0</v>
      </c>
      <c r="O380" s="7">
        <v>0</v>
      </c>
      <c r="P380" s="7">
        <v>0</v>
      </c>
      <c r="Q380" s="7">
        <v>0</v>
      </c>
      <c r="R380" s="11">
        <v>41803</v>
      </c>
      <c r="S380" s="11">
        <v>41803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320</v>
      </c>
      <c r="H381" s="10" t="s">
        <v>65</v>
      </c>
      <c r="I381" s="10" t="s">
        <v>217</v>
      </c>
      <c r="J381" s="10" t="s">
        <v>218</v>
      </c>
      <c r="K381" s="10" t="b">
        <v>1</v>
      </c>
      <c r="L381" s="10">
        <v>10</v>
      </c>
      <c r="M381" s="6">
        <v>2024</v>
      </c>
      <c r="N381" s="7">
        <v>0</v>
      </c>
      <c r="O381" s="7">
        <v>0</v>
      </c>
      <c r="P381" s="7">
        <v>0</v>
      </c>
      <c r="Q381" s="7">
        <v>0</v>
      </c>
      <c r="R381" s="11">
        <v>41803</v>
      </c>
      <c r="S381" s="11">
        <v>41803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11</v>
      </c>
      <c r="M382" s="6">
        <v>2025</v>
      </c>
      <c r="N382" s="7">
        <v>0</v>
      </c>
      <c r="O382" s="7">
        <v>0</v>
      </c>
      <c r="P382" s="7">
        <v>0</v>
      </c>
      <c r="Q382" s="7">
        <v>0</v>
      </c>
      <c r="R382" s="11">
        <v>41803</v>
      </c>
      <c r="S382" s="11">
        <v>41803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7">
        <v>0</v>
      </c>
      <c r="P383" s="7">
        <v>0</v>
      </c>
      <c r="Q383" s="7">
        <v>0</v>
      </c>
      <c r="R383" s="11">
        <v>41803</v>
      </c>
      <c r="S383" s="11">
        <v>41803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9</v>
      </c>
      <c r="M384" s="6">
        <v>2023</v>
      </c>
      <c r="N384" s="7">
        <v>0</v>
      </c>
      <c r="O384" s="7">
        <v>0</v>
      </c>
      <c r="P384" s="7">
        <v>0</v>
      </c>
      <c r="Q384" s="7">
        <v>0</v>
      </c>
      <c r="R384" s="11">
        <v>41803</v>
      </c>
      <c r="S384" s="11">
        <v>41803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0</v>
      </c>
      <c r="M385" s="6">
        <v>2014</v>
      </c>
      <c r="N385" s="7">
        <v>0</v>
      </c>
      <c r="O385" s="7">
        <v>0</v>
      </c>
      <c r="P385" s="7">
        <v>0</v>
      </c>
      <c r="Q385" s="7">
        <v>0</v>
      </c>
      <c r="R385" s="11">
        <v>41803</v>
      </c>
      <c r="S385" s="11">
        <v>41803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8</v>
      </c>
      <c r="M386" s="6">
        <v>2022</v>
      </c>
      <c r="N386" s="7">
        <v>0</v>
      </c>
      <c r="O386" s="7">
        <v>0</v>
      </c>
      <c r="P386" s="7">
        <v>0</v>
      </c>
      <c r="Q386" s="7">
        <v>0</v>
      </c>
      <c r="R386" s="11">
        <v>41803</v>
      </c>
      <c r="S386" s="11">
        <v>41803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6</v>
      </c>
      <c r="M387" s="6">
        <v>2020</v>
      </c>
      <c r="N387" s="7">
        <v>0</v>
      </c>
      <c r="O387" s="7">
        <v>0</v>
      </c>
      <c r="P387" s="7">
        <v>0</v>
      </c>
      <c r="Q387" s="7">
        <v>0</v>
      </c>
      <c r="R387" s="11">
        <v>41803</v>
      </c>
      <c r="S387" s="11">
        <v>41803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10</v>
      </c>
      <c r="M388" s="6">
        <v>2024</v>
      </c>
      <c r="N388" s="7">
        <v>0</v>
      </c>
      <c r="O388" s="7">
        <v>0</v>
      </c>
      <c r="P388" s="7">
        <v>0</v>
      </c>
      <c r="Q388" s="7">
        <v>0</v>
      </c>
      <c r="R388" s="11">
        <v>41803</v>
      </c>
      <c r="S388" s="11">
        <v>41803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4</v>
      </c>
      <c r="M389" s="6">
        <v>2018</v>
      </c>
      <c r="N389" s="7">
        <v>0</v>
      </c>
      <c r="O389" s="7">
        <v>0</v>
      </c>
      <c r="P389" s="7">
        <v>0</v>
      </c>
      <c r="Q389" s="7">
        <v>0</v>
      </c>
      <c r="R389" s="11">
        <v>41803</v>
      </c>
      <c r="S389" s="11">
        <v>41803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7</v>
      </c>
      <c r="M390" s="6">
        <v>2021</v>
      </c>
      <c r="N390" s="7">
        <v>0</v>
      </c>
      <c r="O390" s="7">
        <v>0</v>
      </c>
      <c r="P390" s="7">
        <v>0</v>
      </c>
      <c r="Q390" s="7">
        <v>0</v>
      </c>
      <c r="R390" s="11">
        <v>41803</v>
      </c>
      <c r="S390" s="11">
        <v>41803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3</v>
      </c>
      <c r="M391" s="6">
        <v>2017</v>
      </c>
      <c r="N391" s="7">
        <v>0</v>
      </c>
      <c r="O391" s="7">
        <v>0</v>
      </c>
      <c r="P391" s="7">
        <v>0</v>
      </c>
      <c r="Q391" s="7">
        <v>0</v>
      </c>
      <c r="R391" s="11">
        <v>41803</v>
      </c>
      <c r="S391" s="11">
        <v>41803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2</v>
      </c>
      <c r="M392" s="6">
        <v>2016</v>
      </c>
      <c r="N392" s="7">
        <v>0</v>
      </c>
      <c r="O392" s="7">
        <v>0</v>
      </c>
      <c r="P392" s="7">
        <v>0</v>
      </c>
      <c r="Q392" s="7">
        <v>0</v>
      </c>
      <c r="R392" s="11">
        <v>41803</v>
      </c>
      <c r="S392" s="11">
        <v>41803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</v>
      </c>
      <c r="M393" s="6">
        <v>2015</v>
      </c>
      <c r="N393" s="7">
        <v>0</v>
      </c>
      <c r="O393" s="7">
        <v>0</v>
      </c>
      <c r="P393" s="7">
        <v>0</v>
      </c>
      <c r="Q393" s="7">
        <v>0</v>
      </c>
      <c r="R393" s="11">
        <v>41803</v>
      </c>
      <c r="S393" s="11">
        <v>41803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</v>
      </c>
      <c r="M394" s="6">
        <v>2015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41803</v>
      </c>
      <c r="S394" s="11">
        <v>41803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7</v>
      </c>
      <c r="M395" s="6">
        <v>2021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41803</v>
      </c>
      <c r="S395" s="11">
        <v>41803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6</v>
      </c>
      <c r="M396" s="6">
        <v>2020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41803</v>
      </c>
      <c r="S396" s="11">
        <v>41803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9</v>
      </c>
      <c r="M397" s="6">
        <v>2023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41803</v>
      </c>
      <c r="S397" s="11">
        <v>41803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5</v>
      </c>
      <c r="M398" s="6">
        <v>2019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41803</v>
      </c>
      <c r="S398" s="11">
        <v>41803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0</v>
      </c>
      <c r="M399" s="6">
        <v>2014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41803</v>
      </c>
      <c r="S399" s="11">
        <v>41803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12</v>
      </c>
      <c r="M400" s="6">
        <v>2026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41803</v>
      </c>
      <c r="S400" s="11">
        <v>41803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3</v>
      </c>
      <c r="M401" s="6">
        <v>2017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41803</v>
      </c>
      <c r="S401" s="11">
        <v>41803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4</v>
      </c>
      <c r="M402" s="6">
        <v>2018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41803</v>
      </c>
      <c r="S402" s="11">
        <v>41803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8</v>
      </c>
      <c r="M403" s="6">
        <v>2022</v>
      </c>
      <c r="N403" s="7">
        <v>0</v>
      </c>
      <c r="O403" s="7">
        <v>24179068.76</v>
      </c>
      <c r="P403" s="7">
        <v>23585724.84</v>
      </c>
      <c r="Q403" s="7">
        <v>23585724.84</v>
      </c>
      <c r="R403" s="11">
        <v>41803</v>
      </c>
      <c r="S403" s="11">
        <v>41803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10</v>
      </c>
      <c r="M404" s="6">
        <v>2024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41803</v>
      </c>
      <c r="S404" s="11">
        <v>41803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2</v>
      </c>
      <c r="M405" s="6">
        <v>2016</v>
      </c>
      <c r="N405" s="7">
        <v>0</v>
      </c>
      <c r="O405" s="7">
        <v>24179068.76</v>
      </c>
      <c r="P405" s="7">
        <v>23585724.84</v>
      </c>
      <c r="Q405" s="7">
        <v>23585724.84</v>
      </c>
      <c r="R405" s="11">
        <v>41803</v>
      </c>
      <c r="S405" s="11">
        <v>41803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11</v>
      </c>
      <c r="M406" s="6">
        <v>2025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41803</v>
      </c>
      <c r="S406" s="11">
        <v>41803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4</v>
      </c>
      <c r="M407" s="6">
        <v>2018</v>
      </c>
      <c r="N407" s="7">
        <v>0</v>
      </c>
      <c r="O407" s="7">
        <v>0</v>
      </c>
      <c r="P407" s="7">
        <v>0</v>
      </c>
      <c r="Q407" s="7">
        <v>0</v>
      </c>
      <c r="R407" s="11">
        <v>41803</v>
      </c>
      <c r="S407" s="11">
        <v>41803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0</v>
      </c>
      <c r="M408" s="6">
        <v>2014</v>
      </c>
      <c r="N408" s="7">
        <v>0</v>
      </c>
      <c r="O408" s="7">
        <v>0</v>
      </c>
      <c r="P408" s="7">
        <v>0</v>
      </c>
      <c r="Q408" s="7">
        <v>0</v>
      </c>
      <c r="R408" s="11">
        <v>41803</v>
      </c>
      <c r="S408" s="11">
        <v>41803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11</v>
      </c>
      <c r="M409" s="6">
        <v>2025</v>
      </c>
      <c r="N409" s="7">
        <v>0</v>
      </c>
      <c r="O409" s="7">
        <v>0</v>
      </c>
      <c r="P409" s="7">
        <v>0</v>
      </c>
      <c r="Q409" s="7">
        <v>0</v>
      </c>
      <c r="R409" s="11">
        <v>41803</v>
      </c>
      <c r="S409" s="11">
        <v>41803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1</v>
      </c>
      <c r="M410" s="6">
        <v>2015</v>
      </c>
      <c r="N410" s="7">
        <v>0</v>
      </c>
      <c r="O410" s="7">
        <v>0</v>
      </c>
      <c r="P410" s="7">
        <v>0</v>
      </c>
      <c r="Q410" s="7">
        <v>0</v>
      </c>
      <c r="R410" s="11">
        <v>41803</v>
      </c>
      <c r="S410" s="11">
        <v>41803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12</v>
      </c>
      <c r="M411" s="6">
        <v>2026</v>
      </c>
      <c r="N411" s="7">
        <v>0</v>
      </c>
      <c r="O411" s="7">
        <v>0</v>
      </c>
      <c r="P411" s="7">
        <v>0</v>
      </c>
      <c r="Q411" s="7">
        <v>0</v>
      </c>
      <c r="R411" s="11">
        <v>41803</v>
      </c>
      <c r="S411" s="11">
        <v>41803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7</v>
      </c>
      <c r="M412" s="6">
        <v>2021</v>
      </c>
      <c r="N412" s="7">
        <v>0</v>
      </c>
      <c r="O412" s="7">
        <v>0</v>
      </c>
      <c r="P412" s="7">
        <v>0</v>
      </c>
      <c r="Q412" s="7">
        <v>0</v>
      </c>
      <c r="R412" s="11">
        <v>41803</v>
      </c>
      <c r="S412" s="11">
        <v>41803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5</v>
      </c>
      <c r="M413" s="6">
        <v>2019</v>
      </c>
      <c r="N413" s="7">
        <v>0</v>
      </c>
      <c r="O413" s="7">
        <v>0</v>
      </c>
      <c r="P413" s="7">
        <v>0</v>
      </c>
      <c r="Q413" s="7">
        <v>0</v>
      </c>
      <c r="R413" s="11">
        <v>41803</v>
      </c>
      <c r="S413" s="11">
        <v>41803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10</v>
      </c>
      <c r="M414" s="6">
        <v>2024</v>
      </c>
      <c r="N414" s="7">
        <v>0</v>
      </c>
      <c r="O414" s="7">
        <v>0</v>
      </c>
      <c r="P414" s="7">
        <v>0</v>
      </c>
      <c r="Q414" s="7">
        <v>0</v>
      </c>
      <c r="R414" s="11">
        <v>41803</v>
      </c>
      <c r="S414" s="11">
        <v>41803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2</v>
      </c>
      <c r="M415" s="6">
        <v>2016</v>
      </c>
      <c r="N415" s="7">
        <v>0</v>
      </c>
      <c r="O415" s="7">
        <v>0</v>
      </c>
      <c r="P415" s="7">
        <v>0</v>
      </c>
      <c r="Q415" s="7">
        <v>0</v>
      </c>
      <c r="R415" s="11">
        <v>41803</v>
      </c>
      <c r="S415" s="11">
        <v>41803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3</v>
      </c>
      <c r="M416" s="6">
        <v>2017</v>
      </c>
      <c r="N416" s="7">
        <v>0</v>
      </c>
      <c r="O416" s="7">
        <v>0</v>
      </c>
      <c r="P416" s="7">
        <v>0</v>
      </c>
      <c r="Q416" s="7">
        <v>0</v>
      </c>
      <c r="R416" s="11">
        <v>41803</v>
      </c>
      <c r="S416" s="11">
        <v>41803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9</v>
      </c>
      <c r="M417" s="6">
        <v>2023</v>
      </c>
      <c r="N417" s="7">
        <v>0</v>
      </c>
      <c r="O417" s="7">
        <v>0</v>
      </c>
      <c r="P417" s="7">
        <v>0</v>
      </c>
      <c r="Q417" s="7">
        <v>0</v>
      </c>
      <c r="R417" s="11">
        <v>41803</v>
      </c>
      <c r="S417" s="11">
        <v>41803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6</v>
      </c>
      <c r="M418" s="6">
        <v>2020</v>
      </c>
      <c r="N418" s="7">
        <v>0</v>
      </c>
      <c r="O418" s="7">
        <v>0</v>
      </c>
      <c r="P418" s="7">
        <v>0</v>
      </c>
      <c r="Q418" s="7">
        <v>0</v>
      </c>
      <c r="R418" s="11">
        <v>41803</v>
      </c>
      <c r="S418" s="11">
        <v>41803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8</v>
      </c>
      <c r="M419" s="6">
        <v>2022</v>
      </c>
      <c r="N419" s="7">
        <v>0</v>
      </c>
      <c r="O419" s="7">
        <v>0</v>
      </c>
      <c r="P419" s="7">
        <v>0</v>
      </c>
      <c r="Q419" s="7">
        <v>0</v>
      </c>
      <c r="R419" s="11">
        <v>41803</v>
      </c>
      <c r="S419" s="11">
        <v>41803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11</v>
      </c>
      <c r="M420" s="6">
        <v>2025</v>
      </c>
      <c r="N420" s="7">
        <v>0</v>
      </c>
      <c r="O420" s="7">
        <v>0</v>
      </c>
      <c r="P420" s="7">
        <v>0</v>
      </c>
      <c r="Q420" s="7">
        <v>0</v>
      </c>
      <c r="R420" s="11">
        <v>41803</v>
      </c>
      <c r="S420" s="11">
        <v>41803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6</v>
      </c>
      <c r="M421" s="6">
        <v>2020</v>
      </c>
      <c r="N421" s="7">
        <v>0</v>
      </c>
      <c r="O421" s="7">
        <v>0</v>
      </c>
      <c r="P421" s="7">
        <v>0</v>
      </c>
      <c r="Q421" s="7">
        <v>0</v>
      </c>
      <c r="R421" s="11">
        <v>41803</v>
      </c>
      <c r="S421" s="11">
        <v>41803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7</v>
      </c>
      <c r="M422" s="6">
        <v>2021</v>
      </c>
      <c r="N422" s="7">
        <v>0</v>
      </c>
      <c r="O422" s="7">
        <v>0</v>
      </c>
      <c r="P422" s="7">
        <v>0</v>
      </c>
      <c r="Q422" s="7">
        <v>0</v>
      </c>
      <c r="R422" s="11">
        <v>41803</v>
      </c>
      <c r="S422" s="11">
        <v>41803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4</v>
      </c>
      <c r="M423" s="6">
        <v>2018</v>
      </c>
      <c r="N423" s="7">
        <v>0</v>
      </c>
      <c r="O423" s="7">
        <v>0</v>
      </c>
      <c r="P423" s="7">
        <v>0</v>
      </c>
      <c r="Q423" s="7">
        <v>0</v>
      </c>
      <c r="R423" s="11">
        <v>41803</v>
      </c>
      <c r="S423" s="11">
        <v>41803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5</v>
      </c>
      <c r="M424" s="6">
        <v>2019</v>
      </c>
      <c r="N424" s="7">
        <v>0</v>
      </c>
      <c r="O424" s="7">
        <v>0</v>
      </c>
      <c r="P424" s="7">
        <v>0</v>
      </c>
      <c r="Q424" s="7">
        <v>0</v>
      </c>
      <c r="R424" s="11">
        <v>41803</v>
      </c>
      <c r="S424" s="11">
        <v>41803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2</v>
      </c>
      <c r="M425" s="6">
        <v>2016</v>
      </c>
      <c r="N425" s="7">
        <v>0</v>
      </c>
      <c r="O425" s="7">
        <v>0</v>
      </c>
      <c r="P425" s="7">
        <v>0</v>
      </c>
      <c r="Q425" s="7">
        <v>0</v>
      </c>
      <c r="R425" s="11">
        <v>41803</v>
      </c>
      <c r="S425" s="11">
        <v>41803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10</v>
      </c>
      <c r="M426" s="6">
        <v>2024</v>
      </c>
      <c r="N426" s="7">
        <v>0</v>
      </c>
      <c r="O426" s="7">
        <v>0</v>
      </c>
      <c r="P426" s="7">
        <v>0</v>
      </c>
      <c r="Q426" s="7">
        <v>0</v>
      </c>
      <c r="R426" s="11">
        <v>41803</v>
      </c>
      <c r="S426" s="11">
        <v>41803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12</v>
      </c>
      <c r="M427" s="6">
        <v>2026</v>
      </c>
      <c r="N427" s="7">
        <v>0</v>
      </c>
      <c r="O427" s="7">
        <v>0</v>
      </c>
      <c r="P427" s="7">
        <v>0</v>
      </c>
      <c r="Q427" s="7">
        <v>0</v>
      </c>
      <c r="R427" s="11">
        <v>41803</v>
      </c>
      <c r="S427" s="11">
        <v>41803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3</v>
      </c>
      <c r="M428" s="6">
        <v>2017</v>
      </c>
      <c r="N428" s="7">
        <v>0</v>
      </c>
      <c r="O428" s="7">
        <v>0</v>
      </c>
      <c r="P428" s="7">
        <v>0</v>
      </c>
      <c r="Q428" s="7">
        <v>0</v>
      </c>
      <c r="R428" s="11">
        <v>41803</v>
      </c>
      <c r="S428" s="11">
        <v>41803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9</v>
      </c>
      <c r="M429" s="6">
        <v>2023</v>
      </c>
      <c r="N429" s="7">
        <v>0</v>
      </c>
      <c r="O429" s="7">
        <v>0</v>
      </c>
      <c r="P429" s="7">
        <v>0</v>
      </c>
      <c r="Q429" s="7">
        <v>0</v>
      </c>
      <c r="R429" s="11">
        <v>41803</v>
      </c>
      <c r="S429" s="11">
        <v>41803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0</v>
      </c>
      <c r="M430" s="6">
        <v>2014</v>
      </c>
      <c r="N430" s="7">
        <v>0</v>
      </c>
      <c r="O430" s="7">
        <v>0</v>
      </c>
      <c r="P430" s="7">
        <v>0</v>
      </c>
      <c r="Q430" s="7">
        <v>0</v>
      </c>
      <c r="R430" s="11">
        <v>41803</v>
      </c>
      <c r="S430" s="11">
        <v>41803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1</v>
      </c>
      <c r="M431" s="6">
        <v>2015</v>
      </c>
      <c r="N431" s="7">
        <v>0</v>
      </c>
      <c r="O431" s="7">
        <v>0</v>
      </c>
      <c r="P431" s="7">
        <v>0</v>
      </c>
      <c r="Q431" s="7">
        <v>0</v>
      </c>
      <c r="R431" s="11">
        <v>41803</v>
      </c>
      <c r="S431" s="11">
        <v>41803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8</v>
      </c>
      <c r="M432" s="6">
        <v>2022</v>
      </c>
      <c r="N432" s="7">
        <v>0</v>
      </c>
      <c r="O432" s="7">
        <v>0</v>
      </c>
      <c r="P432" s="7">
        <v>0</v>
      </c>
      <c r="Q432" s="7">
        <v>0</v>
      </c>
      <c r="R432" s="11">
        <v>41803</v>
      </c>
      <c r="S432" s="11">
        <v>41803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6</v>
      </c>
      <c r="M433" s="6">
        <v>2020</v>
      </c>
      <c r="N433" s="7">
        <v>0</v>
      </c>
      <c r="O433" s="7">
        <v>0</v>
      </c>
      <c r="P433" s="7">
        <v>2478000</v>
      </c>
      <c r="Q433" s="7">
        <v>2630762.89</v>
      </c>
      <c r="R433" s="11">
        <v>41803</v>
      </c>
      <c r="S433" s="11">
        <v>41803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12</v>
      </c>
      <c r="M434" s="6">
        <v>2026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41803</v>
      </c>
      <c r="S434" s="11">
        <v>41803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2</v>
      </c>
      <c r="M435" s="6">
        <v>2016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41803</v>
      </c>
      <c r="S435" s="11">
        <v>41803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9</v>
      </c>
      <c r="M436" s="6">
        <v>2023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41803</v>
      </c>
      <c r="S436" s="11">
        <v>41803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5</v>
      </c>
      <c r="M437" s="6">
        <v>2019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41803</v>
      </c>
      <c r="S437" s="11">
        <v>41803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</v>
      </c>
      <c r="M438" s="6">
        <v>2015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41803</v>
      </c>
      <c r="S438" s="11">
        <v>41803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7</v>
      </c>
      <c r="M439" s="6">
        <v>2021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41803</v>
      </c>
      <c r="S439" s="11">
        <v>41803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10</v>
      </c>
      <c r="M440" s="6">
        <v>2024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41803</v>
      </c>
      <c r="S440" s="11">
        <v>41803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11</v>
      </c>
      <c r="M441" s="6">
        <v>2025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41803</v>
      </c>
      <c r="S441" s="11">
        <v>41803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3</v>
      </c>
      <c r="M442" s="6">
        <v>2017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41803</v>
      </c>
      <c r="S442" s="11">
        <v>41803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0</v>
      </c>
      <c r="M443" s="6">
        <v>2014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41803</v>
      </c>
      <c r="S443" s="11">
        <v>41803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8</v>
      </c>
      <c r="M444" s="6">
        <v>2022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41803</v>
      </c>
      <c r="S444" s="11">
        <v>41803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4</v>
      </c>
      <c r="M445" s="6">
        <v>2018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41803</v>
      </c>
      <c r="S445" s="11">
        <v>41803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1</v>
      </c>
      <c r="M446" s="6">
        <v>2015</v>
      </c>
      <c r="N446" s="7">
        <v>0</v>
      </c>
      <c r="O446" s="7">
        <v>0</v>
      </c>
      <c r="P446" s="7">
        <v>6586275.16</v>
      </c>
      <c r="Q446" s="7">
        <v>9966922.03</v>
      </c>
      <c r="R446" s="11">
        <v>41803</v>
      </c>
      <c r="S446" s="11">
        <v>41803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4</v>
      </c>
      <c r="M447" s="6">
        <v>2018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41803</v>
      </c>
      <c r="S447" s="11">
        <v>41803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3</v>
      </c>
      <c r="M448" s="6">
        <v>2017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41803</v>
      </c>
      <c r="S448" s="11">
        <v>41803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7</v>
      </c>
      <c r="M449" s="6">
        <v>2021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41803</v>
      </c>
      <c r="S449" s="11">
        <v>41803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5</v>
      </c>
      <c r="M450" s="6">
        <v>2019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41803</v>
      </c>
      <c r="S450" s="11">
        <v>41803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9</v>
      </c>
      <c r="M451" s="6">
        <v>2023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41803</v>
      </c>
      <c r="S451" s="11">
        <v>41803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2</v>
      </c>
      <c r="M452" s="6">
        <v>2016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41803</v>
      </c>
      <c r="S452" s="11">
        <v>41803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8</v>
      </c>
      <c r="M453" s="6">
        <v>2022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41803</v>
      </c>
      <c r="S453" s="11">
        <v>41803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0</v>
      </c>
      <c r="M454" s="6">
        <v>2014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41803</v>
      </c>
      <c r="S454" s="11">
        <v>41803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12</v>
      </c>
      <c r="M455" s="6">
        <v>2026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41803</v>
      </c>
      <c r="S455" s="11">
        <v>41803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6</v>
      </c>
      <c r="M456" s="6">
        <v>2020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41803</v>
      </c>
      <c r="S456" s="11">
        <v>41803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11</v>
      </c>
      <c r="M457" s="6">
        <v>2025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41803</v>
      </c>
      <c r="S457" s="11">
        <v>41803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10</v>
      </c>
      <c r="M458" s="6">
        <v>2024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41803</v>
      </c>
      <c r="S458" s="11">
        <v>41803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4</v>
      </c>
      <c r="M459" s="6">
        <v>2018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41803</v>
      </c>
      <c r="S459" s="11">
        <v>41803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9</v>
      </c>
      <c r="M460" s="6">
        <v>2023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41803</v>
      </c>
      <c r="S460" s="11">
        <v>41803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7</v>
      </c>
      <c r="M461" s="6">
        <v>2021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41803</v>
      </c>
      <c r="S461" s="11">
        <v>41803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3</v>
      </c>
      <c r="M462" s="6">
        <v>2017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41803</v>
      </c>
      <c r="S462" s="11">
        <v>41803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2</v>
      </c>
      <c r="M463" s="6">
        <v>2016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41803</v>
      </c>
      <c r="S463" s="11">
        <v>41803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0</v>
      </c>
      <c r="M464" s="6">
        <v>2014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41803</v>
      </c>
      <c r="S464" s="11">
        <v>41803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12</v>
      </c>
      <c r="M465" s="6">
        <v>2026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41803</v>
      </c>
      <c r="S465" s="11">
        <v>41803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6</v>
      </c>
      <c r="M466" s="6">
        <v>2020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41803</v>
      </c>
      <c r="S466" s="11">
        <v>41803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11</v>
      </c>
      <c r="M467" s="6">
        <v>2025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41803</v>
      </c>
      <c r="S467" s="11">
        <v>41803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1</v>
      </c>
      <c r="M468" s="6">
        <v>2015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41803</v>
      </c>
      <c r="S468" s="11">
        <v>41803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5</v>
      </c>
      <c r="M469" s="6">
        <v>2019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41803</v>
      </c>
      <c r="S469" s="11">
        <v>41803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10</v>
      </c>
      <c r="M470" s="6">
        <v>2024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41803</v>
      </c>
      <c r="S470" s="11">
        <v>41803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8</v>
      </c>
      <c r="M471" s="6">
        <v>2022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41803</v>
      </c>
      <c r="S471" s="11">
        <v>41803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4</v>
      </c>
      <c r="M472" s="6">
        <v>2018</v>
      </c>
      <c r="N472" s="7">
        <v>0</v>
      </c>
      <c r="O472" s="7">
        <v>0</v>
      </c>
      <c r="P472" s="7">
        <v>0</v>
      </c>
      <c r="Q472" s="7">
        <v>0</v>
      </c>
      <c r="R472" s="11">
        <v>41803</v>
      </c>
      <c r="S472" s="11">
        <v>41803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2</v>
      </c>
      <c r="M473" s="6">
        <v>2016</v>
      </c>
      <c r="N473" s="7">
        <v>0</v>
      </c>
      <c r="O473" s="7">
        <v>0</v>
      </c>
      <c r="P473" s="7">
        <v>0</v>
      </c>
      <c r="Q473" s="7">
        <v>0</v>
      </c>
      <c r="R473" s="11">
        <v>41803</v>
      </c>
      <c r="S473" s="11">
        <v>41803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1</v>
      </c>
      <c r="M474" s="6">
        <v>2015</v>
      </c>
      <c r="N474" s="7">
        <v>0</v>
      </c>
      <c r="O474" s="7">
        <v>0</v>
      </c>
      <c r="P474" s="7">
        <v>0</v>
      </c>
      <c r="Q474" s="7">
        <v>0</v>
      </c>
      <c r="R474" s="11">
        <v>41803</v>
      </c>
      <c r="S474" s="11">
        <v>41803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7</v>
      </c>
      <c r="M475" s="6">
        <v>2021</v>
      </c>
      <c r="N475" s="7">
        <v>0</v>
      </c>
      <c r="O475" s="7">
        <v>0</v>
      </c>
      <c r="P475" s="7">
        <v>0</v>
      </c>
      <c r="Q475" s="7">
        <v>0</v>
      </c>
      <c r="R475" s="11">
        <v>41803</v>
      </c>
      <c r="S475" s="11">
        <v>41803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12</v>
      </c>
      <c r="M476" s="6">
        <v>2026</v>
      </c>
      <c r="N476" s="7">
        <v>0</v>
      </c>
      <c r="O476" s="7">
        <v>0</v>
      </c>
      <c r="P476" s="7">
        <v>0</v>
      </c>
      <c r="Q476" s="7">
        <v>0</v>
      </c>
      <c r="R476" s="11">
        <v>41803</v>
      </c>
      <c r="S476" s="11">
        <v>41803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3</v>
      </c>
      <c r="M477" s="6">
        <v>2017</v>
      </c>
      <c r="N477" s="7">
        <v>0</v>
      </c>
      <c r="O477" s="7">
        <v>0</v>
      </c>
      <c r="P477" s="7">
        <v>0</v>
      </c>
      <c r="Q477" s="7">
        <v>0</v>
      </c>
      <c r="R477" s="11">
        <v>41803</v>
      </c>
      <c r="S477" s="11">
        <v>41803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0</v>
      </c>
      <c r="M478" s="6">
        <v>2014</v>
      </c>
      <c r="N478" s="7">
        <v>0</v>
      </c>
      <c r="O478" s="7">
        <v>0</v>
      </c>
      <c r="P478" s="7">
        <v>0</v>
      </c>
      <c r="Q478" s="7">
        <v>0</v>
      </c>
      <c r="R478" s="11">
        <v>41803</v>
      </c>
      <c r="S478" s="11">
        <v>41803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5</v>
      </c>
      <c r="M479" s="6">
        <v>2019</v>
      </c>
      <c r="N479" s="7">
        <v>0</v>
      </c>
      <c r="O479" s="7">
        <v>0</v>
      </c>
      <c r="P479" s="7">
        <v>0</v>
      </c>
      <c r="Q479" s="7">
        <v>0</v>
      </c>
      <c r="R479" s="11">
        <v>41803</v>
      </c>
      <c r="S479" s="11">
        <v>41803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11</v>
      </c>
      <c r="M480" s="6">
        <v>2025</v>
      </c>
      <c r="N480" s="7">
        <v>0</v>
      </c>
      <c r="O480" s="7">
        <v>0</v>
      </c>
      <c r="P480" s="7">
        <v>0</v>
      </c>
      <c r="Q480" s="7">
        <v>0</v>
      </c>
      <c r="R480" s="11">
        <v>41803</v>
      </c>
      <c r="S480" s="11">
        <v>41803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10</v>
      </c>
      <c r="M481" s="6">
        <v>2024</v>
      </c>
      <c r="N481" s="7">
        <v>0</v>
      </c>
      <c r="O481" s="7">
        <v>0</v>
      </c>
      <c r="P481" s="7">
        <v>0</v>
      </c>
      <c r="Q481" s="7">
        <v>0</v>
      </c>
      <c r="R481" s="11">
        <v>41803</v>
      </c>
      <c r="S481" s="11">
        <v>41803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6</v>
      </c>
      <c r="M482" s="6">
        <v>2020</v>
      </c>
      <c r="N482" s="7">
        <v>0</v>
      </c>
      <c r="O482" s="7">
        <v>0</v>
      </c>
      <c r="P482" s="7">
        <v>0</v>
      </c>
      <c r="Q482" s="7">
        <v>0</v>
      </c>
      <c r="R482" s="11">
        <v>41803</v>
      </c>
      <c r="S482" s="11">
        <v>41803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9</v>
      </c>
      <c r="M483" s="6">
        <v>2023</v>
      </c>
      <c r="N483" s="7">
        <v>0</v>
      </c>
      <c r="O483" s="7">
        <v>0</v>
      </c>
      <c r="P483" s="7">
        <v>0</v>
      </c>
      <c r="Q483" s="7">
        <v>0</v>
      </c>
      <c r="R483" s="11">
        <v>41803</v>
      </c>
      <c r="S483" s="11">
        <v>41803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8</v>
      </c>
      <c r="M484" s="6">
        <v>2022</v>
      </c>
      <c r="N484" s="7">
        <v>0</v>
      </c>
      <c r="O484" s="7">
        <v>0</v>
      </c>
      <c r="P484" s="7">
        <v>0</v>
      </c>
      <c r="Q484" s="7">
        <v>0</v>
      </c>
      <c r="R484" s="11">
        <v>41803</v>
      </c>
      <c r="S484" s="11">
        <v>41803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120</v>
      </c>
      <c r="H485" s="10">
        <v>2</v>
      </c>
      <c r="I485" s="10" t="s">
        <v>325</v>
      </c>
      <c r="J485" s="10" t="s">
        <v>17</v>
      </c>
      <c r="K485" s="10" t="b">
        <v>0</v>
      </c>
      <c r="L485" s="10">
        <v>8</v>
      </c>
      <c r="M485" s="6">
        <v>2022</v>
      </c>
      <c r="N485" s="7">
        <v>378530806.79</v>
      </c>
      <c r="O485" s="7">
        <v>396396539.83</v>
      </c>
      <c r="P485" s="7">
        <v>417041594.1</v>
      </c>
      <c r="Q485" s="7">
        <v>404626280.98</v>
      </c>
      <c r="R485" s="11">
        <v>41803</v>
      </c>
      <c r="S485" s="11">
        <v>41803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120</v>
      </c>
      <c r="H486" s="10">
        <v>2</v>
      </c>
      <c r="I486" s="10" t="s">
        <v>325</v>
      </c>
      <c r="J486" s="10" t="s">
        <v>17</v>
      </c>
      <c r="K486" s="10" t="b">
        <v>0</v>
      </c>
      <c r="L486" s="10">
        <v>10</v>
      </c>
      <c r="M486" s="6">
        <v>2024</v>
      </c>
      <c r="N486" s="7">
        <v>378530806.79</v>
      </c>
      <c r="O486" s="7">
        <v>396396539.83</v>
      </c>
      <c r="P486" s="7">
        <v>417041594.1</v>
      </c>
      <c r="Q486" s="7">
        <v>404626280.98</v>
      </c>
      <c r="R486" s="11">
        <v>41803</v>
      </c>
      <c r="S486" s="11">
        <v>41803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0</v>
      </c>
      <c r="M487" s="6">
        <v>2014</v>
      </c>
      <c r="N487" s="7">
        <v>378530806.79</v>
      </c>
      <c r="O487" s="7">
        <v>396396539.83</v>
      </c>
      <c r="P487" s="7">
        <v>417041594.1</v>
      </c>
      <c r="Q487" s="7">
        <v>404626280.98</v>
      </c>
      <c r="R487" s="11">
        <v>41803</v>
      </c>
      <c r="S487" s="11">
        <v>41803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7</v>
      </c>
      <c r="M488" s="6">
        <v>2021</v>
      </c>
      <c r="N488" s="7">
        <v>378530806.79</v>
      </c>
      <c r="O488" s="7">
        <v>396396539.83</v>
      </c>
      <c r="P488" s="7">
        <v>417041594.1</v>
      </c>
      <c r="Q488" s="7">
        <v>404626280.98</v>
      </c>
      <c r="R488" s="11">
        <v>41803</v>
      </c>
      <c r="S488" s="11">
        <v>41803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6</v>
      </c>
      <c r="M489" s="6">
        <v>2020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41803</v>
      </c>
      <c r="S489" s="11">
        <v>41803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4</v>
      </c>
      <c r="M490" s="6">
        <v>2018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41803</v>
      </c>
      <c r="S490" s="11">
        <v>41803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11</v>
      </c>
      <c r="M491" s="6">
        <v>2025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41803</v>
      </c>
      <c r="S491" s="11">
        <v>41803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9</v>
      </c>
      <c r="M492" s="6">
        <v>2023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41803</v>
      </c>
      <c r="S492" s="11">
        <v>41803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2</v>
      </c>
      <c r="M493" s="6">
        <v>2016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41803</v>
      </c>
      <c r="S493" s="11">
        <v>41803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1</v>
      </c>
      <c r="M494" s="6">
        <v>2015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41803</v>
      </c>
      <c r="S494" s="11">
        <v>41803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3</v>
      </c>
      <c r="M495" s="6">
        <v>2017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41803</v>
      </c>
      <c r="S495" s="11">
        <v>41803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5</v>
      </c>
      <c r="M496" s="6">
        <v>2019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41803</v>
      </c>
      <c r="S496" s="11">
        <v>41803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12</v>
      </c>
      <c r="M497" s="6">
        <v>2026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41803</v>
      </c>
      <c r="S497" s="11">
        <v>41803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7</v>
      </c>
      <c r="M498" s="6">
        <v>2021</v>
      </c>
      <c r="N498" s="7">
        <v>0.0638</v>
      </c>
      <c r="O498" s="7">
        <v>0.0742</v>
      </c>
      <c r="P498" s="7">
        <v>0.0749</v>
      </c>
      <c r="Q498" s="7">
        <v>0.0704</v>
      </c>
      <c r="R498" s="11">
        <v>41803</v>
      </c>
      <c r="S498" s="11">
        <v>41803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2</v>
      </c>
      <c r="M499" s="6">
        <v>2016</v>
      </c>
      <c r="N499" s="7">
        <v>0.0638</v>
      </c>
      <c r="O499" s="7">
        <v>0.0742</v>
      </c>
      <c r="P499" s="7">
        <v>0.0749</v>
      </c>
      <c r="Q499" s="7">
        <v>0.0704</v>
      </c>
      <c r="R499" s="11">
        <v>41803</v>
      </c>
      <c r="S499" s="11">
        <v>41803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4</v>
      </c>
      <c r="M500" s="6">
        <v>2018</v>
      </c>
      <c r="N500" s="7">
        <v>0.0638</v>
      </c>
      <c r="O500" s="7">
        <v>0.0742</v>
      </c>
      <c r="P500" s="7">
        <v>0.0749</v>
      </c>
      <c r="Q500" s="7">
        <v>0.0704</v>
      </c>
      <c r="R500" s="11">
        <v>41803</v>
      </c>
      <c r="S500" s="11">
        <v>41803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6</v>
      </c>
      <c r="M501" s="6">
        <v>2020</v>
      </c>
      <c r="N501" s="7">
        <v>0.0638</v>
      </c>
      <c r="O501" s="7">
        <v>0.0742</v>
      </c>
      <c r="P501" s="7">
        <v>0.0749</v>
      </c>
      <c r="Q501" s="7">
        <v>0.0704</v>
      </c>
      <c r="R501" s="11">
        <v>41803</v>
      </c>
      <c r="S501" s="11">
        <v>41803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9</v>
      </c>
      <c r="M502" s="6">
        <v>2023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41803</v>
      </c>
      <c r="S502" s="11">
        <v>41803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8</v>
      </c>
      <c r="M503" s="6">
        <v>2022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41803</v>
      </c>
      <c r="S503" s="11">
        <v>41803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3</v>
      </c>
      <c r="M504" s="6">
        <v>2017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41803</v>
      </c>
      <c r="S504" s="11">
        <v>41803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10</v>
      </c>
      <c r="M505" s="6">
        <v>2024</v>
      </c>
      <c r="N505" s="7">
        <v>0.0638</v>
      </c>
      <c r="O505" s="7">
        <v>0.0742</v>
      </c>
      <c r="P505" s="7">
        <v>0.0749</v>
      </c>
      <c r="Q505" s="7">
        <v>0.0704</v>
      </c>
      <c r="R505" s="11">
        <v>41803</v>
      </c>
      <c r="S505" s="11">
        <v>41803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12</v>
      </c>
      <c r="M506" s="6">
        <v>2026</v>
      </c>
      <c r="N506" s="7">
        <v>0.0638</v>
      </c>
      <c r="O506" s="7">
        <v>0.0742</v>
      </c>
      <c r="P506" s="7">
        <v>0.0749</v>
      </c>
      <c r="Q506" s="7">
        <v>0.0704</v>
      </c>
      <c r="R506" s="11">
        <v>41803</v>
      </c>
      <c r="S506" s="11">
        <v>41803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1</v>
      </c>
      <c r="M507" s="6">
        <v>2015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41803</v>
      </c>
      <c r="S507" s="11">
        <v>41803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0</v>
      </c>
      <c r="M508" s="6">
        <v>2014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41803</v>
      </c>
      <c r="S508" s="11">
        <v>41803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11</v>
      </c>
      <c r="M509" s="6">
        <v>2025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41803</v>
      </c>
      <c r="S509" s="11">
        <v>41803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5</v>
      </c>
      <c r="M510" s="6">
        <v>2019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41803</v>
      </c>
      <c r="S510" s="11">
        <v>41803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830</v>
      </c>
      <c r="H511" s="10">
        <v>13.4</v>
      </c>
      <c r="I511" s="10"/>
      <c r="J511" s="10" t="s">
        <v>109</v>
      </c>
      <c r="K511" s="10" t="b">
        <v>1</v>
      </c>
      <c r="L511" s="10">
        <v>0</v>
      </c>
      <c r="M511" s="6">
        <v>2014</v>
      </c>
      <c r="N511" s="7">
        <v>0</v>
      </c>
      <c r="O511" s="7">
        <v>0</v>
      </c>
      <c r="P511" s="7">
        <v>0</v>
      </c>
      <c r="Q511" s="7">
        <v>0</v>
      </c>
      <c r="R511" s="11">
        <v>41803</v>
      </c>
      <c r="S511" s="11">
        <v>41803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830</v>
      </c>
      <c r="H512" s="10">
        <v>13.4</v>
      </c>
      <c r="I512" s="10"/>
      <c r="J512" s="10" t="s">
        <v>109</v>
      </c>
      <c r="K512" s="10" t="b">
        <v>1</v>
      </c>
      <c r="L512" s="10">
        <v>3</v>
      </c>
      <c r="M512" s="6">
        <v>2017</v>
      </c>
      <c r="N512" s="7">
        <v>0</v>
      </c>
      <c r="O512" s="7">
        <v>0</v>
      </c>
      <c r="P512" s="7">
        <v>0</v>
      </c>
      <c r="Q512" s="7">
        <v>0</v>
      </c>
      <c r="R512" s="11">
        <v>41803</v>
      </c>
      <c r="S512" s="11">
        <v>41803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6</v>
      </c>
      <c r="M513" s="6">
        <v>2020</v>
      </c>
      <c r="N513" s="7">
        <v>0</v>
      </c>
      <c r="O513" s="7">
        <v>0</v>
      </c>
      <c r="P513" s="7">
        <v>0</v>
      </c>
      <c r="Q513" s="7">
        <v>0</v>
      </c>
      <c r="R513" s="11">
        <v>41803</v>
      </c>
      <c r="S513" s="11">
        <v>41803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9</v>
      </c>
      <c r="M514" s="6">
        <v>2023</v>
      </c>
      <c r="N514" s="7">
        <v>0</v>
      </c>
      <c r="O514" s="7">
        <v>0</v>
      </c>
      <c r="P514" s="7">
        <v>0</v>
      </c>
      <c r="Q514" s="7">
        <v>0</v>
      </c>
      <c r="R514" s="11">
        <v>41803</v>
      </c>
      <c r="S514" s="11">
        <v>41803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1</v>
      </c>
      <c r="M515" s="6">
        <v>2015</v>
      </c>
      <c r="N515" s="7">
        <v>0</v>
      </c>
      <c r="O515" s="7">
        <v>0</v>
      </c>
      <c r="P515" s="7">
        <v>0</v>
      </c>
      <c r="Q515" s="7">
        <v>0</v>
      </c>
      <c r="R515" s="11">
        <v>41803</v>
      </c>
      <c r="S515" s="11">
        <v>41803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11</v>
      </c>
      <c r="M516" s="6">
        <v>2025</v>
      </c>
      <c r="N516" s="7">
        <v>0</v>
      </c>
      <c r="O516" s="7">
        <v>0</v>
      </c>
      <c r="P516" s="7">
        <v>0</v>
      </c>
      <c r="Q516" s="7">
        <v>0</v>
      </c>
      <c r="R516" s="11">
        <v>41803</v>
      </c>
      <c r="S516" s="11">
        <v>41803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12</v>
      </c>
      <c r="M517" s="6">
        <v>2026</v>
      </c>
      <c r="N517" s="7">
        <v>0</v>
      </c>
      <c r="O517" s="7">
        <v>0</v>
      </c>
      <c r="P517" s="7">
        <v>0</v>
      </c>
      <c r="Q517" s="7">
        <v>0</v>
      </c>
      <c r="R517" s="11">
        <v>41803</v>
      </c>
      <c r="S517" s="11">
        <v>41803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10</v>
      </c>
      <c r="M518" s="6">
        <v>2024</v>
      </c>
      <c r="N518" s="7">
        <v>0</v>
      </c>
      <c r="O518" s="7">
        <v>0</v>
      </c>
      <c r="P518" s="7">
        <v>0</v>
      </c>
      <c r="Q518" s="7">
        <v>0</v>
      </c>
      <c r="R518" s="11">
        <v>41803</v>
      </c>
      <c r="S518" s="11">
        <v>41803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4</v>
      </c>
      <c r="M519" s="6">
        <v>2018</v>
      </c>
      <c r="N519" s="7">
        <v>0</v>
      </c>
      <c r="O519" s="7">
        <v>0</v>
      </c>
      <c r="P519" s="7">
        <v>0</v>
      </c>
      <c r="Q519" s="7">
        <v>0</v>
      </c>
      <c r="R519" s="11">
        <v>41803</v>
      </c>
      <c r="S519" s="11">
        <v>41803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8</v>
      </c>
      <c r="M520" s="6">
        <v>2022</v>
      </c>
      <c r="N520" s="7">
        <v>0</v>
      </c>
      <c r="O520" s="7">
        <v>0</v>
      </c>
      <c r="P520" s="7">
        <v>0</v>
      </c>
      <c r="Q520" s="7">
        <v>0</v>
      </c>
      <c r="R520" s="11">
        <v>41803</v>
      </c>
      <c r="S520" s="11">
        <v>41803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7</v>
      </c>
      <c r="M521" s="6">
        <v>2021</v>
      </c>
      <c r="N521" s="7">
        <v>0</v>
      </c>
      <c r="O521" s="7">
        <v>0</v>
      </c>
      <c r="P521" s="7">
        <v>0</v>
      </c>
      <c r="Q521" s="7">
        <v>0</v>
      </c>
      <c r="R521" s="11">
        <v>41803</v>
      </c>
      <c r="S521" s="11">
        <v>41803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2</v>
      </c>
      <c r="M522" s="6">
        <v>2016</v>
      </c>
      <c r="N522" s="7">
        <v>0</v>
      </c>
      <c r="O522" s="7">
        <v>0</v>
      </c>
      <c r="P522" s="7">
        <v>0</v>
      </c>
      <c r="Q522" s="7">
        <v>0</v>
      </c>
      <c r="R522" s="11">
        <v>41803</v>
      </c>
      <c r="S522" s="11">
        <v>41803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5</v>
      </c>
      <c r="M523" s="6">
        <v>2019</v>
      </c>
      <c r="N523" s="7">
        <v>0</v>
      </c>
      <c r="O523" s="7">
        <v>0</v>
      </c>
      <c r="P523" s="7">
        <v>0</v>
      </c>
      <c r="Q523" s="7">
        <v>0</v>
      </c>
      <c r="R523" s="11">
        <v>41803</v>
      </c>
      <c r="S523" s="11">
        <v>41803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290</v>
      </c>
      <c r="H524" s="10" t="s">
        <v>62</v>
      </c>
      <c r="I524" s="10"/>
      <c r="J524" s="10" t="s">
        <v>58</v>
      </c>
      <c r="K524" s="10" t="b">
        <v>0</v>
      </c>
      <c r="L524" s="10">
        <v>10</v>
      </c>
      <c r="M524" s="6">
        <v>2024</v>
      </c>
      <c r="N524" s="7">
        <v>0</v>
      </c>
      <c r="O524" s="7">
        <v>0</v>
      </c>
      <c r="P524" s="7">
        <v>0</v>
      </c>
      <c r="Q524" s="7">
        <v>0</v>
      </c>
      <c r="R524" s="11">
        <v>41803</v>
      </c>
      <c r="S524" s="11">
        <v>41803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290</v>
      </c>
      <c r="H525" s="10" t="s">
        <v>62</v>
      </c>
      <c r="I525" s="10"/>
      <c r="J525" s="10" t="s">
        <v>58</v>
      </c>
      <c r="K525" s="10" t="b">
        <v>0</v>
      </c>
      <c r="L525" s="10">
        <v>11</v>
      </c>
      <c r="M525" s="6">
        <v>2025</v>
      </c>
      <c r="N525" s="7">
        <v>0</v>
      </c>
      <c r="O525" s="7">
        <v>0</v>
      </c>
      <c r="P525" s="7">
        <v>0</v>
      </c>
      <c r="Q525" s="7">
        <v>0</v>
      </c>
      <c r="R525" s="11">
        <v>41803</v>
      </c>
      <c r="S525" s="11">
        <v>41803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1</v>
      </c>
      <c r="M526" s="6">
        <v>2015</v>
      </c>
      <c r="N526" s="7">
        <v>0</v>
      </c>
      <c r="O526" s="7">
        <v>0</v>
      </c>
      <c r="P526" s="7">
        <v>0</v>
      </c>
      <c r="Q526" s="7">
        <v>0</v>
      </c>
      <c r="R526" s="11">
        <v>41803</v>
      </c>
      <c r="S526" s="11">
        <v>41803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12</v>
      </c>
      <c r="M527" s="6">
        <v>2026</v>
      </c>
      <c r="N527" s="7">
        <v>0</v>
      </c>
      <c r="O527" s="7">
        <v>0</v>
      </c>
      <c r="P527" s="7">
        <v>0</v>
      </c>
      <c r="Q527" s="7">
        <v>0</v>
      </c>
      <c r="R527" s="11">
        <v>41803</v>
      </c>
      <c r="S527" s="11">
        <v>41803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4</v>
      </c>
      <c r="M528" s="6">
        <v>2018</v>
      </c>
      <c r="N528" s="7">
        <v>0</v>
      </c>
      <c r="O528" s="7">
        <v>0</v>
      </c>
      <c r="P528" s="7">
        <v>0</v>
      </c>
      <c r="Q528" s="7">
        <v>0</v>
      </c>
      <c r="R528" s="11">
        <v>41803</v>
      </c>
      <c r="S528" s="11">
        <v>41803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2</v>
      </c>
      <c r="M529" s="6">
        <v>2016</v>
      </c>
      <c r="N529" s="7">
        <v>0</v>
      </c>
      <c r="O529" s="7">
        <v>0</v>
      </c>
      <c r="P529" s="7">
        <v>0</v>
      </c>
      <c r="Q529" s="7">
        <v>0</v>
      </c>
      <c r="R529" s="11">
        <v>41803</v>
      </c>
      <c r="S529" s="11">
        <v>41803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3</v>
      </c>
      <c r="M530" s="6">
        <v>2017</v>
      </c>
      <c r="N530" s="7">
        <v>0</v>
      </c>
      <c r="O530" s="7">
        <v>0</v>
      </c>
      <c r="P530" s="7">
        <v>0</v>
      </c>
      <c r="Q530" s="7">
        <v>0</v>
      </c>
      <c r="R530" s="11">
        <v>41803</v>
      </c>
      <c r="S530" s="11">
        <v>41803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7</v>
      </c>
      <c r="M531" s="6">
        <v>2021</v>
      </c>
      <c r="N531" s="7">
        <v>0</v>
      </c>
      <c r="O531" s="7">
        <v>0</v>
      </c>
      <c r="P531" s="7">
        <v>0</v>
      </c>
      <c r="Q531" s="7">
        <v>0</v>
      </c>
      <c r="R531" s="11">
        <v>41803</v>
      </c>
      <c r="S531" s="11">
        <v>41803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6</v>
      </c>
      <c r="M532" s="6">
        <v>2020</v>
      </c>
      <c r="N532" s="7">
        <v>0</v>
      </c>
      <c r="O532" s="7">
        <v>0</v>
      </c>
      <c r="P532" s="7">
        <v>0</v>
      </c>
      <c r="Q532" s="7">
        <v>0</v>
      </c>
      <c r="R532" s="11">
        <v>41803</v>
      </c>
      <c r="S532" s="11">
        <v>41803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0</v>
      </c>
      <c r="M533" s="6">
        <v>2014</v>
      </c>
      <c r="N533" s="7">
        <v>0</v>
      </c>
      <c r="O533" s="7">
        <v>0</v>
      </c>
      <c r="P533" s="7">
        <v>0</v>
      </c>
      <c r="Q533" s="7">
        <v>0</v>
      </c>
      <c r="R533" s="11">
        <v>41803</v>
      </c>
      <c r="S533" s="11">
        <v>41803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8</v>
      </c>
      <c r="M534" s="6">
        <v>2022</v>
      </c>
      <c r="N534" s="7">
        <v>0</v>
      </c>
      <c r="O534" s="7">
        <v>0</v>
      </c>
      <c r="P534" s="7">
        <v>0</v>
      </c>
      <c r="Q534" s="7">
        <v>0</v>
      </c>
      <c r="R534" s="11">
        <v>41803</v>
      </c>
      <c r="S534" s="11">
        <v>41803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9</v>
      </c>
      <c r="M535" s="6">
        <v>2023</v>
      </c>
      <c r="N535" s="7">
        <v>0</v>
      </c>
      <c r="O535" s="7">
        <v>0</v>
      </c>
      <c r="P535" s="7">
        <v>0</v>
      </c>
      <c r="Q535" s="7">
        <v>0</v>
      </c>
      <c r="R535" s="11">
        <v>41803</v>
      </c>
      <c r="S535" s="11">
        <v>41803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5</v>
      </c>
      <c r="M536" s="6">
        <v>2019</v>
      </c>
      <c r="N536" s="7">
        <v>0</v>
      </c>
      <c r="O536" s="7">
        <v>0</v>
      </c>
      <c r="P536" s="7">
        <v>0</v>
      </c>
      <c r="Q536" s="7">
        <v>0</v>
      </c>
      <c r="R536" s="11">
        <v>41803</v>
      </c>
      <c r="S536" s="11">
        <v>41803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11</v>
      </c>
      <c r="M537" s="6">
        <v>2025</v>
      </c>
      <c r="N537" s="7">
        <v>0</v>
      </c>
      <c r="O537" s="7">
        <v>0</v>
      </c>
      <c r="P537" s="7">
        <v>0</v>
      </c>
      <c r="Q537" s="7">
        <v>0</v>
      </c>
      <c r="R537" s="11">
        <v>41803</v>
      </c>
      <c r="S537" s="11">
        <v>41803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9</v>
      </c>
      <c r="M538" s="6">
        <v>2023</v>
      </c>
      <c r="N538" s="7">
        <v>0</v>
      </c>
      <c r="O538" s="7">
        <v>0</v>
      </c>
      <c r="P538" s="7">
        <v>0</v>
      </c>
      <c r="Q538" s="7">
        <v>0</v>
      </c>
      <c r="R538" s="11">
        <v>41803</v>
      </c>
      <c r="S538" s="11">
        <v>41803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8</v>
      </c>
      <c r="M539" s="6">
        <v>2022</v>
      </c>
      <c r="N539" s="7">
        <v>0</v>
      </c>
      <c r="O539" s="7">
        <v>0</v>
      </c>
      <c r="P539" s="7">
        <v>0</v>
      </c>
      <c r="Q539" s="7">
        <v>0</v>
      </c>
      <c r="R539" s="11">
        <v>41803</v>
      </c>
      <c r="S539" s="11">
        <v>41803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0</v>
      </c>
      <c r="M540" s="6">
        <v>2014</v>
      </c>
      <c r="N540" s="7">
        <v>0</v>
      </c>
      <c r="O540" s="7">
        <v>0</v>
      </c>
      <c r="P540" s="7">
        <v>0</v>
      </c>
      <c r="Q540" s="7">
        <v>0</v>
      </c>
      <c r="R540" s="11">
        <v>41803</v>
      </c>
      <c r="S540" s="11">
        <v>41803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12</v>
      </c>
      <c r="M541" s="6">
        <v>2026</v>
      </c>
      <c r="N541" s="7">
        <v>0</v>
      </c>
      <c r="O541" s="7">
        <v>0</v>
      </c>
      <c r="P541" s="7">
        <v>0</v>
      </c>
      <c r="Q541" s="7">
        <v>0</v>
      </c>
      <c r="R541" s="11">
        <v>41803</v>
      </c>
      <c r="S541" s="11">
        <v>41803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6</v>
      </c>
      <c r="M542" s="6">
        <v>2020</v>
      </c>
      <c r="N542" s="7">
        <v>0</v>
      </c>
      <c r="O542" s="7">
        <v>0</v>
      </c>
      <c r="P542" s="7">
        <v>0</v>
      </c>
      <c r="Q542" s="7">
        <v>0</v>
      </c>
      <c r="R542" s="11">
        <v>41803</v>
      </c>
      <c r="S542" s="11">
        <v>41803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3</v>
      </c>
      <c r="M543" s="6">
        <v>2017</v>
      </c>
      <c r="N543" s="7">
        <v>0</v>
      </c>
      <c r="O543" s="7">
        <v>0</v>
      </c>
      <c r="P543" s="7">
        <v>0</v>
      </c>
      <c r="Q543" s="7">
        <v>0</v>
      </c>
      <c r="R543" s="11">
        <v>41803</v>
      </c>
      <c r="S543" s="11">
        <v>41803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2</v>
      </c>
      <c r="M544" s="6">
        <v>2016</v>
      </c>
      <c r="N544" s="7">
        <v>0</v>
      </c>
      <c r="O544" s="7">
        <v>0</v>
      </c>
      <c r="P544" s="7">
        <v>0</v>
      </c>
      <c r="Q544" s="7">
        <v>0</v>
      </c>
      <c r="R544" s="11">
        <v>41803</v>
      </c>
      <c r="S544" s="11">
        <v>41803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7</v>
      </c>
      <c r="M545" s="6">
        <v>2021</v>
      </c>
      <c r="N545" s="7">
        <v>0</v>
      </c>
      <c r="O545" s="7">
        <v>0</v>
      </c>
      <c r="P545" s="7">
        <v>0</v>
      </c>
      <c r="Q545" s="7">
        <v>0</v>
      </c>
      <c r="R545" s="11">
        <v>41803</v>
      </c>
      <c r="S545" s="11">
        <v>41803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1</v>
      </c>
      <c r="M546" s="6">
        <v>2015</v>
      </c>
      <c r="N546" s="7">
        <v>0</v>
      </c>
      <c r="O546" s="7">
        <v>0</v>
      </c>
      <c r="P546" s="7">
        <v>0</v>
      </c>
      <c r="Q546" s="7">
        <v>0</v>
      </c>
      <c r="R546" s="11">
        <v>41803</v>
      </c>
      <c r="S546" s="11">
        <v>41803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5</v>
      </c>
      <c r="M547" s="6">
        <v>2019</v>
      </c>
      <c r="N547" s="7">
        <v>0</v>
      </c>
      <c r="O547" s="7">
        <v>0</v>
      </c>
      <c r="P547" s="7">
        <v>0</v>
      </c>
      <c r="Q547" s="7">
        <v>0</v>
      </c>
      <c r="R547" s="11">
        <v>41803</v>
      </c>
      <c r="S547" s="11">
        <v>41803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10</v>
      </c>
      <c r="M548" s="6">
        <v>2024</v>
      </c>
      <c r="N548" s="7">
        <v>0</v>
      </c>
      <c r="O548" s="7">
        <v>0</v>
      </c>
      <c r="P548" s="7">
        <v>0</v>
      </c>
      <c r="Q548" s="7">
        <v>0</v>
      </c>
      <c r="R548" s="11">
        <v>41803</v>
      </c>
      <c r="S548" s="11">
        <v>41803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4</v>
      </c>
      <c r="M549" s="6">
        <v>2018</v>
      </c>
      <c r="N549" s="7">
        <v>0</v>
      </c>
      <c r="O549" s="7">
        <v>0</v>
      </c>
      <c r="P549" s="7">
        <v>0</v>
      </c>
      <c r="Q549" s="7">
        <v>0</v>
      </c>
      <c r="R549" s="11">
        <v>41803</v>
      </c>
      <c r="S549" s="11">
        <v>41803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4</v>
      </c>
      <c r="M550" s="6">
        <v>2018</v>
      </c>
      <c r="N550" s="7">
        <v>0</v>
      </c>
      <c r="O550" s="7">
        <v>0</v>
      </c>
      <c r="P550" s="7">
        <v>0</v>
      </c>
      <c r="Q550" s="7">
        <v>1142075.58</v>
      </c>
      <c r="R550" s="11">
        <v>41803</v>
      </c>
      <c r="S550" s="11">
        <v>41803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10</v>
      </c>
      <c r="M551" s="6">
        <v>2024</v>
      </c>
      <c r="N551" s="7">
        <v>0</v>
      </c>
      <c r="O551" s="7">
        <v>0</v>
      </c>
      <c r="P551" s="7">
        <v>0</v>
      </c>
      <c r="Q551" s="7">
        <v>1142075.58</v>
      </c>
      <c r="R551" s="11">
        <v>41803</v>
      </c>
      <c r="S551" s="11">
        <v>41803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11</v>
      </c>
      <c r="M552" s="6">
        <v>2025</v>
      </c>
      <c r="N552" s="7">
        <v>0</v>
      </c>
      <c r="O552" s="7">
        <v>0</v>
      </c>
      <c r="P552" s="7">
        <v>0</v>
      </c>
      <c r="Q552" s="7">
        <v>1142075.58</v>
      </c>
      <c r="R552" s="11">
        <v>41803</v>
      </c>
      <c r="S552" s="11">
        <v>41803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2</v>
      </c>
      <c r="M553" s="6">
        <v>2016</v>
      </c>
      <c r="N553" s="7">
        <v>0</v>
      </c>
      <c r="O553" s="7">
        <v>0</v>
      </c>
      <c r="P553" s="7">
        <v>0</v>
      </c>
      <c r="Q553" s="7">
        <v>1142075.58</v>
      </c>
      <c r="R553" s="11">
        <v>41803</v>
      </c>
      <c r="S553" s="11">
        <v>41803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12</v>
      </c>
      <c r="M554" s="6">
        <v>2026</v>
      </c>
      <c r="N554" s="7">
        <v>0</v>
      </c>
      <c r="O554" s="7">
        <v>0</v>
      </c>
      <c r="P554" s="7">
        <v>0</v>
      </c>
      <c r="Q554" s="7">
        <v>1142075.58</v>
      </c>
      <c r="R554" s="11">
        <v>41803</v>
      </c>
      <c r="S554" s="11">
        <v>41803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8</v>
      </c>
      <c r="M555" s="6">
        <v>2022</v>
      </c>
      <c r="N555" s="7">
        <v>0</v>
      </c>
      <c r="O555" s="7">
        <v>0</v>
      </c>
      <c r="P555" s="7">
        <v>0</v>
      </c>
      <c r="Q555" s="7">
        <v>1142075.58</v>
      </c>
      <c r="R555" s="11">
        <v>41803</v>
      </c>
      <c r="S555" s="11">
        <v>41803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1</v>
      </c>
      <c r="M556" s="6">
        <v>2015</v>
      </c>
      <c r="N556" s="7">
        <v>0</v>
      </c>
      <c r="O556" s="7">
        <v>0</v>
      </c>
      <c r="P556" s="7">
        <v>0</v>
      </c>
      <c r="Q556" s="7">
        <v>1142075.58</v>
      </c>
      <c r="R556" s="11">
        <v>41803</v>
      </c>
      <c r="S556" s="11">
        <v>41803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9</v>
      </c>
      <c r="M557" s="6">
        <v>2023</v>
      </c>
      <c r="N557" s="7">
        <v>0</v>
      </c>
      <c r="O557" s="7">
        <v>0</v>
      </c>
      <c r="P557" s="7">
        <v>0</v>
      </c>
      <c r="Q557" s="7">
        <v>1142075.58</v>
      </c>
      <c r="R557" s="11">
        <v>41803</v>
      </c>
      <c r="S557" s="11">
        <v>41803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5</v>
      </c>
      <c r="M558" s="6">
        <v>2019</v>
      </c>
      <c r="N558" s="7">
        <v>0</v>
      </c>
      <c r="O558" s="7">
        <v>0</v>
      </c>
      <c r="P558" s="7">
        <v>0</v>
      </c>
      <c r="Q558" s="7">
        <v>1142075.58</v>
      </c>
      <c r="R558" s="11">
        <v>41803</v>
      </c>
      <c r="S558" s="11">
        <v>41803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6</v>
      </c>
      <c r="M559" s="6">
        <v>2020</v>
      </c>
      <c r="N559" s="7">
        <v>0</v>
      </c>
      <c r="O559" s="7">
        <v>0</v>
      </c>
      <c r="P559" s="7">
        <v>0</v>
      </c>
      <c r="Q559" s="7">
        <v>1142075.58</v>
      </c>
      <c r="R559" s="11">
        <v>41803</v>
      </c>
      <c r="S559" s="11">
        <v>41803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0</v>
      </c>
      <c r="M560" s="6">
        <v>2014</v>
      </c>
      <c r="N560" s="7">
        <v>0</v>
      </c>
      <c r="O560" s="7">
        <v>0</v>
      </c>
      <c r="P560" s="7">
        <v>0</v>
      </c>
      <c r="Q560" s="7">
        <v>1142075.58</v>
      </c>
      <c r="R560" s="11">
        <v>41803</v>
      </c>
      <c r="S560" s="11">
        <v>41803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3</v>
      </c>
      <c r="M561" s="6">
        <v>2017</v>
      </c>
      <c r="N561" s="7">
        <v>0</v>
      </c>
      <c r="O561" s="7">
        <v>0</v>
      </c>
      <c r="P561" s="7">
        <v>0</v>
      </c>
      <c r="Q561" s="7">
        <v>1142075.58</v>
      </c>
      <c r="R561" s="11">
        <v>41803</v>
      </c>
      <c r="S561" s="11">
        <v>41803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7</v>
      </c>
      <c r="M562" s="6">
        <v>2021</v>
      </c>
      <c r="N562" s="7">
        <v>0</v>
      </c>
      <c r="O562" s="7">
        <v>0</v>
      </c>
      <c r="P562" s="7">
        <v>0</v>
      </c>
      <c r="Q562" s="7">
        <v>1142075.58</v>
      </c>
      <c r="R562" s="11">
        <v>41803</v>
      </c>
      <c r="S562" s="11">
        <v>41803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11</v>
      </c>
      <c r="M563" s="6">
        <v>2025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41803</v>
      </c>
      <c r="S563" s="11">
        <v>41803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7</v>
      </c>
      <c r="M564" s="6">
        <v>2021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41803</v>
      </c>
      <c r="S564" s="11">
        <v>41803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6</v>
      </c>
      <c r="M565" s="6">
        <v>2020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41803</v>
      </c>
      <c r="S565" s="11">
        <v>41803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10</v>
      </c>
      <c r="M566" s="6">
        <v>2024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41803</v>
      </c>
      <c r="S566" s="11">
        <v>41803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1</v>
      </c>
      <c r="M567" s="6">
        <v>2015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41803</v>
      </c>
      <c r="S567" s="11">
        <v>41803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9</v>
      </c>
      <c r="M568" s="6">
        <v>2023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41803</v>
      </c>
      <c r="S568" s="11">
        <v>41803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8</v>
      </c>
      <c r="M569" s="6">
        <v>2022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41803</v>
      </c>
      <c r="S569" s="11">
        <v>41803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2</v>
      </c>
      <c r="M570" s="6">
        <v>2016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41803</v>
      </c>
      <c r="S570" s="11">
        <v>41803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3</v>
      </c>
      <c r="M571" s="6">
        <v>2017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41803</v>
      </c>
      <c r="S571" s="11">
        <v>41803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0</v>
      </c>
      <c r="M572" s="6">
        <v>2014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41803</v>
      </c>
      <c r="S572" s="11">
        <v>41803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12</v>
      </c>
      <c r="M573" s="6">
        <v>2026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41803</v>
      </c>
      <c r="S573" s="11">
        <v>41803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5</v>
      </c>
      <c r="M574" s="6">
        <v>2019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41803</v>
      </c>
      <c r="S574" s="11">
        <v>41803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4</v>
      </c>
      <c r="M575" s="6">
        <v>2018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41803</v>
      </c>
      <c r="S575" s="11">
        <v>41803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12</v>
      </c>
      <c r="M576" s="6">
        <v>2026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41803</v>
      </c>
      <c r="S576" s="11">
        <v>41803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3</v>
      </c>
      <c r="M577" s="6">
        <v>2017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41803</v>
      </c>
      <c r="S577" s="11">
        <v>41803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9</v>
      </c>
      <c r="M578" s="6">
        <v>2023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41803</v>
      </c>
      <c r="S578" s="11">
        <v>41803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11</v>
      </c>
      <c r="M579" s="6">
        <v>2025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41803</v>
      </c>
      <c r="S579" s="11">
        <v>41803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8</v>
      </c>
      <c r="M580" s="6">
        <v>2022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41803</v>
      </c>
      <c r="S580" s="11">
        <v>41803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4</v>
      </c>
      <c r="M581" s="6">
        <v>2018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41803</v>
      </c>
      <c r="S581" s="11">
        <v>41803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10</v>
      </c>
      <c r="M582" s="6">
        <v>2024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41803</v>
      </c>
      <c r="S582" s="11">
        <v>41803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920</v>
      </c>
      <c r="H583" s="10" t="s">
        <v>119</v>
      </c>
      <c r="I583" s="10"/>
      <c r="J583" s="10" t="s">
        <v>257</v>
      </c>
      <c r="K583" s="10" t="b">
        <v>1</v>
      </c>
      <c r="L583" s="10">
        <v>9</v>
      </c>
      <c r="M583" s="6">
        <v>2023</v>
      </c>
      <c r="N583" s="7">
        <v>0</v>
      </c>
      <c r="O583" s="7">
        <v>0</v>
      </c>
      <c r="P583" s="7">
        <v>0</v>
      </c>
      <c r="Q583" s="7">
        <v>0</v>
      </c>
      <c r="R583" s="11">
        <v>41803</v>
      </c>
      <c r="S583" s="11">
        <v>41803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1</v>
      </c>
      <c r="M584" s="6">
        <v>2015</v>
      </c>
      <c r="N584" s="7">
        <v>0.0529</v>
      </c>
      <c r="O584" s="7">
        <v>0.0624</v>
      </c>
      <c r="P584" s="7">
        <v>0.0511</v>
      </c>
      <c r="Q584" s="7">
        <v>0.0433</v>
      </c>
      <c r="R584" s="11">
        <v>41803</v>
      </c>
      <c r="S584" s="11">
        <v>41803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2</v>
      </c>
      <c r="M585" s="6">
        <v>2016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41803</v>
      </c>
      <c r="S585" s="11">
        <v>41803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6</v>
      </c>
      <c r="M586" s="6">
        <v>2020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41803</v>
      </c>
      <c r="S586" s="11">
        <v>41803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7</v>
      </c>
      <c r="M587" s="6">
        <v>2021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41803</v>
      </c>
      <c r="S587" s="11">
        <v>41803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5</v>
      </c>
      <c r="M588" s="6">
        <v>2019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41803</v>
      </c>
      <c r="S588" s="11">
        <v>41803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508</v>
      </c>
      <c r="H589" s="10">
        <v>9.5</v>
      </c>
      <c r="I589" s="10" t="s">
        <v>234</v>
      </c>
      <c r="J589" s="10" t="s">
        <v>235</v>
      </c>
      <c r="K589" s="10" t="b">
        <v>0</v>
      </c>
      <c r="L589" s="10">
        <v>0</v>
      </c>
      <c r="M589" s="6">
        <v>2014</v>
      </c>
      <c r="N589" s="7">
        <v>0.0529</v>
      </c>
      <c r="O589" s="7">
        <v>0.0624</v>
      </c>
      <c r="P589" s="7">
        <v>0.0511</v>
      </c>
      <c r="Q589" s="7">
        <v>0.0433</v>
      </c>
      <c r="R589" s="11">
        <v>41803</v>
      </c>
      <c r="S589" s="11">
        <v>41803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3</v>
      </c>
      <c r="M590" s="6">
        <v>2017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41803</v>
      </c>
      <c r="S590" s="11">
        <v>41803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2</v>
      </c>
      <c r="M591" s="6">
        <v>2016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41803</v>
      </c>
      <c r="S591" s="11">
        <v>41803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0</v>
      </c>
      <c r="M592" s="6">
        <v>2014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41803</v>
      </c>
      <c r="S592" s="11">
        <v>41803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10</v>
      </c>
      <c r="M593" s="6">
        <v>2024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41803</v>
      </c>
      <c r="S593" s="11">
        <v>41803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7</v>
      </c>
      <c r="M594" s="6">
        <v>2021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41803</v>
      </c>
      <c r="S594" s="11">
        <v>41803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5</v>
      </c>
      <c r="M595" s="6">
        <v>2019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41803</v>
      </c>
      <c r="S595" s="11">
        <v>41803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4</v>
      </c>
      <c r="M596" s="6">
        <v>2018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41803</v>
      </c>
      <c r="S596" s="11">
        <v>41803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12</v>
      </c>
      <c r="M597" s="6">
        <v>2026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41803</v>
      </c>
      <c r="S597" s="11">
        <v>41803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11</v>
      </c>
      <c r="M598" s="6">
        <v>2025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41803</v>
      </c>
      <c r="S598" s="11">
        <v>41803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6</v>
      </c>
      <c r="M599" s="6">
        <v>2020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41803</v>
      </c>
      <c r="S599" s="11">
        <v>41803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8</v>
      </c>
      <c r="M600" s="6">
        <v>2022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41803</v>
      </c>
      <c r="S600" s="11">
        <v>41803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9</v>
      </c>
      <c r="M601" s="6">
        <v>2023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41803</v>
      </c>
      <c r="S601" s="11">
        <v>41803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680</v>
      </c>
      <c r="H602" s="10" t="s">
        <v>86</v>
      </c>
      <c r="I602" s="10"/>
      <c r="J602" s="10" t="s">
        <v>87</v>
      </c>
      <c r="K602" s="10" t="b">
        <v>1</v>
      </c>
      <c r="L602" s="10">
        <v>1</v>
      </c>
      <c r="M602" s="6">
        <v>2015</v>
      </c>
      <c r="N602" s="7">
        <v>4603323.29</v>
      </c>
      <c r="O602" s="7">
        <v>7127485.12</v>
      </c>
      <c r="P602" s="7">
        <v>7132787.01</v>
      </c>
      <c r="Q602" s="7">
        <v>6767913.08</v>
      </c>
      <c r="R602" s="11">
        <v>41803</v>
      </c>
      <c r="S602" s="11">
        <v>41803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0</v>
      </c>
      <c r="M603" s="6">
        <v>2014</v>
      </c>
      <c r="N603" s="7">
        <v>0</v>
      </c>
      <c r="O603" s="7">
        <v>0</v>
      </c>
      <c r="P603" s="7">
        <v>0</v>
      </c>
      <c r="Q603" s="7">
        <v>0</v>
      </c>
      <c r="R603" s="11">
        <v>41803</v>
      </c>
      <c r="S603" s="11">
        <v>41803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4</v>
      </c>
      <c r="M604" s="6">
        <v>2018</v>
      </c>
      <c r="N604" s="7">
        <v>0</v>
      </c>
      <c r="O604" s="7">
        <v>0</v>
      </c>
      <c r="P604" s="7">
        <v>0</v>
      </c>
      <c r="Q604" s="7">
        <v>0</v>
      </c>
      <c r="R604" s="11">
        <v>41803</v>
      </c>
      <c r="S604" s="11">
        <v>41803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7</v>
      </c>
      <c r="M605" s="6">
        <v>2021</v>
      </c>
      <c r="N605" s="7">
        <v>0</v>
      </c>
      <c r="O605" s="7">
        <v>0</v>
      </c>
      <c r="P605" s="7">
        <v>0</v>
      </c>
      <c r="Q605" s="7">
        <v>0</v>
      </c>
      <c r="R605" s="11">
        <v>41803</v>
      </c>
      <c r="S605" s="11">
        <v>41803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11</v>
      </c>
      <c r="M606" s="6">
        <v>2025</v>
      </c>
      <c r="N606" s="7">
        <v>0</v>
      </c>
      <c r="O606" s="7">
        <v>0</v>
      </c>
      <c r="P606" s="7">
        <v>0</v>
      </c>
      <c r="Q606" s="7">
        <v>0</v>
      </c>
      <c r="R606" s="11">
        <v>41803</v>
      </c>
      <c r="S606" s="11">
        <v>41803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12</v>
      </c>
      <c r="M607" s="6">
        <v>2026</v>
      </c>
      <c r="N607" s="7">
        <v>0</v>
      </c>
      <c r="O607" s="7">
        <v>0</v>
      </c>
      <c r="P607" s="7">
        <v>0</v>
      </c>
      <c r="Q607" s="7">
        <v>0</v>
      </c>
      <c r="R607" s="11">
        <v>41803</v>
      </c>
      <c r="S607" s="11">
        <v>41803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6</v>
      </c>
      <c r="M608" s="6">
        <v>2020</v>
      </c>
      <c r="N608" s="7">
        <v>0</v>
      </c>
      <c r="O608" s="7">
        <v>0</v>
      </c>
      <c r="P608" s="7">
        <v>0</v>
      </c>
      <c r="Q608" s="7">
        <v>0</v>
      </c>
      <c r="R608" s="11">
        <v>41803</v>
      </c>
      <c r="S608" s="11">
        <v>41803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8</v>
      </c>
      <c r="M609" s="6">
        <v>2022</v>
      </c>
      <c r="N609" s="7">
        <v>0</v>
      </c>
      <c r="O609" s="7">
        <v>0</v>
      </c>
      <c r="P609" s="7">
        <v>0</v>
      </c>
      <c r="Q609" s="7">
        <v>0</v>
      </c>
      <c r="R609" s="11">
        <v>41803</v>
      </c>
      <c r="S609" s="11">
        <v>41803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3</v>
      </c>
      <c r="M610" s="6">
        <v>2017</v>
      </c>
      <c r="N610" s="7">
        <v>0</v>
      </c>
      <c r="O610" s="7">
        <v>0</v>
      </c>
      <c r="P610" s="7">
        <v>0</v>
      </c>
      <c r="Q610" s="7">
        <v>0</v>
      </c>
      <c r="R610" s="11">
        <v>41803</v>
      </c>
      <c r="S610" s="11">
        <v>41803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5</v>
      </c>
      <c r="M611" s="6">
        <v>2019</v>
      </c>
      <c r="N611" s="7">
        <v>0</v>
      </c>
      <c r="O611" s="7">
        <v>0</v>
      </c>
      <c r="P611" s="7">
        <v>0</v>
      </c>
      <c r="Q611" s="7">
        <v>0</v>
      </c>
      <c r="R611" s="11">
        <v>41803</v>
      </c>
      <c r="S611" s="11">
        <v>41803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10</v>
      </c>
      <c r="M612" s="6">
        <v>2024</v>
      </c>
      <c r="N612" s="7">
        <v>0</v>
      </c>
      <c r="O612" s="7">
        <v>0</v>
      </c>
      <c r="P612" s="7">
        <v>0</v>
      </c>
      <c r="Q612" s="7">
        <v>0</v>
      </c>
      <c r="R612" s="11">
        <v>41803</v>
      </c>
      <c r="S612" s="11">
        <v>41803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2</v>
      </c>
      <c r="M613" s="6">
        <v>2016</v>
      </c>
      <c r="N613" s="7">
        <v>0</v>
      </c>
      <c r="O613" s="7">
        <v>0</v>
      </c>
      <c r="P613" s="7">
        <v>0</v>
      </c>
      <c r="Q613" s="7">
        <v>0</v>
      </c>
      <c r="R613" s="11">
        <v>41803</v>
      </c>
      <c r="S613" s="11">
        <v>41803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</v>
      </c>
      <c r="M614" s="6">
        <v>2015</v>
      </c>
      <c r="N614" s="7">
        <v>0</v>
      </c>
      <c r="O614" s="7">
        <v>0</v>
      </c>
      <c r="P614" s="7">
        <v>0</v>
      </c>
      <c r="Q614" s="7">
        <v>0</v>
      </c>
      <c r="R614" s="11">
        <v>41803</v>
      </c>
      <c r="S614" s="11">
        <v>41803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5</v>
      </c>
      <c r="M615" s="6">
        <v>2019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41803</v>
      </c>
      <c r="S615" s="11">
        <v>41803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2</v>
      </c>
      <c r="M616" s="6">
        <v>2016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41803</v>
      </c>
      <c r="S616" s="11">
        <v>41803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0</v>
      </c>
      <c r="M617" s="6">
        <v>2014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41803</v>
      </c>
      <c r="S617" s="11">
        <v>41803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6</v>
      </c>
      <c r="M618" s="6">
        <v>2020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41803</v>
      </c>
      <c r="S618" s="11">
        <v>41803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4</v>
      </c>
      <c r="M619" s="6">
        <v>2018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41803</v>
      </c>
      <c r="S619" s="11">
        <v>41803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11</v>
      </c>
      <c r="M620" s="6">
        <v>2025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41803</v>
      </c>
      <c r="S620" s="11">
        <v>41803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8</v>
      </c>
      <c r="M621" s="6">
        <v>2022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41803</v>
      </c>
      <c r="S621" s="11">
        <v>41803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9</v>
      </c>
      <c r="M622" s="6">
        <v>2023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41803</v>
      </c>
      <c r="S622" s="11">
        <v>41803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7</v>
      </c>
      <c r="M623" s="6">
        <v>2021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41803</v>
      </c>
      <c r="S623" s="11">
        <v>41803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</v>
      </c>
      <c r="M624" s="6">
        <v>2015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41803</v>
      </c>
      <c r="S624" s="11">
        <v>41803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12</v>
      </c>
      <c r="M625" s="6">
        <v>2026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41803</v>
      </c>
      <c r="S625" s="11">
        <v>41803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10</v>
      </c>
      <c r="M626" s="6">
        <v>2024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41803</v>
      </c>
      <c r="S626" s="11">
        <v>41803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3</v>
      </c>
      <c r="M627" s="6">
        <v>2017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41803</v>
      </c>
      <c r="S627" s="11">
        <v>41803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10</v>
      </c>
      <c r="M628" s="6">
        <v>2024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41803</v>
      </c>
      <c r="S628" s="11">
        <v>41803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0</v>
      </c>
      <c r="M629" s="6">
        <v>2014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41803</v>
      </c>
      <c r="S629" s="11">
        <v>41803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3</v>
      </c>
      <c r="M630" s="6">
        <v>2017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41803</v>
      </c>
      <c r="S630" s="11">
        <v>41803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11</v>
      </c>
      <c r="M631" s="6">
        <v>2025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41803</v>
      </c>
      <c r="S631" s="11">
        <v>41803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12</v>
      </c>
      <c r="M632" s="6">
        <v>2026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41803</v>
      </c>
      <c r="S632" s="11">
        <v>41803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4</v>
      </c>
      <c r="M633" s="6">
        <v>2018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41803</v>
      </c>
      <c r="S633" s="11">
        <v>41803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7</v>
      </c>
      <c r="M634" s="6">
        <v>2021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41803</v>
      </c>
      <c r="S634" s="11">
        <v>41803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2</v>
      </c>
      <c r="M635" s="6">
        <v>2016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41803</v>
      </c>
      <c r="S635" s="11">
        <v>41803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6</v>
      </c>
      <c r="M636" s="6">
        <v>2020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41803</v>
      </c>
      <c r="S636" s="11">
        <v>41803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5</v>
      </c>
      <c r="M637" s="6">
        <v>2019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41803</v>
      </c>
      <c r="S637" s="11">
        <v>41803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1</v>
      </c>
      <c r="M638" s="6">
        <v>2015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41803</v>
      </c>
      <c r="S638" s="11">
        <v>41803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8</v>
      </c>
      <c r="M639" s="6">
        <v>2022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41803</v>
      </c>
      <c r="S639" s="11">
        <v>41803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9</v>
      </c>
      <c r="M640" s="6">
        <v>2023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41803</v>
      </c>
      <c r="S640" s="11">
        <v>41803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10</v>
      </c>
      <c r="M641" s="6">
        <v>2024</v>
      </c>
      <c r="N641" s="7">
        <v>0</v>
      </c>
      <c r="O641" s="7">
        <v>0</v>
      </c>
      <c r="P641" s="7">
        <v>0</v>
      </c>
      <c r="Q641" s="7">
        <v>0</v>
      </c>
      <c r="R641" s="11">
        <v>41803</v>
      </c>
      <c r="S641" s="11">
        <v>41803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9</v>
      </c>
      <c r="M642" s="6">
        <v>2023</v>
      </c>
      <c r="N642" s="7">
        <v>0</v>
      </c>
      <c r="O642" s="7">
        <v>0</v>
      </c>
      <c r="P642" s="7">
        <v>0</v>
      </c>
      <c r="Q642" s="7">
        <v>0</v>
      </c>
      <c r="R642" s="11">
        <v>41803</v>
      </c>
      <c r="S642" s="11">
        <v>41803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1</v>
      </c>
      <c r="M643" s="6">
        <v>2015</v>
      </c>
      <c r="N643" s="7">
        <v>0</v>
      </c>
      <c r="O643" s="7">
        <v>0</v>
      </c>
      <c r="P643" s="7">
        <v>0</v>
      </c>
      <c r="Q643" s="7">
        <v>0</v>
      </c>
      <c r="R643" s="11">
        <v>41803</v>
      </c>
      <c r="S643" s="11">
        <v>41803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3</v>
      </c>
      <c r="M644" s="6">
        <v>2017</v>
      </c>
      <c r="N644" s="7">
        <v>0</v>
      </c>
      <c r="O644" s="7">
        <v>0</v>
      </c>
      <c r="P644" s="7">
        <v>0</v>
      </c>
      <c r="Q644" s="7">
        <v>0</v>
      </c>
      <c r="R644" s="11">
        <v>41803</v>
      </c>
      <c r="S644" s="11">
        <v>41803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2</v>
      </c>
      <c r="M645" s="6">
        <v>2016</v>
      </c>
      <c r="N645" s="7">
        <v>0</v>
      </c>
      <c r="O645" s="7">
        <v>0</v>
      </c>
      <c r="P645" s="7">
        <v>0</v>
      </c>
      <c r="Q645" s="7">
        <v>0</v>
      </c>
      <c r="R645" s="11">
        <v>41803</v>
      </c>
      <c r="S645" s="11">
        <v>41803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8</v>
      </c>
      <c r="M646" s="6">
        <v>2022</v>
      </c>
      <c r="N646" s="7">
        <v>0</v>
      </c>
      <c r="O646" s="7">
        <v>0</v>
      </c>
      <c r="P646" s="7">
        <v>0</v>
      </c>
      <c r="Q646" s="7">
        <v>0</v>
      </c>
      <c r="R646" s="11">
        <v>41803</v>
      </c>
      <c r="S646" s="11">
        <v>41803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6</v>
      </c>
      <c r="M647" s="6">
        <v>2020</v>
      </c>
      <c r="N647" s="7">
        <v>0</v>
      </c>
      <c r="O647" s="7">
        <v>0</v>
      </c>
      <c r="P647" s="7">
        <v>0</v>
      </c>
      <c r="Q647" s="7">
        <v>0</v>
      </c>
      <c r="R647" s="11">
        <v>41803</v>
      </c>
      <c r="S647" s="11">
        <v>41803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5</v>
      </c>
      <c r="M648" s="6">
        <v>2019</v>
      </c>
      <c r="N648" s="7">
        <v>0</v>
      </c>
      <c r="O648" s="7">
        <v>0</v>
      </c>
      <c r="P648" s="7">
        <v>0</v>
      </c>
      <c r="Q648" s="7">
        <v>0</v>
      </c>
      <c r="R648" s="11">
        <v>41803</v>
      </c>
      <c r="S648" s="11">
        <v>41803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11</v>
      </c>
      <c r="M649" s="6">
        <v>2025</v>
      </c>
      <c r="N649" s="7">
        <v>0</v>
      </c>
      <c r="O649" s="7">
        <v>0</v>
      </c>
      <c r="P649" s="7">
        <v>0</v>
      </c>
      <c r="Q649" s="7">
        <v>0</v>
      </c>
      <c r="R649" s="11">
        <v>41803</v>
      </c>
      <c r="S649" s="11">
        <v>41803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4</v>
      </c>
      <c r="M650" s="6">
        <v>2018</v>
      </c>
      <c r="N650" s="7">
        <v>0</v>
      </c>
      <c r="O650" s="7">
        <v>0</v>
      </c>
      <c r="P650" s="7">
        <v>0</v>
      </c>
      <c r="Q650" s="7">
        <v>0</v>
      </c>
      <c r="R650" s="11">
        <v>41803</v>
      </c>
      <c r="S650" s="11">
        <v>41803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12</v>
      </c>
      <c r="M651" s="6">
        <v>2026</v>
      </c>
      <c r="N651" s="7">
        <v>0</v>
      </c>
      <c r="O651" s="7">
        <v>0</v>
      </c>
      <c r="P651" s="7">
        <v>0</v>
      </c>
      <c r="Q651" s="7">
        <v>0</v>
      </c>
      <c r="R651" s="11">
        <v>41803</v>
      </c>
      <c r="S651" s="11">
        <v>41803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0</v>
      </c>
      <c r="M652" s="6">
        <v>2014</v>
      </c>
      <c r="N652" s="7">
        <v>0</v>
      </c>
      <c r="O652" s="7">
        <v>0</v>
      </c>
      <c r="P652" s="7">
        <v>0</v>
      </c>
      <c r="Q652" s="7">
        <v>0</v>
      </c>
      <c r="R652" s="11">
        <v>41803</v>
      </c>
      <c r="S652" s="11">
        <v>41803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7</v>
      </c>
      <c r="M653" s="6">
        <v>2021</v>
      </c>
      <c r="N653" s="7">
        <v>0</v>
      </c>
      <c r="O653" s="7">
        <v>0</v>
      </c>
      <c r="P653" s="7">
        <v>0</v>
      </c>
      <c r="Q653" s="7">
        <v>0</v>
      </c>
      <c r="R653" s="11">
        <v>41803</v>
      </c>
      <c r="S653" s="11">
        <v>41803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9</v>
      </c>
      <c r="M654" s="6">
        <v>2023</v>
      </c>
      <c r="N654" s="7">
        <v>0</v>
      </c>
      <c r="O654" s="7">
        <v>0</v>
      </c>
      <c r="P654" s="7">
        <v>0</v>
      </c>
      <c r="Q654" s="7">
        <v>0</v>
      </c>
      <c r="R654" s="11">
        <v>41803</v>
      </c>
      <c r="S654" s="11">
        <v>41803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12</v>
      </c>
      <c r="M655" s="6">
        <v>2026</v>
      </c>
      <c r="N655" s="7">
        <v>0</v>
      </c>
      <c r="O655" s="7">
        <v>0</v>
      </c>
      <c r="P655" s="7">
        <v>0</v>
      </c>
      <c r="Q655" s="7">
        <v>0</v>
      </c>
      <c r="R655" s="11">
        <v>41803</v>
      </c>
      <c r="S655" s="11">
        <v>41803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3</v>
      </c>
      <c r="M656" s="6">
        <v>2017</v>
      </c>
      <c r="N656" s="7">
        <v>0</v>
      </c>
      <c r="O656" s="7">
        <v>0</v>
      </c>
      <c r="P656" s="7">
        <v>0</v>
      </c>
      <c r="Q656" s="7">
        <v>0</v>
      </c>
      <c r="R656" s="11">
        <v>41803</v>
      </c>
      <c r="S656" s="11">
        <v>41803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2</v>
      </c>
      <c r="M657" s="6">
        <v>2016</v>
      </c>
      <c r="N657" s="7">
        <v>0</v>
      </c>
      <c r="O657" s="7">
        <v>0</v>
      </c>
      <c r="P657" s="7">
        <v>0</v>
      </c>
      <c r="Q657" s="7">
        <v>0</v>
      </c>
      <c r="R657" s="11">
        <v>41803</v>
      </c>
      <c r="S657" s="11">
        <v>41803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5</v>
      </c>
      <c r="M658" s="6">
        <v>2019</v>
      </c>
      <c r="N658" s="7">
        <v>0</v>
      </c>
      <c r="O658" s="7">
        <v>0</v>
      </c>
      <c r="P658" s="7">
        <v>0</v>
      </c>
      <c r="Q658" s="7">
        <v>0</v>
      </c>
      <c r="R658" s="11">
        <v>41803</v>
      </c>
      <c r="S658" s="11">
        <v>41803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10</v>
      </c>
      <c r="M659" s="6">
        <v>2024</v>
      </c>
      <c r="N659" s="7">
        <v>0</v>
      </c>
      <c r="O659" s="7">
        <v>0</v>
      </c>
      <c r="P659" s="7">
        <v>0</v>
      </c>
      <c r="Q659" s="7">
        <v>0</v>
      </c>
      <c r="R659" s="11">
        <v>41803</v>
      </c>
      <c r="S659" s="11">
        <v>41803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4</v>
      </c>
      <c r="M660" s="6">
        <v>2018</v>
      </c>
      <c r="N660" s="7">
        <v>0</v>
      </c>
      <c r="O660" s="7">
        <v>0</v>
      </c>
      <c r="P660" s="7">
        <v>0</v>
      </c>
      <c r="Q660" s="7">
        <v>0</v>
      </c>
      <c r="R660" s="11">
        <v>41803</v>
      </c>
      <c r="S660" s="11">
        <v>41803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6</v>
      </c>
      <c r="M661" s="6">
        <v>2020</v>
      </c>
      <c r="N661" s="7">
        <v>0</v>
      </c>
      <c r="O661" s="7">
        <v>0</v>
      </c>
      <c r="P661" s="7">
        <v>0</v>
      </c>
      <c r="Q661" s="7">
        <v>0</v>
      </c>
      <c r="R661" s="11">
        <v>41803</v>
      </c>
      <c r="S661" s="11">
        <v>41803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7</v>
      </c>
      <c r="M662" s="6">
        <v>2021</v>
      </c>
      <c r="N662" s="7">
        <v>0</v>
      </c>
      <c r="O662" s="7">
        <v>0</v>
      </c>
      <c r="P662" s="7">
        <v>0</v>
      </c>
      <c r="Q662" s="7">
        <v>0</v>
      </c>
      <c r="R662" s="11">
        <v>41803</v>
      </c>
      <c r="S662" s="11">
        <v>41803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1</v>
      </c>
      <c r="M663" s="6">
        <v>2015</v>
      </c>
      <c r="N663" s="7">
        <v>0</v>
      </c>
      <c r="O663" s="7">
        <v>0</v>
      </c>
      <c r="P663" s="7">
        <v>0</v>
      </c>
      <c r="Q663" s="7">
        <v>0</v>
      </c>
      <c r="R663" s="11">
        <v>41803</v>
      </c>
      <c r="S663" s="11">
        <v>41803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11</v>
      </c>
      <c r="M664" s="6">
        <v>2025</v>
      </c>
      <c r="N664" s="7">
        <v>0</v>
      </c>
      <c r="O664" s="7">
        <v>0</v>
      </c>
      <c r="P664" s="7">
        <v>0</v>
      </c>
      <c r="Q664" s="7">
        <v>0</v>
      </c>
      <c r="R664" s="11">
        <v>41803</v>
      </c>
      <c r="S664" s="11">
        <v>41803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0</v>
      </c>
      <c r="M665" s="6">
        <v>2014</v>
      </c>
      <c r="N665" s="7">
        <v>0</v>
      </c>
      <c r="O665" s="7">
        <v>0</v>
      </c>
      <c r="P665" s="7">
        <v>0</v>
      </c>
      <c r="Q665" s="7">
        <v>0</v>
      </c>
      <c r="R665" s="11">
        <v>41803</v>
      </c>
      <c r="S665" s="11">
        <v>41803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8</v>
      </c>
      <c r="M666" s="6">
        <v>2022</v>
      </c>
      <c r="N666" s="7">
        <v>0</v>
      </c>
      <c r="O666" s="7">
        <v>0</v>
      </c>
      <c r="P666" s="7">
        <v>0</v>
      </c>
      <c r="Q666" s="7">
        <v>0</v>
      </c>
      <c r="R666" s="11">
        <v>41803</v>
      </c>
      <c r="S666" s="11">
        <v>41803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0</v>
      </c>
      <c r="M667" s="6">
        <v>2014</v>
      </c>
      <c r="N667" s="7">
        <v>0</v>
      </c>
      <c r="O667" s="7">
        <v>0</v>
      </c>
      <c r="P667" s="7">
        <v>0</v>
      </c>
      <c r="Q667" s="7">
        <v>0</v>
      </c>
      <c r="R667" s="11">
        <v>41803</v>
      </c>
      <c r="S667" s="11">
        <v>41803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5</v>
      </c>
      <c r="M668" s="6">
        <v>2019</v>
      </c>
      <c r="N668" s="7">
        <v>0</v>
      </c>
      <c r="O668" s="7">
        <v>0</v>
      </c>
      <c r="P668" s="7">
        <v>0</v>
      </c>
      <c r="Q668" s="7">
        <v>0</v>
      </c>
      <c r="R668" s="11">
        <v>41803</v>
      </c>
      <c r="S668" s="11">
        <v>41803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11</v>
      </c>
      <c r="M669" s="6">
        <v>2025</v>
      </c>
      <c r="N669" s="7">
        <v>0</v>
      </c>
      <c r="O669" s="7">
        <v>0</v>
      </c>
      <c r="P669" s="7">
        <v>0</v>
      </c>
      <c r="Q669" s="7">
        <v>0</v>
      </c>
      <c r="R669" s="11">
        <v>41803</v>
      </c>
      <c r="S669" s="11">
        <v>41803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</v>
      </c>
      <c r="M670" s="6">
        <v>2015</v>
      </c>
      <c r="N670" s="7">
        <v>0</v>
      </c>
      <c r="O670" s="7">
        <v>0</v>
      </c>
      <c r="P670" s="7">
        <v>0</v>
      </c>
      <c r="Q670" s="7">
        <v>0</v>
      </c>
      <c r="R670" s="11">
        <v>41803</v>
      </c>
      <c r="S670" s="11">
        <v>41803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12</v>
      </c>
      <c r="M671" s="6">
        <v>2026</v>
      </c>
      <c r="N671" s="7">
        <v>0</v>
      </c>
      <c r="O671" s="7">
        <v>0</v>
      </c>
      <c r="P671" s="7">
        <v>0</v>
      </c>
      <c r="Q671" s="7">
        <v>0</v>
      </c>
      <c r="R671" s="11">
        <v>41803</v>
      </c>
      <c r="S671" s="11">
        <v>41803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8</v>
      </c>
      <c r="M672" s="6">
        <v>2022</v>
      </c>
      <c r="N672" s="7">
        <v>0</v>
      </c>
      <c r="O672" s="7">
        <v>0</v>
      </c>
      <c r="P672" s="7">
        <v>0</v>
      </c>
      <c r="Q672" s="7">
        <v>0</v>
      </c>
      <c r="R672" s="11">
        <v>41803</v>
      </c>
      <c r="S672" s="11">
        <v>41803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9</v>
      </c>
      <c r="M673" s="6">
        <v>2023</v>
      </c>
      <c r="N673" s="7">
        <v>0</v>
      </c>
      <c r="O673" s="7">
        <v>0</v>
      </c>
      <c r="P673" s="7">
        <v>0</v>
      </c>
      <c r="Q673" s="7">
        <v>0</v>
      </c>
      <c r="R673" s="11">
        <v>41803</v>
      </c>
      <c r="S673" s="11">
        <v>41803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6</v>
      </c>
      <c r="M674" s="6">
        <v>2020</v>
      </c>
      <c r="N674" s="7">
        <v>0</v>
      </c>
      <c r="O674" s="7">
        <v>0</v>
      </c>
      <c r="P674" s="7">
        <v>0</v>
      </c>
      <c r="Q674" s="7">
        <v>0</v>
      </c>
      <c r="R674" s="11">
        <v>41803</v>
      </c>
      <c r="S674" s="11">
        <v>41803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2</v>
      </c>
      <c r="M675" s="6">
        <v>2016</v>
      </c>
      <c r="N675" s="7">
        <v>0</v>
      </c>
      <c r="O675" s="7">
        <v>0</v>
      </c>
      <c r="P675" s="7">
        <v>0</v>
      </c>
      <c r="Q675" s="7">
        <v>0</v>
      </c>
      <c r="R675" s="11">
        <v>41803</v>
      </c>
      <c r="S675" s="11">
        <v>41803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4</v>
      </c>
      <c r="M676" s="6">
        <v>2018</v>
      </c>
      <c r="N676" s="7">
        <v>0</v>
      </c>
      <c r="O676" s="7">
        <v>0</v>
      </c>
      <c r="P676" s="7">
        <v>0</v>
      </c>
      <c r="Q676" s="7">
        <v>0</v>
      </c>
      <c r="R676" s="11">
        <v>41803</v>
      </c>
      <c r="S676" s="11">
        <v>41803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3</v>
      </c>
      <c r="M677" s="6">
        <v>2017</v>
      </c>
      <c r="N677" s="7">
        <v>0</v>
      </c>
      <c r="O677" s="7">
        <v>0</v>
      </c>
      <c r="P677" s="7">
        <v>0</v>
      </c>
      <c r="Q677" s="7">
        <v>0</v>
      </c>
      <c r="R677" s="11">
        <v>41803</v>
      </c>
      <c r="S677" s="11">
        <v>41803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7</v>
      </c>
      <c r="M678" s="6">
        <v>2021</v>
      </c>
      <c r="N678" s="7">
        <v>0</v>
      </c>
      <c r="O678" s="7">
        <v>0</v>
      </c>
      <c r="P678" s="7">
        <v>0</v>
      </c>
      <c r="Q678" s="7">
        <v>0</v>
      </c>
      <c r="R678" s="11">
        <v>41803</v>
      </c>
      <c r="S678" s="11">
        <v>41803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10</v>
      </c>
      <c r="M679" s="6">
        <v>2024</v>
      </c>
      <c r="N679" s="7">
        <v>0</v>
      </c>
      <c r="O679" s="7">
        <v>0</v>
      </c>
      <c r="P679" s="7">
        <v>0</v>
      </c>
      <c r="Q679" s="7">
        <v>0</v>
      </c>
      <c r="R679" s="11">
        <v>41803</v>
      </c>
      <c r="S679" s="11">
        <v>41803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8</v>
      </c>
      <c r="M680" s="6">
        <v>2022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41803</v>
      </c>
      <c r="S680" s="11">
        <v>41803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9</v>
      </c>
      <c r="M681" s="6">
        <v>2023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41803</v>
      </c>
      <c r="S681" s="11">
        <v>41803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10</v>
      </c>
      <c r="M682" s="6">
        <v>2024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41803</v>
      </c>
      <c r="S682" s="11">
        <v>41803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</v>
      </c>
      <c r="M683" s="6">
        <v>2015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41803</v>
      </c>
      <c r="S683" s="11">
        <v>41803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12</v>
      </c>
      <c r="M684" s="6">
        <v>2026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41803</v>
      </c>
      <c r="S684" s="11">
        <v>41803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4</v>
      </c>
      <c r="M685" s="6">
        <v>2018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41803</v>
      </c>
      <c r="S685" s="11">
        <v>41803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5</v>
      </c>
      <c r="M686" s="6">
        <v>2019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41803</v>
      </c>
      <c r="S686" s="11">
        <v>41803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6</v>
      </c>
      <c r="M687" s="6">
        <v>2020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41803</v>
      </c>
      <c r="S687" s="11">
        <v>41803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11</v>
      </c>
      <c r="M688" s="6">
        <v>2025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41803</v>
      </c>
      <c r="S688" s="11">
        <v>41803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0</v>
      </c>
      <c r="M689" s="6">
        <v>2014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41803</v>
      </c>
      <c r="S689" s="11">
        <v>41803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7</v>
      </c>
      <c r="M690" s="6">
        <v>2021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41803</v>
      </c>
      <c r="S690" s="11">
        <v>41803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2</v>
      </c>
      <c r="M691" s="6">
        <v>2016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41803</v>
      </c>
      <c r="S691" s="11">
        <v>41803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3</v>
      </c>
      <c r="M692" s="6">
        <v>2017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41803</v>
      </c>
      <c r="S692" s="11">
        <v>41803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8</v>
      </c>
      <c r="M693" s="6">
        <v>2022</v>
      </c>
      <c r="N693" s="7">
        <v>0</v>
      </c>
      <c r="O693" s="7">
        <v>0</v>
      </c>
      <c r="P693" s="7">
        <v>0</v>
      </c>
      <c r="Q693" s="7">
        <v>0</v>
      </c>
      <c r="R693" s="11">
        <v>41803</v>
      </c>
      <c r="S693" s="11">
        <v>41803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1</v>
      </c>
      <c r="M694" s="6">
        <v>2015</v>
      </c>
      <c r="N694" s="7">
        <v>0</v>
      </c>
      <c r="O694" s="7">
        <v>0</v>
      </c>
      <c r="P694" s="7">
        <v>0</v>
      </c>
      <c r="Q694" s="7">
        <v>0</v>
      </c>
      <c r="R694" s="11">
        <v>41803</v>
      </c>
      <c r="S694" s="11">
        <v>41803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5</v>
      </c>
      <c r="M695" s="6">
        <v>2019</v>
      </c>
      <c r="N695" s="7">
        <v>0</v>
      </c>
      <c r="O695" s="7">
        <v>0</v>
      </c>
      <c r="P695" s="7">
        <v>0</v>
      </c>
      <c r="Q695" s="7">
        <v>0</v>
      </c>
      <c r="R695" s="11">
        <v>41803</v>
      </c>
      <c r="S695" s="11">
        <v>41803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2</v>
      </c>
      <c r="M696" s="6">
        <v>2016</v>
      </c>
      <c r="N696" s="7">
        <v>0</v>
      </c>
      <c r="O696" s="7">
        <v>0</v>
      </c>
      <c r="P696" s="7">
        <v>0</v>
      </c>
      <c r="Q696" s="7">
        <v>0</v>
      </c>
      <c r="R696" s="11">
        <v>41803</v>
      </c>
      <c r="S696" s="11">
        <v>41803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3</v>
      </c>
      <c r="M697" s="6">
        <v>2017</v>
      </c>
      <c r="N697" s="7">
        <v>0</v>
      </c>
      <c r="O697" s="7">
        <v>0</v>
      </c>
      <c r="P697" s="7">
        <v>0</v>
      </c>
      <c r="Q697" s="7">
        <v>0</v>
      </c>
      <c r="R697" s="11">
        <v>41803</v>
      </c>
      <c r="S697" s="11">
        <v>41803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9</v>
      </c>
      <c r="M698" s="6">
        <v>2023</v>
      </c>
      <c r="N698" s="7">
        <v>0</v>
      </c>
      <c r="O698" s="7">
        <v>0</v>
      </c>
      <c r="P698" s="7">
        <v>0</v>
      </c>
      <c r="Q698" s="7">
        <v>0</v>
      </c>
      <c r="R698" s="11">
        <v>41803</v>
      </c>
      <c r="S698" s="11">
        <v>41803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0</v>
      </c>
      <c r="M699" s="6">
        <v>2014</v>
      </c>
      <c r="N699" s="7">
        <v>0</v>
      </c>
      <c r="O699" s="7">
        <v>0</v>
      </c>
      <c r="P699" s="7">
        <v>0</v>
      </c>
      <c r="Q699" s="7">
        <v>0</v>
      </c>
      <c r="R699" s="11">
        <v>41803</v>
      </c>
      <c r="S699" s="11">
        <v>41803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6</v>
      </c>
      <c r="M700" s="6">
        <v>2020</v>
      </c>
      <c r="N700" s="7">
        <v>0</v>
      </c>
      <c r="O700" s="7">
        <v>0</v>
      </c>
      <c r="P700" s="7">
        <v>0</v>
      </c>
      <c r="Q700" s="7">
        <v>0</v>
      </c>
      <c r="R700" s="11">
        <v>41803</v>
      </c>
      <c r="S700" s="11">
        <v>41803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4</v>
      </c>
      <c r="M701" s="6">
        <v>2018</v>
      </c>
      <c r="N701" s="7">
        <v>0</v>
      </c>
      <c r="O701" s="7">
        <v>0</v>
      </c>
      <c r="P701" s="7">
        <v>0</v>
      </c>
      <c r="Q701" s="7">
        <v>0</v>
      </c>
      <c r="R701" s="11">
        <v>41803</v>
      </c>
      <c r="S701" s="11">
        <v>41803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10</v>
      </c>
      <c r="M702" s="6">
        <v>2024</v>
      </c>
      <c r="N702" s="7">
        <v>0</v>
      </c>
      <c r="O702" s="7">
        <v>0</v>
      </c>
      <c r="P702" s="7">
        <v>0</v>
      </c>
      <c r="Q702" s="7">
        <v>0</v>
      </c>
      <c r="R702" s="11">
        <v>41803</v>
      </c>
      <c r="S702" s="11">
        <v>41803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12</v>
      </c>
      <c r="M703" s="6">
        <v>2026</v>
      </c>
      <c r="N703" s="7">
        <v>0</v>
      </c>
      <c r="O703" s="7">
        <v>0</v>
      </c>
      <c r="P703" s="7">
        <v>0</v>
      </c>
      <c r="Q703" s="7">
        <v>0</v>
      </c>
      <c r="R703" s="11">
        <v>41803</v>
      </c>
      <c r="S703" s="11">
        <v>41803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7</v>
      </c>
      <c r="M704" s="6">
        <v>2021</v>
      </c>
      <c r="N704" s="7">
        <v>0</v>
      </c>
      <c r="O704" s="7">
        <v>0</v>
      </c>
      <c r="P704" s="7">
        <v>0</v>
      </c>
      <c r="Q704" s="7">
        <v>0</v>
      </c>
      <c r="R704" s="11">
        <v>41803</v>
      </c>
      <c r="S704" s="11">
        <v>41803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11</v>
      </c>
      <c r="M705" s="6">
        <v>2025</v>
      </c>
      <c r="N705" s="7">
        <v>0</v>
      </c>
      <c r="O705" s="7">
        <v>0</v>
      </c>
      <c r="P705" s="7">
        <v>0</v>
      </c>
      <c r="Q705" s="7">
        <v>0</v>
      </c>
      <c r="R705" s="11">
        <v>41803</v>
      </c>
      <c r="S705" s="11">
        <v>41803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0</v>
      </c>
      <c r="M706" s="6">
        <v>2014</v>
      </c>
      <c r="N706" s="7">
        <v>0</v>
      </c>
      <c r="O706" s="7">
        <v>0</v>
      </c>
      <c r="P706" s="7">
        <v>0</v>
      </c>
      <c r="Q706" s="7">
        <v>0</v>
      </c>
      <c r="R706" s="11">
        <v>41803</v>
      </c>
      <c r="S706" s="11">
        <v>41803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10</v>
      </c>
      <c r="M707" s="6">
        <v>2024</v>
      </c>
      <c r="N707" s="7">
        <v>0</v>
      </c>
      <c r="O707" s="7">
        <v>0</v>
      </c>
      <c r="P707" s="7">
        <v>0</v>
      </c>
      <c r="Q707" s="7">
        <v>0</v>
      </c>
      <c r="R707" s="11">
        <v>41803</v>
      </c>
      <c r="S707" s="11">
        <v>41803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9</v>
      </c>
      <c r="M708" s="6">
        <v>2023</v>
      </c>
      <c r="N708" s="7">
        <v>0</v>
      </c>
      <c r="O708" s="7">
        <v>0</v>
      </c>
      <c r="P708" s="7">
        <v>0</v>
      </c>
      <c r="Q708" s="7">
        <v>0</v>
      </c>
      <c r="R708" s="11">
        <v>41803</v>
      </c>
      <c r="S708" s="11">
        <v>41803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2</v>
      </c>
      <c r="M709" s="6">
        <v>2016</v>
      </c>
      <c r="N709" s="7">
        <v>0</v>
      </c>
      <c r="O709" s="7">
        <v>0</v>
      </c>
      <c r="P709" s="7">
        <v>0</v>
      </c>
      <c r="Q709" s="7">
        <v>0</v>
      </c>
      <c r="R709" s="11">
        <v>41803</v>
      </c>
      <c r="S709" s="11">
        <v>41803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3</v>
      </c>
      <c r="M710" s="6">
        <v>2017</v>
      </c>
      <c r="N710" s="7">
        <v>0</v>
      </c>
      <c r="O710" s="7">
        <v>0</v>
      </c>
      <c r="P710" s="7">
        <v>0</v>
      </c>
      <c r="Q710" s="7">
        <v>0</v>
      </c>
      <c r="R710" s="11">
        <v>41803</v>
      </c>
      <c r="S710" s="11">
        <v>41803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1</v>
      </c>
      <c r="M711" s="6">
        <v>2015</v>
      </c>
      <c r="N711" s="7">
        <v>0</v>
      </c>
      <c r="O711" s="7">
        <v>0</v>
      </c>
      <c r="P711" s="7">
        <v>0</v>
      </c>
      <c r="Q711" s="7">
        <v>0</v>
      </c>
      <c r="R711" s="11">
        <v>41803</v>
      </c>
      <c r="S711" s="11">
        <v>41803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5</v>
      </c>
      <c r="M712" s="6">
        <v>2019</v>
      </c>
      <c r="N712" s="7">
        <v>0</v>
      </c>
      <c r="O712" s="7">
        <v>0</v>
      </c>
      <c r="P712" s="7">
        <v>0</v>
      </c>
      <c r="Q712" s="7">
        <v>0</v>
      </c>
      <c r="R712" s="11">
        <v>41803</v>
      </c>
      <c r="S712" s="11">
        <v>41803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12</v>
      </c>
      <c r="M713" s="6">
        <v>2026</v>
      </c>
      <c r="N713" s="7">
        <v>0</v>
      </c>
      <c r="O713" s="7">
        <v>0</v>
      </c>
      <c r="P713" s="7">
        <v>0</v>
      </c>
      <c r="Q713" s="7">
        <v>0</v>
      </c>
      <c r="R713" s="11">
        <v>41803</v>
      </c>
      <c r="S713" s="11">
        <v>41803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7</v>
      </c>
      <c r="M714" s="6">
        <v>2021</v>
      </c>
      <c r="N714" s="7">
        <v>0</v>
      </c>
      <c r="O714" s="7">
        <v>0</v>
      </c>
      <c r="P714" s="7">
        <v>0</v>
      </c>
      <c r="Q714" s="7">
        <v>0</v>
      </c>
      <c r="R714" s="11">
        <v>41803</v>
      </c>
      <c r="S714" s="11">
        <v>41803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8</v>
      </c>
      <c r="M715" s="6">
        <v>2022</v>
      </c>
      <c r="N715" s="7">
        <v>0</v>
      </c>
      <c r="O715" s="7">
        <v>0</v>
      </c>
      <c r="P715" s="7">
        <v>0</v>
      </c>
      <c r="Q715" s="7">
        <v>0</v>
      </c>
      <c r="R715" s="11">
        <v>41803</v>
      </c>
      <c r="S715" s="11">
        <v>41803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11</v>
      </c>
      <c r="M716" s="6">
        <v>2025</v>
      </c>
      <c r="N716" s="7">
        <v>0</v>
      </c>
      <c r="O716" s="7">
        <v>0</v>
      </c>
      <c r="P716" s="7">
        <v>0</v>
      </c>
      <c r="Q716" s="7">
        <v>0</v>
      </c>
      <c r="R716" s="11">
        <v>41803</v>
      </c>
      <c r="S716" s="11">
        <v>41803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6</v>
      </c>
      <c r="M717" s="6">
        <v>2020</v>
      </c>
      <c r="N717" s="7">
        <v>0</v>
      </c>
      <c r="O717" s="7">
        <v>0</v>
      </c>
      <c r="P717" s="7">
        <v>0</v>
      </c>
      <c r="Q717" s="7">
        <v>0</v>
      </c>
      <c r="R717" s="11">
        <v>41803</v>
      </c>
      <c r="S717" s="11">
        <v>41803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4</v>
      </c>
      <c r="M718" s="6">
        <v>2018</v>
      </c>
      <c r="N718" s="7">
        <v>0</v>
      </c>
      <c r="O718" s="7">
        <v>0</v>
      </c>
      <c r="P718" s="7">
        <v>0</v>
      </c>
      <c r="Q718" s="7">
        <v>0</v>
      </c>
      <c r="R718" s="11">
        <v>41803</v>
      </c>
      <c r="S718" s="11">
        <v>41803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6</v>
      </c>
      <c r="M719" s="6">
        <v>2020</v>
      </c>
      <c r="N719" s="7">
        <v>325716535.71</v>
      </c>
      <c r="O719" s="7">
        <v>349095431.95</v>
      </c>
      <c r="P719" s="7">
        <v>369920818.17</v>
      </c>
      <c r="Q719" s="7">
        <v>358507015.11</v>
      </c>
      <c r="R719" s="11">
        <v>41803</v>
      </c>
      <c r="S719" s="11">
        <v>41803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0</v>
      </c>
      <c r="M720" s="6">
        <v>2014</v>
      </c>
      <c r="N720" s="7">
        <v>325716535.71</v>
      </c>
      <c r="O720" s="7">
        <v>349095431.95</v>
      </c>
      <c r="P720" s="7">
        <v>369920818.17</v>
      </c>
      <c r="Q720" s="7">
        <v>358507015.11</v>
      </c>
      <c r="R720" s="11">
        <v>41803</v>
      </c>
      <c r="S720" s="11">
        <v>41803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11</v>
      </c>
      <c r="M721" s="6">
        <v>2025</v>
      </c>
      <c r="N721" s="7">
        <v>325716535.71</v>
      </c>
      <c r="O721" s="7">
        <v>349095431.95</v>
      </c>
      <c r="P721" s="7">
        <v>369920818.17</v>
      </c>
      <c r="Q721" s="7">
        <v>358507015.11</v>
      </c>
      <c r="R721" s="11">
        <v>41803</v>
      </c>
      <c r="S721" s="11">
        <v>41803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4</v>
      </c>
      <c r="M722" s="6">
        <v>2018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41803</v>
      </c>
      <c r="S722" s="11">
        <v>41803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9</v>
      </c>
      <c r="M723" s="6">
        <v>2023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41803</v>
      </c>
      <c r="S723" s="11">
        <v>41803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3</v>
      </c>
      <c r="M724" s="6">
        <v>2017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41803</v>
      </c>
      <c r="S724" s="11">
        <v>41803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2</v>
      </c>
      <c r="M725" s="6">
        <v>2016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41803</v>
      </c>
      <c r="S725" s="11">
        <v>41803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5</v>
      </c>
      <c r="M726" s="6">
        <v>2019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41803</v>
      </c>
      <c r="S726" s="11">
        <v>41803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8</v>
      </c>
      <c r="M727" s="6">
        <v>2022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41803</v>
      </c>
      <c r="S727" s="11">
        <v>41803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1</v>
      </c>
      <c r="M728" s="6">
        <v>2015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41803</v>
      </c>
      <c r="S728" s="11">
        <v>41803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7</v>
      </c>
      <c r="M729" s="6">
        <v>2021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41803</v>
      </c>
      <c r="S729" s="11">
        <v>41803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10</v>
      </c>
      <c r="M730" s="6">
        <v>2024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41803</v>
      </c>
      <c r="S730" s="11">
        <v>41803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12</v>
      </c>
      <c r="M731" s="6">
        <v>2026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41803</v>
      </c>
      <c r="S731" s="11">
        <v>41803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8</v>
      </c>
      <c r="M732" s="6">
        <v>2022</v>
      </c>
      <c r="N732" s="7">
        <v>0</v>
      </c>
      <c r="O732" s="7">
        <v>0</v>
      </c>
      <c r="P732" s="7">
        <v>0</v>
      </c>
      <c r="Q732" s="7">
        <v>0</v>
      </c>
      <c r="R732" s="11">
        <v>41803</v>
      </c>
      <c r="S732" s="11">
        <v>41803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2</v>
      </c>
      <c r="M733" s="6">
        <v>2016</v>
      </c>
      <c r="N733" s="7">
        <v>0</v>
      </c>
      <c r="O733" s="7">
        <v>0</v>
      </c>
      <c r="P733" s="7">
        <v>0</v>
      </c>
      <c r="Q733" s="7">
        <v>0</v>
      </c>
      <c r="R733" s="11">
        <v>41803</v>
      </c>
      <c r="S733" s="11">
        <v>41803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12</v>
      </c>
      <c r="M734" s="6">
        <v>2026</v>
      </c>
      <c r="N734" s="7">
        <v>0</v>
      </c>
      <c r="O734" s="7">
        <v>0</v>
      </c>
      <c r="P734" s="7">
        <v>0</v>
      </c>
      <c r="Q734" s="7">
        <v>0</v>
      </c>
      <c r="R734" s="11">
        <v>41803</v>
      </c>
      <c r="S734" s="11">
        <v>41803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10</v>
      </c>
      <c r="M735" s="6">
        <v>2024</v>
      </c>
      <c r="N735" s="7">
        <v>0</v>
      </c>
      <c r="O735" s="7">
        <v>0</v>
      </c>
      <c r="P735" s="7">
        <v>0</v>
      </c>
      <c r="Q735" s="7">
        <v>0</v>
      </c>
      <c r="R735" s="11">
        <v>41803</v>
      </c>
      <c r="S735" s="11">
        <v>41803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3</v>
      </c>
      <c r="M736" s="6">
        <v>2017</v>
      </c>
      <c r="N736" s="7">
        <v>0</v>
      </c>
      <c r="O736" s="7">
        <v>0</v>
      </c>
      <c r="P736" s="7">
        <v>0</v>
      </c>
      <c r="Q736" s="7">
        <v>0</v>
      </c>
      <c r="R736" s="11">
        <v>41803</v>
      </c>
      <c r="S736" s="11">
        <v>41803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11</v>
      </c>
      <c r="M737" s="6">
        <v>2025</v>
      </c>
      <c r="N737" s="7">
        <v>0</v>
      </c>
      <c r="O737" s="7">
        <v>0</v>
      </c>
      <c r="P737" s="7">
        <v>0</v>
      </c>
      <c r="Q737" s="7">
        <v>0</v>
      </c>
      <c r="R737" s="11">
        <v>41803</v>
      </c>
      <c r="S737" s="11">
        <v>41803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4</v>
      </c>
      <c r="M738" s="6">
        <v>2018</v>
      </c>
      <c r="N738" s="7">
        <v>0</v>
      </c>
      <c r="O738" s="7">
        <v>0</v>
      </c>
      <c r="P738" s="7">
        <v>0</v>
      </c>
      <c r="Q738" s="7">
        <v>0</v>
      </c>
      <c r="R738" s="11">
        <v>41803</v>
      </c>
      <c r="S738" s="11">
        <v>41803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7</v>
      </c>
      <c r="M739" s="6">
        <v>2021</v>
      </c>
      <c r="N739" s="7">
        <v>0</v>
      </c>
      <c r="O739" s="7">
        <v>0</v>
      </c>
      <c r="P739" s="7">
        <v>0</v>
      </c>
      <c r="Q739" s="7">
        <v>0</v>
      </c>
      <c r="R739" s="11">
        <v>41803</v>
      </c>
      <c r="S739" s="11">
        <v>41803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5</v>
      </c>
      <c r="M740" s="6">
        <v>2019</v>
      </c>
      <c r="N740" s="7">
        <v>0</v>
      </c>
      <c r="O740" s="7">
        <v>0</v>
      </c>
      <c r="P740" s="7">
        <v>0</v>
      </c>
      <c r="Q740" s="7">
        <v>0</v>
      </c>
      <c r="R740" s="11">
        <v>41803</v>
      </c>
      <c r="S740" s="11">
        <v>41803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0</v>
      </c>
      <c r="M741" s="6">
        <v>2014</v>
      </c>
      <c r="N741" s="7">
        <v>0</v>
      </c>
      <c r="O741" s="7">
        <v>0</v>
      </c>
      <c r="P741" s="7">
        <v>0</v>
      </c>
      <c r="Q741" s="7">
        <v>0</v>
      </c>
      <c r="R741" s="11">
        <v>41803</v>
      </c>
      <c r="S741" s="11">
        <v>41803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6</v>
      </c>
      <c r="M742" s="6">
        <v>2020</v>
      </c>
      <c r="N742" s="7">
        <v>0</v>
      </c>
      <c r="O742" s="7">
        <v>0</v>
      </c>
      <c r="P742" s="7">
        <v>0</v>
      </c>
      <c r="Q742" s="7">
        <v>0</v>
      </c>
      <c r="R742" s="11">
        <v>41803</v>
      </c>
      <c r="S742" s="11">
        <v>41803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1</v>
      </c>
      <c r="M743" s="6">
        <v>2015</v>
      </c>
      <c r="N743" s="7">
        <v>0</v>
      </c>
      <c r="O743" s="7">
        <v>0</v>
      </c>
      <c r="P743" s="7">
        <v>0</v>
      </c>
      <c r="Q743" s="7">
        <v>0</v>
      </c>
      <c r="R743" s="11">
        <v>41803</v>
      </c>
      <c r="S743" s="11">
        <v>41803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9</v>
      </c>
      <c r="M744" s="6">
        <v>2023</v>
      </c>
      <c r="N744" s="7">
        <v>0</v>
      </c>
      <c r="O744" s="7">
        <v>0</v>
      </c>
      <c r="P744" s="7">
        <v>0</v>
      </c>
      <c r="Q744" s="7">
        <v>0</v>
      </c>
      <c r="R744" s="11">
        <v>41803</v>
      </c>
      <c r="S744" s="11">
        <v>41803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332</v>
      </c>
      <c r="H745" s="10" t="s">
        <v>66</v>
      </c>
      <c r="I745" s="10"/>
      <c r="J745" s="10" t="s">
        <v>219</v>
      </c>
      <c r="K745" s="10" t="b">
        <v>1</v>
      </c>
      <c r="L745" s="10">
        <v>10</v>
      </c>
      <c r="M745" s="6">
        <v>2024</v>
      </c>
      <c r="N745" s="7">
        <v>0</v>
      </c>
      <c r="O745" s="7">
        <v>0</v>
      </c>
      <c r="P745" s="7">
        <v>0</v>
      </c>
      <c r="Q745" s="7">
        <v>0</v>
      </c>
      <c r="R745" s="11">
        <v>41803</v>
      </c>
      <c r="S745" s="11">
        <v>41803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8</v>
      </c>
      <c r="M746" s="6">
        <v>2022</v>
      </c>
      <c r="N746" s="7">
        <v>0</v>
      </c>
      <c r="O746" s="7">
        <v>0</v>
      </c>
      <c r="P746" s="7">
        <v>0</v>
      </c>
      <c r="Q746" s="7">
        <v>0</v>
      </c>
      <c r="R746" s="11">
        <v>41803</v>
      </c>
      <c r="S746" s="11">
        <v>41803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6</v>
      </c>
      <c r="M747" s="6">
        <v>2020</v>
      </c>
      <c r="N747" s="7">
        <v>0</v>
      </c>
      <c r="O747" s="7">
        <v>0</v>
      </c>
      <c r="P747" s="7">
        <v>0</v>
      </c>
      <c r="Q747" s="7">
        <v>0</v>
      </c>
      <c r="R747" s="11">
        <v>41803</v>
      </c>
      <c r="S747" s="11">
        <v>41803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11</v>
      </c>
      <c r="M748" s="6">
        <v>2025</v>
      </c>
      <c r="N748" s="7">
        <v>0</v>
      </c>
      <c r="O748" s="7">
        <v>0</v>
      </c>
      <c r="P748" s="7">
        <v>0</v>
      </c>
      <c r="Q748" s="7">
        <v>0</v>
      </c>
      <c r="R748" s="11">
        <v>41803</v>
      </c>
      <c r="S748" s="11">
        <v>41803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2</v>
      </c>
      <c r="M749" s="6">
        <v>2016</v>
      </c>
      <c r="N749" s="7">
        <v>0</v>
      </c>
      <c r="O749" s="7">
        <v>0</v>
      </c>
      <c r="P749" s="7">
        <v>0</v>
      </c>
      <c r="Q749" s="7">
        <v>0</v>
      </c>
      <c r="R749" s="11">
        <v>41803</v>
      </c>
      <c r="S749" s="11">
        <v>41803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9</v>
      </c>
      <c r="M750" s="6">
        <v>2023</v>
      </c>
      <c r="N750" s="7">
        <v>0</v>
      </c>
      <c r="O750" s="7">
        <v>0</v>
      </c>
      <c r="P750" s="7">
        <v>0</v>
      </c>
      <c r="Q750" s="7">
        <v>0</v>
      </c>
      <c r="R750" s="11">
        <v>41803</v>
      </c>
      <c r="S750" s="11">
        <v>41803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4</v>
      </c>
      <c r="M751" s="6">
        <v>2018</v>
      </c>
      <c r="N751" s="7">
        <v>0</v>
      </c>
      <c r="O751" s="7">
        <v>0</v>
      </c>
      <c r="P751" s="7">
        <v>0</v>
      </c>
      <c r="Q751" s="7">
        <v>0</v>
      </c>
      <c r="R751" s="11">
        <v>41803</v>
      </c>
      <c r="S751" s="11">
        <v>41803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12</v>
      </c>
      <c r="M752" s="6">
        <v>2026</v>
      </c>
      <c r="N752" s="7">
        <v>0</v>
      </c>
      <c r="O752" s="7">
        <v>0</v>
      </c>
      <c r="P752" s="7">
        <v>0</v>
      </c>
      <c r="Q752" s="7">
        <v>0</v>
      </c>
      <c r="R752" s="11">
        <v>41803</v>
      </c>
      <c r="S752" s="11">
        <v>41803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0</v>
      </c>
      <c r="M753" s="6">
        <v>2014</v>
      </c>
      <c r="N753" s="7">
        <v>0</v>
      </c>
      <c r="O753" s="7">
        <v>0</v>
      </c>
      <c r="P753" s="7">
        <v>0</v>
      </c>
      <c r="Q753" s="7">
        <v>0</v>
      </c>
      <c r="R753" s="11">
        <v>41803</v>
      </c>
      <c r="S753" s="11">
        <v>41803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3</v>
      </c>
      <c r="M754" s="6">
        <v>2017</v>
      </c>
      <c r="N754" s="7">
        <v>0</v>
      </c>
      <c r="O754" s="7">
        <v>0</v>
      </c>
      <c r="P754" s="7">
        <v>0</v>
      </c>
      <c r="Q754" s="7">
        <v>0</v>
      </c>
      <c r="R754" s="11">
        <v>41803</v>
      </c>
      <c r="S754" s="11">
        <v>41803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5</v>
      </c>
      <c r="M755" s="6">
        <v>2019</v>
      </c>
      <c r="N755" s="7">
        <v>0</v>
      </c>
      <c r="O755" s="7">
        <v>0</v>
      </c>
      <c r="P755" s="7">
        <v>0</v>
      </c>
      <c r="Q755" s="7">
        <v>0</v>
      </c>
      <c r="R755" s="11">
        <v>41803</v>
      </c>
      <c r="S755" s="11">
        <v>41803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7</v>
      </c>
      <c r="M756" s="6">
        <v>2021</v>
      </c>
      <c r="N756" s="7">
        <v>0</v>
      </c>
      <c r="O756" s="7">
        <v>0</v>
      </c>
      <c r="P756" s="7">
        <v>0</v>
      </c>
      <c r="Q756" s="7">
        <v>0</v>
      </c>
      <c r="R756" s="11">
        <v>41803</v>
      </c>
      <c r="S756" s="11">
        <v>41803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1</v>
      </c>
      <c r="M757" s="6">
        <v>2015</v>
      </c>
      <c r="N757" s="7">
        <v>0</v>
      </c>
      <c r="O757" s="7">
        <v>0</v>
      </c>
      <c r="P757" s="7">
        <v>0</v>
      </c>
      <c r="Q757" s="7">
        <v>0</v>
      </c>
      <c r="R757" s="11">
        <v>41803</v>
      </c>
      <c r="S757" s="11">
        <v>41803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590</v>
      </c>
      <c r="H758" s="10">
        <v>11.2</v>
      </c>
      <c r="I758" s="10"/>
      <c r="J758" s="10" t="s">
        <v>76</v>
      </c>
      <c r="K758" s="10" t="b">
        <v>1</v>
      </c>
      <c r="L758" s="10">
        <v>11</v>
      </c>
      <c r="M758" s="6">
        <v>2025</v>
      </c>
      <c r="N758" s="7">
        <v>0</v>
      </c>
      <c r="O758" s="7">
        <v>0</v>
      </c>
      <c r="P758" s="7">
        <v>30072120</v>
      </c>
      <c r="Q758" s="7">
        <v>28519749.39</v>
      </c>
      <c r="R758" s="11">
        <v>41803</v>
      </c>
      <c r="S758" s="11">
        <v>41803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11</v>
      </c>
      <c r="M759" s="6">
        <v>2025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41803</v>
      </c>
      <c r="S759" s="11">
        <v>41803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10</v>
      </c>
      <c r="M760" s="6">
        <v>2024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41803</v>
      </c>
      <c r="S760" s="11">
        <v>41803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6</v>
      </c>
      <c r="M761" s="6">
        <v>2020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41803</v>
      </c>
      <c r="S761" s="11">
        <v>41803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7</v>
      </c>
      <c r="M762" s="6">
        <v>2021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41803</v>
      </c>
      <c r="S762" s="11">
        <v>41803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12</v>
      </c>
      <c r="M763" s="6">
        <v>2026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41803</v>
      </c>
      <c r="S763" s="11">
        <v>41803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0</v>
      </c>
      <c r="M764" s="6">
        <v>2014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41803</v>
      </c>
      <c r="S764" s="11">
        <v>41803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4</v>
      </c>
      <c r="M765" s="6">
        <v>2018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41803</v>
      </c>
      <c r="S765" s="11">
        <v>41803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8</v>
      </c>
      <c r="M766" s="6">
        <v>2022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41803</v>
      </c>
      <c r="S766" s="11">
        <v>41803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3</v>
      </c>
      <c r="M767" s="6">
        <v>2017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41803</v>
      </c>
      <c r="S767" s="11">
        <v>41803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2</v>
      </c>
      <c r="M768" s="6">
        <v>2016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41803</v>
      </c>
      <c r="S768" s="11">
        <v>41803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9</v>
      </c>
      <c r="M769" s="6">
        <v>2023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41803</v>
      </c>
      <c r="S769" s="11">
        <v>41803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1</v>
      </c>
      <c r="M770" s="6">
        <v>2015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41803</v>
      </c>
      <c r="S770" s="11">
        <v>41803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762</v>
      </c>
      <c r="H771" s="10" t="s">
        <v>103</v>
      </c>
      <c r="I771" s="10"/>
      <c r="J771" s="10" t="s">
        <v>104</v>
      </c>
      <c r="K771" s="10" t="b">
        <v>1</v>
      </c>
      <c r="L771" s="10">
        <v>5</v>
      </c>
      <c r="M771" s="6">
        <v>2019</v>
      </c>
      <c r="N771" s="7">
        <v>0</v>
      </c>
      <c r="O771" s="7">
        <v>0</v>
      </c>
      <c r="P771" s="7">
        <v>2572910</v>
      </c>
      <c r="Q771" s="7">
        <v>2512951.34</v>
      </c>
      <c r="R771" s="11">
        <v>41803</v>
      </c>
      <c r="S771" s="11">
        <v>41803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5</v>
      </c>
      <c r="M772" s="6">
        <v>2019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41803</v>
      </c>
      <c r="S772" s="11">
        <v>41803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8</v>
      </c>
      <c r="M773" s="6">
        <v>2022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41803</v>
      </c>
      <c r="S773" s="11">
        <v>41803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</v>
      </c>
      <c r="M774" s="6">
        <v>2015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41803</v>
      </c>
      <c r="S774" s="11">
        <v>41803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10</v>
      </c>
      <c r="M775" s="6">
        <v>2024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41803</v>
      </c>
      <c r="S775" s="11">
        <v>41803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4</v>
      </c>
      <c r="M776" s="6">
        <v>2018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41803</v>
      </c>
      <c r="S776" s="11">
        <v>41803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3</v>
      </c>
      <c r="M777" s="6">
        <v>2017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41803</v>
      </c>
      <c r="S777" s="11">
        <v>41803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2</v>
      </c>
      <c r="M778" s="6">
        <v>2016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41803</v>
      </c>
      <c r="S778" s="11">
        <v>41803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6</v>
      </c>
      <c r="M779" s="6">
        <v>2020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41803</v>
      </c>
      <c r="S779" s="11">
        <v>41803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0</v>
      </c>
      <c r="M780" s="6">
        <v>2014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41803</v>
      </c>
      <c r="S780" s="11">
        <v>41803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9</v>
      </c>
      <c r="M781" s="6">
        <v>2023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41803</v>
      </c>
      <c r="S781" s="11">
        <v>41803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12</v>
      </c>
      <c r="M782" s="6">
        <v>2026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41803</v>
      </c>
      <c r="S782" s="11">
        <v>41803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7</v>
      </c>
      <c r="M783" s="6">
        <v>2021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41803</v>
      </c>
      <c r="S783" s="11">
        <v>41803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0</v>
      </c>
      <c r="M784" s="6">
        <v>2014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41803</v>
      </c>
      <c r="S784" s="11">
        <v>41803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7</v>
      </c>
      <c r="M785" s="6">
        <v>2021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41803</v>
      </c>
      <c r="S785" s="11">
        <v>41803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</v>
      </c>
      <c r="M786" s="6">
        <v>2015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41803</v>
      </c>
      <c r="S786" s="11">
        <v>41803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11</v>
      </c>
      <c r="M787" s="6">
        <v>2025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41803</v>
      </c>
      <c r="S787" s="11">
        <v>41803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6</v>
      </c>
      <c r="M788" s="6">
        <v>2020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41803</v>
      </c>
      <c r="S788" s="11">
        <v>41803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5</v>
      </c>
      <c r="M789" s="6">
        <v>2019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41803</v>
      </c>
      <c r="S789" s="11">
        <v>41803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3</v>
      </c>
      <c r="M790" s="6">
        <v>2017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41803</v>
      </c>
      <c r="S790" s="11">
        <v>41803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2</v>
      </c>
      <c r="M791" s="6">
        <v>2016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41803</v>
      </c>
      <c r="S791" s="11">
        <v>41803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4</v>
      </c>
      <c r="M792" s="6">
        <v>2018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41803</v>
      </c>
      <c r="S792" s="11">
        <v>41803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10</v>
      </c>
      <c r="M793" s="6">
        <v>2024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41803</v>
      </c>
      <c r="S793" s="11">
        <v>41803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12</v>
      </c>
      <c r="M794" s="6">
        <v>2026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41803</v>
      </c>
      <c r="S794" s="11">
        <v>41803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9</v>
      </c>
      <c r="M795" s="6">
        <v>2023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41803</v>
      </c>
      <c r="S795" s="11">
        <v>41803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8</v>
      </c>
      <c r="M796" s="6">
        <v>2022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41803</v>
      </c>
      <c r="S796" s="11">
        <v>41803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8</v>
      </c>
      <c r="M797" s="6">
        <v>2022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41803</v>
      </c>
      <c r="S797" s="11">
        <v>41803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5</v>
      </c>
      <c r="M798" s="6">
        <v>2019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41803</v>
      </c>
      <c r="S798" s="11">
        <v>41803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12</v>
      </c>
      <c r="M799" s="6">
        <v>2026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41803</v>
      </c>
      <c r="S799" s="11">
        <v>41803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9</v>
      </c>
      <c r="M800" s="6">
        <v>2023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41803</v>
      </c>
      <c r="S800" s="11">
        <v>41803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0</v>
      </c>
      <c r="M801" s="6">
        <v>2014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41803</v>
      </c>
      <c r="S801" s="11">
        <v>41803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6</v>
      </c>
      <c r="M802" s="6">
        <v>2020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41803</v>
      </c>
      <c r="S802" s="11">
        <v>41803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3</v>
      </c>
      <c r="M803" s="6">
        <v>2017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41803</v>
      </c>
      <c r="S803" s="11">
        <v>41803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10</v>
      </c>
      <c r="M804" s="6">
        <v>2024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41803</v>
      </c>
      <c r="S804" s="11">
        <v>41803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4</v>
      </c>
      <c r="M805" s="6">
        <v>2018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41803</v>
      </c>
      <c r="S805" s="11">
        <v>41803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</v>
      </c>
      <c r="M806" s="6">
        <v>2015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41803</v>
      </c>
      <c r="S806" s="11">
        <v>41803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11</v>
      </c>
      <c r="M807" s="6">
        <v>2025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41803</v>
      </c>
      <c r="S807" s="11">
        <v>41803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7</v>
      </c>
      <c r="M808" s="6">
        <v>2021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41803</v>
      </c>
      <c r="S808" s="11">
        <v>41803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2</v>
      </c>
      <c r="M809" s="6">
        <v>2016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41803</v>
      </c>
      <c r="S809" s="11">
        <v>41803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3</v>
      </c>
      <c r="M810" s="6">
        <v>2017</v>
      </c>
      <c r="N810" s="7">
        <v>0</v>
      </c>
      <c r="O810" s="7">
        <v>0</v>
      </c>
      <c r="P810" s="7">
        <v>0</v>
      </c>
      <c r="Q810" s="7">
        <v>0</v>
      </c>
      <c r="R810" s="11">
        <v>41803</v>
      </c>
      <c r="S810" s="11">
        <v>41803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0</v>
      </c>
      <c r="M811" s="6">
        <v>2014</v>
      </c>
      <c r="N811" s="7">
        <v>0</v>
      </c>
      <c r="O811" s="7">
        <v>0</v>
      </c>
      <c r="P811" s="7">
        <v>0</v>
      </c>
      <c r="Q811" s="7">
        <v>0</v>
      </c>
      <c r="R811" s="11">
        <v>41803</v>
      </c>
      <c r="S811" s="11">
        <v>41803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6</v>
      </c>
      <c r="M812" s="6">
        <v>2020</v>
      </c>
      <c r="N812" s="7">
        <v>0</v>
      </c>
      <c r="O812" s="7">
        <v>0</v>
      </c>
      <c r="P812" s="7">
        <v>0</v>
      </c>
      <c r="Q812" s="7">
        <v>0</v>
      </c>
      <c r="R812" s="11">
        <v>41803</v>
      </c>
      <c r="S812" s="11">
        <v>41803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10</v>
      </c>
      <c r="M813" s="6">
        <v>2024</v>
      </c>
      <c r="N813" s="7">
        <v>0</v>
      </c>
      <c r="O813" s="7">
        <v>0</v>
      </c>
      <c r="P813" s="7">
        <v>0</v>
      </c>
      <c r="Q813" s="7">
        <v>0</v>
      </c>
      <c r="R813" s="11">
        <v>41803</v>
      </c>
      <c r="S813" s="11">
        <v>41803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8</v>
      </c>
      <c r="M814" s="6">
        <v>2022</v>
      </c>
      <c r="N814" s="7">
        <v>0</v>
      </c>
      <c r="O814" s="7">
        <v>0</v>
      </c>
      <c r="P814" s="7">
        <v>0</v>
      </c>
      <c r="Q814" s="7">
        <v>0</v>
      </c>
      <c r="R814" s="11">
        <v>41803</v>
      </c>
      <c r="S814" s="11">
        <v>41803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12</v>
      </c>
      <c r="M815" s="6">
        <v>2026</v>
      </c>
      <c r="N815" s="7">
        <v>0</v>
      </c>
      <c r="O815" s="7">
        <v>0</v>
      </c>
      <c r="P815" s="7">
        <v>0</v>
      </c>
      <c r="Q815" s="7">
        <v>0</v>
      </c>
      <c r="R815" s="11">
        <v>41803</v>
      </c>
      <c r="S815" s="11">
        <v>41803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640</v>
      </c>
      <c r="H816" s="10">
        <v>11.5</v>
      </c>
      <c r="I816" s="10"/>
      <c r="J816" s="10" t="s">
        <v>82</v>
      </c>
      <c r="K816" s="10" t="b">
        <v>1</v>
      </c>
      <c r="L816" s="10">
        <v>7</v>
      </c>
      <c r="M816" s="6">
        <v>2021</v>
      </c>
      <c r="N816" s="7">
        <v>0</v>
      </c>
      <c r="O816" s="7">
        <v>0</v>
      </c>
      <c r="P816" s="7">
        <v>18734776.29</v>
      </c>
      <c r="Q816" s="7">
        <v>16266907.05</v>
      </c>
      <c r="R816" s="11">
        <v>41803</v>
      </c>
      <c r="S816" s="11">
        <v>41803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640</v>
      </c>
      <c r="H817" s="10">
        <v>11.5</v>
      </c>
      <c r="I817" s="10"/>
      <c r="J817" s="10" t="s">
        <v>82</v>
      </c>
      <c r="K817" s="10" t="b">
        <v>1</v>
      </c>
      <c r="L817" s="10">
        <v>10</v>
      </c>
      <c r="M817" s="6">
        <v>2024</v>
      </c>
      <c r="N817" s="7">
        <v>0</v>
      </c>
      <c r="O817" s="7">
        <v>0</v>
      </c>
      <c r="P817" s="7">
        <v>18734776.29</v>
      </c>
      <c r="Q817" s="7">
        <v>16266907.05</v>
      </c>
      <c r="R817" s="11">
        <v>41803</v>
      </c>
      <c r="S817" s="11">
        <v>41803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7</v>
      </c>
      <c r="M818" s="6">
        <v>2021</v>
      </c>
      <c r="N818" s="7">
        <v>0</v>
      </c>
      <c r="O818" s="7">
        <v>0</v>
      </c>
      <c r="P818" s="7">
        <v>0</v>
      </c>
      <c r="Q818" s="7">
        <v>0</v>
      </c>
      <c r="R818" s="11">
        <v>41803</v>
      </c>
      <c r="S818" s="11">
        <v>41803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5</v>
      </c>
      <c r="M819" s="6">
        <v>2019</v>
      </c>
      <c r="N819" s="7">
        <v>0</v>
      </c>
      <c r="O819" s="7">
        <v>0</v>
      </c>
      <c r="P819" s="7">
        <v>0</v>
      </c>
      <c r="Q819" s="7">
        <v>0</v>
      </c>
      <c r="R819" s="11">
        <v>41803</v>
      </c>
      <c r="S819" s="11">
        <v>41803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4</v>
      </c>
      <c r="M820" s="6">
        <v>2018</v>
      </c>
      <c r="N820" s="7">
        <v>0</v>
      </c>
      <c r="O820" s="7">
        <v>0</v>
      </c>
      <c r="P820" s="7">
        <v>0</v>
      </c>
      <c r="Q820" s="7">
        <v>0</v>
      </c>
      <c r="R820" s="11">
        <v>41803</v>
      </c>
      <c r="S820" s="11">
        <v>41803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9</v>
      </c>
      <c r="M821" s="6">
        <v>2023</v>
      </c>
      <c r="N821" s="7">
        <v>0</v>
      </c>
      <c r="O821" s="7">
        <v>0</v>
      </c>
      <c r="P821" s="7">
        <v>0</v>
      </c>
      <c r="Q821" s="7">
        <v>0</v>
      </c>
      <c r="R821" s="11">
        <v>41803</v>
      </c>
      <c r="S821" s="11">
        <v>41803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11</v>
      </c>
      <c r="M822" s="6">
        <v>2025</v>
      </c>
      <c r="N822" s="7">
        <v>0</v>
      </c>
      <c r="O822" s="7">
        <v>0</v>
      </c>
      <c r="P822" s="7">
        <v>0</v>
      </c>
      <c r="Q822" s="7">
        <v>0</v>
      </c>
      <c r="R822" s="11">
        <v>41803</v>
      </c>
      <c r="S822" s="11">
        <v>41803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520</v>
      </c>
      <c r="H823" s="10" t="s">
        <v>70</v>
      </c>
      <c r="I823" s="10"/>
      <c r="J823" s="10" t="s">
        <v>237</v>
      </c>
      <c r="K823" s="10" t="b">
        <v>1</v>
      </c>
      <c r="L823" s="10">
        <v>2</v>
      </c>
      <c r="M823" s="6">
        <v>2016</v>
      </c>
      <c r="N823" s="7">
        <v>0</v>
      </c>
      <c r="O823" s="7">
        <v>0</v>
      </c>
      <c r="P823" s="7">
        <v>0</v>
      </c>
      <c r="Q823" s="7">
        <v>0</v>
      </c>
      <c r="R823" s="11">
        <v>41803</v>
      </c>
      <c r="S823" s="11">
        <v>41803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520</v>
      </c>
      <c r="H824" s="10" t="s">
        <v>70</v>
      </c>
      <c r="I824" s="10"/>
      <c r="J824" s="10" t="s">
        <v>237</v>
      </c>
      <c r="K824" s="10" t="b">
        <v>1</v>
      </c>
      <c r="L824" s="10">
        <v>1</v>
      </c>
      <c r="M824" s="6">
        <v>2015</v>
      </c>
      <c r="N824" s="7">
        <v>0</v>
      </c>
      <c r="O824" s="7">
        <v>0</v>
      </c>
      <c r="P824" s="7">
        <v>0</v>
      </c>
      <c r="Q824" s="7">
        <v>0</v>
      </c>
      <c r="R824" s="11">
        <v>41803</v>
      </c>
      <c r="S824" s="11">
        <v>41803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9</v>
      </c>
      <c r="M825" s="6">
        <v>2023</v>
      </c>
      <c r="N825" s="7">
        <v>0</v>
      </c>
      <c r="O825" s="7">
        <v>0</v>
      </c>
      <c r="P825" s="7">
        <v>0</v>
      </c>
      <c r="Q825" s="7">
        <v>0</v>
      </c>
      <c r="R825" s="11">
        <v>41803</v>
      </c>
      <c r="S825" s="11">
        <v>41803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8</v>
      </c>
      <c r="M826" s="6">
        <v>2022</v>
      </c>
      <c r="N826" s="7">
        <v>0</v>
      </c>
      <c r="O826" s="7">
        <v>0</v>
      </c>
      <c r="P826" s="7">
        <v>0</v>
      </c>
      <c r="Q826" s="7">
        <v>0</v>
      </c>
      <c r="R826" s="11">
        <v>41803</v>
      </c>
      <c r="S826" s="11">
        <v>41803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0</v>
      </c>
      <c r="M827" s="6">
        <v>2014</v>
      </c>
      <c r="N827" s="7">
        <v>0</v>
      </c>
      <c r="O827" s="7">
        <v>0</v>
      </c>
      <c r="P827" s="7">
        <v>0</v>
      </c>
      <c r="Q827" s="7">
        <v>0</v>
      </c>
      <c r="R827" s="11">
        <v>41803</v>
      </c>
      <c r="S827" s="11">
        <v>41803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7</v>
      </c>
      <c r="M828" s="6">
        <v>2021</v>
      </c>
      <c r="N828" s="7">
        <v>0</v>
      </c>
      <c r="O828" s="7">
        <v>0</v>
      </c>
      <c r="P828" s="7">
        <v>0</v>
      </c>
      <c r="Q828" s="7">
        <v>0</v>
      </c>
      <c r="R828" s="11">
        <v>41803</v>
      </c>
      <c r="S828" s="11">
        <v>41803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5</v>
      </c>
      <c r="M829" s="6">
        <v>2019</v>
      </c>
      <c r="N829" s="7">
        <v>0</v>
      </c>
      <c r="O829" s="7">
        <v>0</v>
      </c>
      <c r="P829" s="7">
        <v>0</v>
      </c>
      <c r="Q829" s="7">
        <v>0</v>
      </c>
      <c r="R829" s="11">
        <v>41803</v>
      </c>
      <c r="S829" s="11">
        <v>41803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4</v>
      </c>
      <c r="M830" s="6">
        <v>2018</v>
      </c>
      <c r="N830" s="7">
        <v>0</v>
      </c>
      <c r="O830" s="7">
        <v>0</v>
      </c>
      <c r="P830" s="7">
        <v>0</v>
      </c>
      <c r="Q830" s="7">
        <v>0</v>
      </c>
      <c r="R830" s="11">
        <v>41803</v>
      </c>
      <c r="S830" s="11">
        <v>41803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11</v>
      </c>
      <c r="M831" s="6">
        <v>2025</v>
      </c>
      <c r="N831" s="7">
        <v>0</v>
      </c>
      <c r="O831" s="7">
        <v>0</v>
      </c>
      <c r="P831" s="7">
        <v>0</v>
      </c>
      <c r="Q831" s="7">
        <v>0</v>
      </c>
      <c r="R831" s="11">
        <v>41803</v>
      </c>
      <c r="S831" s="11">
        <v>41803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3</v>
      </c>
      <c r="M832" s="6">
        <v>2017</v>
      </c>
      <c r="N832" s="7">
        <v>0</v>
      </c>
      <c r="O832" s="7">
        <v>0</v>
      </c>
      <c r="P832" s="7">
        <v>0</v>
      </c>
      <c r="Q832" s="7">
        <v>0</v>
      </c>
      <c r="R832" s="11">
        <v>41803</v>
      </c>
      <c r="S832" s="11">
        <v>41803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1</v>
      </c>
      <c r="M833" s="6">
        <v>2015</v>
      </c>
      <c r="N833" s="7">
        <v>0</v>
      </c>
      <c r="O833" s="7">
        <v>0</v>
      </c>
      <c r="P833" s="7">
        <v>0</v>
      </c>
      <c r="Q833" s="7">
        <v>0</v>
      </c>
      <c r="R833" s="11">
        <v>41803</v>
      </c>
      <c r="S833" s="11">
        <v>41803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2</v>
      </c>
      <c r="M834" s="6">
        <v>2016</v>
      </c>
      <c r="N834" s="7">
        <v>0</v>
      </c>
      <c r="O834" s="7">
        <v>0</v>
      </c>
      <c r="P834" s="7">
        <v>0</v>
      </c>
      <c r="Q834" s="7">
        <v>0</v>
      </c>
      <c r="R834" s="11">
        <v>41803</v>
      </c>
      <c r="S834" s="11">
        <v>41803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10</v>
      </c>
      <c r="M835" s="6">
        <v>2024</v>
      </c>
      <c r="N835" s="7">
        <v>0</v>
      </c>
      <c r="O835" s="7">
        <v>0</v>
      </c>
      <c r="P835" s="7">
        <v>0</v>
      </c>
      <c r="Q835" s="7">
        <v>0</v>
      </c>
      <c r="R835" s="11">
        <v>41803</v>
      </c>
      <c r="S835" s="11">
        <v>41803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490</v>
      </c>
      <c r="H836" s="10">
        <v>9.3</v>
      </c>
      <c r="I836" s="10"/>
      <c r="J836" s="10" t="s">
        <v>231</v>
      </c>
      <c r="K836" s="10" t="b">
        <v>1</v>
      </c>
      <c r="L836" s="10">
        <v>6</v>
      </c>
      <c r="M836" s="6">
        <v>2020</v>
      </c>
      <c r="N836" s="7">
        <v>0</v>
      </c>
      <c r="O836" s="7">
        <v>0</v>
      </c>
      <c r="P836" s="7">
        <v>0</v>
      </c>
      <c r="Q836" s="7">
        <v>0</v>
      </c>
      <c r="R836" s="11">
        <v>41803</v>
      </c>
      <c r="S836" s="11">
        <v>41803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490</v>
      </c>
      <c r="H837" s="10">
        <v>9.3</v>
      </c>
      <c r="I837" s="10"/>
      <c r="J837" s="10" t="s">
        <v>231</v>
      </c>
      <c r="K837" s="10" t="b">
        <v>1</v>
      </c>
      <c r="L837" s="10">
        <v>12</v>
      </c>
      <c r="M837" s="6">
        <v>2026</v>
      </c>
      <c r="N837" s="7">
        <v>0</v>
      </c>
      <c r="O837" s="7">
        <v>0</v>
      </c>
      <c r="P837" s="7">
        <v>0</v>
      </c>
      <c r="Q837" s="7">
        <v>0</v>
      </c>
      <c r="R837" s="11">
        <v>41803</v>
      </c>
      <c r="S837" s="11">
        <v>41803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10</v>
      </c>
      <c r="M838" s="6">
        <v>2024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41803</v>
      </c>
      <c r="S838" s="11">
        <v>41803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8</v>
      </c>
      <c r="M839" s="6">
        <v>2022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41803</v>
      </c>
      <c r="S839" s="11">
        <v>41803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2</v>
      </c>
      <c r="M840" s="6">
        <v>2016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41803</v>
      </c>
      <c r="S840" s="11">
        <v>41803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0</v>
      </c>
      <c r="M841" s="6">
        <v>2014</v>
      </c>
      <c r="N841" s="7">
        <v>0</v>
      </c>
      <c r="O841" s="7">
        <v>0</v>
      </c>
      <c r="P841" s="7">
        <v>2012368.5</v>
      </c>
      <c r="Q841" s="7">
        <v>1411062.32</v>
      </c>
      <c r="R841" s="11">
        <v>41803</v>
      </c>
      <c r="S841" s="11">
        <v>41803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6</v>
      </c>
      <c r="M842" s="6">
        <v>2020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41803</v>
      </c>
      <c r="S842" s="11">
        <v>41803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12</v>
      </c>
      <c r="M843" s="6">
        <v>2026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41803</v>
      </c>
      <c r="S843" s="11">
        <v>41803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3</v>
      </c>
      <c r="M844" s="6">
        <v>2017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41803</v>
      </c>
      <c r="S844" s="11">
        <v>41803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11</v>
      </c>
      <c r="M845" s="6">
        <v>2025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41803</v>
      </c>
      <c r="S845" s="11">
        <v>41803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9</v>
      </c>
      <c r="M846" s="6">
        <v>2023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41803</v>
      </c>
      <c r="S846" s="11">
        <v>41803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5</v>
      </c>
      <c r="M847" s="6">
        <v>2019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41803</v>
      </c>
      <c r="S847" s="11">
        <v>41803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4</v>
      </c>
      <c r="M848" s="6">
        <v>2018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41803</v>
      </c>
      <c r="S848" s="11">
        <v>41803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1</v>
      </c>
      <c r="M849" s="6">
        <v>2015</v>
      </c>
      <c r="N849" s="7">
        <v>0</v>
      </c>
      <c r="O849" s="7">
        <v>0</v>
      </c>
      <c r="P849" s="7">
        <v>2012368.5</v>
      </c>
      <c r="Q849" s="7">
        <v>1411062.32</v>
      </c>
      <c r="R849" s="11">
        <v>41803</v>
      </c>
      <c r="S849" s="11">
        <v>41803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720</v>
      </c>
      <c r="H850" s="10" t="s">
        <v>93</v>
      </c>
      <c r="I850" s="10"/>
      <c r="J850" s="10" t="s">
        <v>94</v>
      </c>
      <c r="K850" s="10" t="b">
        <v>0</v>
      </c>
      <c r="L850" s="10">
        <v>7</v>
      </c>
      <c r="M850" s="6">
        <v>2021</v>
      </c>
      <c r="N850" s="7">
        <v>0</v>
      </c>
      <c r="O850" s="7">
        <v>0</v>
      </c>
      <c r="P850" s="7">
        <v>2012368.5</v>
      </c>
      <c r="Q850" s="7">
        <v>1411062.32</v>
      </c>
      <c r="R850" s="11">
        <v>41803</v>
      </c>
      <c r="S850" s="11">
        <v>41803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11</v>
      </c>
      <c r="M851" s="6">
        <v>2025</v>
      </c>
      <c r="N851" s="7">
        <v>0</v>
      </c>
      <c r="O851" s="7">
        <v>0</v>
      </c>
      <c r="P851" s="7">
        <v>0</v>
      </c>
      <c r="Q851" s="7">
        <v>0</v>
      </c>
      <c r="R851" s="11">
        <v>41803</v>
      </c>
      <c r="S851" s="11">
        <v>41803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4</v>
      </c>
      <c r="M852" s="6">
        <v>2018</v>
      </c>
      <c r="N852" s="7">
        <v>0</v>
      </c>
      <c r="O852" s="7">
        <v>0</v>
      </c>
      <c r="P852" s="7">
        <v>0</v>
      </c>
      <c r="Q852" s="7">
        <v>0</v>
      </c>
      <c r="R852" s="11">
        <v>41803</v>
      </c>
      <c r="S852" s="11">
        <v>41803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10</v>
      </c>
      <c r="M853" s="6">
        <v>2024</v>
      </c>
      <c r="N853" s="7">
        <v>0</v>
      </c>
      <c r="O853" s="7">
        <v>0</v>
      </c>
      <c r="P853" s="7">
        <v>0</v>
      </c>
      <c r="Q853" s="7">
        <v>0</v>
      </c>
      <c r="R853" s="11">
        <v>41803</v>
      </c>
      <c r="S853" s="11">
        <v>41803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2</v>
      </c>
      <c r="M854" s="6">
        <v>2016</v>
      </c>
      <c r="N854" s="7">
        <v>0</v>
      </c>
      <c r="O854" s="7">
        <v>0</v>
      </c>
      <c r="P854" s="7">
        <v>0</v>
      </c>
      <c r="Q854" s="7">
        <v>0</v>
      </c>
      <c r="R854" s="11">
        <v>41803</v>
      </c>
      <c r="S854" s="11">
        <v>41803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3</v>
      </c>
      <c r="M855" s="6">
        <v>2017</v>
      </c>
      <c r="N855" s="7">
        <v>0</v>
      </c>
      <c r="O855" s="7">
        <v>0</v>
      </c>
      <c r="P855" s="7">
        <v>0</v>
      </c>
      <c r="Q855" s="7">
        <v>0</v>
      </c>
      <c r="R855" s="11">
        <v>41803</v>
      </c>
      <c r="S855" s="11">
        <v>41803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5</v>
      </c>
      <c r="M856" s="6">
        <v>2019</v>
      </c>
      <c r="N856" s="7">
        <v>0</v>
      </c>
      <c r="O856" s="7">
        <v>0</v>
      </c>
      <c r="P856" s="7">
        <v>0</v>
      </c>
      <c r="Q856" s="7">
        <v>0</v>
      </c>
      <c r="R856" s="11">
        <v>41803</v>
      </c>
      <c r="S856" s="11">
        <v>41803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7</v>
      </c>
      <c r="M857" s="6">
        <v>2021</v>
      </c>
      <c r="N857" s="7">
        <v>0</v>
      </c>
      <c r="O857" s="7">
        <v>0</v>
      </c>
      <c r="P857" s="7">
        <v>0</v>
      </c>
      <c r="Q857" s="7">
        <v>0</v>
      </c>
      <c r="R857" s="11">
        <v>41803</v>
      </c>
      <c r="S857" s="11">
        <v>41803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6</v>
      </c>
      <c r="M858" s="6">
        <v>2020</v>
      </c>
      <c r="N858" s="7">
        <v>0</v>
      </c>
      <c r="O858" s="7">
        <v>0</v>
      </c>
      <c r="P858" s="7">
        <v>0</v>
      </c>
      <c r="Q858" s="7">
        <v>0</v>
      </c>
      <c r="R858" s="11">
        <v>41803</v>
      </c>
      <c r="S858" s="11">
        <v>41803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9</v>
      </c>
      <c r="M859" s="6">
        <v>2023</v>
      </c>
      <c r="N859" s="7">
        <v>0</v>
      </c>
      <c r="O859" s="7">
        <v>0</v>
      </c>
      <c r="P859" s="7">
        <v>0</v>
      </c>
      <c r="Q859" s="7">
        <v>0</v>
      </c>
      <c r="R859" s="11">
        <v>41803</v>
      </c>
      <c r="S859" s="11">
        <v>41803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0</v>
      </c>
      <c r="M860" s="6">
        <v>2014</v>
      </c>
      <c r="N860" s="7">
        <v>0</v>
      </c>
      <c r="O860" s="7">
        <v>0</v>
      </c>
      <c r="P860" s="7">
        <v>0</v>
      </c>
      <c r="Q860" s="7">
        <v>0</v>
      </c>
      <c r="R860" s="11">
        <v>41803</v>
      </c>
      <c r="S860" s="11">
        <v>41803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1</v>
      </c>
      <c r="M861" s="6">
        <v>2015</v>
      </c>
      <c r="N861" s="7">
        <v>0</v>
      </c>
      <c r="O861" s="7">
        <v>0</v>
      </c>
      <c r="P861" s="7">
        <v>0</v>
      </c>
      <c r="Q861" s="7">
        <v>0</v>
      </c>
      <c r="R861" s="11">
        <v>41803</v>
      </c>
      <c r="S861" s="11">
        <v>41803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334</v>
      </c>
      <c r="H862" s="10" t="s">
        <v>220</v>
      </c>
      <c r="I862" s="10"/>
      <c r="J862" s="10" t="s">
        <v>221</v>
      </c>
      <c r="K862" s="10" t="b">
        <v>1</v>
      </c>
      <c r="L862" s="10">
        <v>8</v>
      </c>
      <c r="M862" s="6">
        <v>2022</v>
      </c>
      <c r="N862" s="7">
        <v>0</v>
      </c>
      <c r="O862" s="7">
        <v>0</v>
      </c>
      <c r="P862" s="7">
        <v>0</v>
      </c>
      <c r="Q862" s="7">
        <v>0</v>
      </c>
      <c r="R862" s="11">
        <v>41803</v>
      </c>
      <c r="S862" s="11">
        <v>41803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334</v>
      </c>
      <c r="H863" s="10" t="s">
        <v>220</v>
      </c>
      <c r="I863" s="10"/>
      <c r="J863" s="10" t="s">
        <v>221</v>
      </c>
      <c r="K863" s="10" t="b">
        <v>1</v>
      </c>
      <c r="L863" s="10">
        <v>12</v>
      </c>
      <c r="M863" s="6">
        <v>2026</v>
      </c>
      <c r="N863" s="7">
        <v>0</v>
      </c>
      <c r="O863" s="7">
        <v>0</v>
      </c>
      <c r="P863" s="7">
        <v>0</v>
      </c>
      <c r="Q863" s="7">
        <v>0</v>
      </c>
      <c r="R863" s="11">
        <v>41803</v>
      </c>
      <c r="S863" s="11">
        <v>41803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1</v>
      </c>
      <c r="M864" s="6">
        <v>2015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41803</v>
      </c>
      <c r="S864" s="11">
        <v>41803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3</v>
      </c>
      <c r="M865" s="6">
        <v>2017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41803</v>
      </c>
      <c r="S865" s="11">
        <v>41803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6</v>
      </c>
      <c r="M866" s="6">
        <v>2020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41803</v>
      </c>
      <c r="S866" s="11">
        <v>41803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8</v>
      </c>
      <c r="M867" s="6">
        <v>2022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41803</v>
      </c>
      <c r="S867" s="11">
        <v>41803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9</v>
      </c>
      <c r="M868" s="6">
        <v>2023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41803</v>
      </c>
      <c r="S868" s="11">
        <v>41803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12</v>
      </c>
      <c r="M869" s="6">
        <v>2026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41803</v>
      </c>
      <c r="S869" s="11">
        <v>41803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5</v>
      </c>
      <c r="M870" s="6">
        <v>2019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41803</v>
      </c>
      <c r="S870" s="11">
        <v>41803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4</v>
      </c>
      <c r="M871" s="6">
        <v>2018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41803</v>
      </c>
      <c r="S871" s="11">
        <v>41803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2</v>
      </c>
      <c r="M872" s="6">
        <v>2016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41803</v>
      </c>
      <c r="S872" s="11">
        <v>41803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0</v>
      </c>
      <c r="M873" s="6">
        <v>2014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41803</v>
      </c>
      <c r="S873" s="11">
        <v>41803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11</v>
      </c>
      <c r="M874" s="6">
        <v>2025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41803</v>
      </c>
      <c r="S874" s="11">
        <v>41803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7</v>
      </c>
      <c r="M875" s="6">
        <v>2021</v>
      </c>
      <c r="N875" s="7">
        <v>0</v>
      </c>
      <c r="O875" s="7">
        <v>0</v>
      </c>
      <c r="P875" s="7">
        <v>0</v>
      </c>
      <c r="Q875" s="7">
        <v>0</v>
      </c>
      <c r="R875" s="11">
        <v>41803</v>
      </c>
      <c r="S875" s="11">
        <v>41803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9</v>
      </c>
      <c r="M876" s="6">
        <v>2023</v>
      </c>
      <c r="N876" s="7">
        <v>0</v>
      </c>
      <c r="O876" s="7">
        <v>0</v>
      </c>
      <c r="P876" s="7">
        <v>0</v>
      </c>
      <c r="Q876" s="7">
        <v>0</v>
      </c>
      <c r="R876" s="11">
        <v>41803</v>
      </c>
      <c r="S876" s="11">
        <v>41803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10</v>
      </c>
      <c r="M877" s="6">
        <v>2024</v>
      </c>
      <c r="N877" s="7">
        <v>0</v>
      </c>
      <c r="O877" s="7">
        <v>0</v>
      </c>
      <c r="P877" s="7">
        <v>0</v>
      </c>
      <c r="Q877" s="7">
        <v>0</v>
      </c>
      <c r="R877" s="11">
        <v>41803</v>
      </c>
      <c r="S877" s="11">
        <v>41803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5</v>
      </c>
      <c r="M878" s="6">
        <v>2019</v>
      </c>
      <c r="N878" s="7">
        <v>0</v>
      </c>
      <c r="O878" s="7">
        <v>0</v>
      </c>
      <c r="P878" s="7">
        <v>0</v>
      </c>
      <c r="Q878" s="7">
        <v>0</v>
      </c>
      <c r="R878" s="11">
        <v>41803</v>
      </c>
      <c r="S878" s="11">
        <v>41803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4</v>
      </c>
      <c r="M879" s="6">
        <v>2018</v>
      </c>
      <c r="N879" s="7">
        <v>0</v>
      </c>
      <c r="O879" s="7">
        <v>0</v>
      </c>
      <c r="P879" s="7">
        <v>0</v>
      </c>
      <c r="Q879" s="7">
        <v>0</v>
      </c>
      <c r="R879" s="11">
        <v>41803</v>
      </c>
      <c r="S879" s="11">
        <v>41803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6</v>
      </c>
      <c r="M880" s="6">
        <v>2020</v>
      </c>
      <c r="N880" s="7">
        <v>0</v>
      </c>
      <c r="O880" s="7">
        <v>0</v>
      </c>
      <c r="P880" s="7">
        <v>0</v>
      </c>
      <c r="Q880" s="7">
        <v>0</v>
      </c>
      <c r="R880" s="11">
        <v>41803</v>
      </c>
      <c r="S880" s="11">
        <v>41803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2</v>
      </c>
      <c r="M881" s="6">
        <v>2016</v>
      </c>
      <c r="N881" s="7">
        <v>0</v>
      </c>
      <c r="O881" s="7">
        <v>0</v>
      </c>
      <c r="P881" s="7">
        <v>0</v>
      </c>
      <c r="Q881" s="7">
        <v>0</v>
      </c>
      <c r="R881" s="11">
        <v>41803</v>
      </c>
      <c r="S881" s="11">
        <v>41803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11</v>
      </c>
      <c r="M882" s="6">
        <v>2025</v>
      </c>
      <c r="N882" s="7">
        <v>0</v>
      </c>
      <c r="O882" s="7">
        <v>0</v>
      </c>
      <c r="P882" s="7">
        <v>0</v>
      </c>
      <c r="Q882" s="7">
        <v>0</v>
      </c>
      <c r="R882" s="11">
        <v>41803</v>
      </c>
      <c r="S882" s="11">
        <v>41803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0</v>
      </c>
      <c r="M883" s="6">
        <v>2014</v>
      </c>
      <c r="N883" s="7">
        <v>0</v>
      </c>
      <c r="O883" s="7">
        <v>0</v>
      </c>
      <c r="P883" s="7">
        <v>0</v>
      </c>
      <c r="Q883" s="7">
        <v>0</v>
      </c>
      <c r="R883" s="11">
        <v>41803</v>
      </c>
      <c r="S883" s="11">
        <v>41803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1</v>
      </c>
      <c r="M884" s="6">
        <v>2015</v>
      </c>
      <c r="N884" s="7">
        <v>0</v>
      </c>
      <c r="O884" s="7">
        <v>0</v>
      </c>
      <c r="P884" s="7">
        <v>0</v>
      </c>
      <c r="Q884" s="7">
        <v>0</v>
      </c>
      <c r="R884" s="11">
        <v>41803</v>
      </c>
      <c r="S884" s="11">
        <v>41803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3</v>
      </c>
      <c r="M885" s="6">
        <v>2017</v>
      </c>
      <c r="N885" s="7">
        <v>0</v>
      </c>
      <c r="O885" s="7">
        <v>0</v>
      </c>
      <c r="P885" s="7">
        <v>0</v>
      </c>
      <c r="Q885" s="7">
        <v>0</v>
      </c>
      <c r="R885" s="11">
        <v>41803</v>
      </c>
      <c r="S885" s="11">
        <v>41803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12</v>
      </c>
      <c r="M886" s="6">
        <v>2026</v>
      </c>
      <c r="N886" s="7">
        <v>0</v>
      </c>
      <c r="O886" s="7">
        <v>0</v>
      </c>
      <c r="P886" s="7">
        <v>0</v>
      </c>
      <c r="Q886" s="7">
        <v>0</v>
      </c>
      <c r="R886" s="11">
        <v>41803</v>
      </c>
      <c r="S886" s="11">
        <v>41803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8</v>
      </c>
      <c r="M887" s="6">
        <v>2022</v>
      </c>
      <c r="N887" s="7">
        <v>0</v>
      </c>
      <c r="O887" s="7">
        <v>0</v>
      </c>
      <c r="P887" s="7">
        <v>0</v>
      </c>
      <c r="Q887" s="7">
        <v>0</v>
      </c>
      <c r="R887" s="11">
        <v>41803</v>
      </c>
      <c r="S887" s="11">
        <v>41803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5</v>
      </c>
      <c r="M888" s="6">
        <v>2019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41803</v>
      </c>
      <c r="S888" s="11">
        <v>41803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2</v>
      </c>
      <c r="M889" s="6">
        <v>2016</v>
      </c>
      <c r="N889" s="7">
        <v>0.0638</v>
      </c>
      <c r="O889" s="7">
        <v>0.0742</v>
      </c>
      <c r="P889" s="7">
        <v>0.0749</v>
      </c>
      <c r="Q889" s="7">
        <v>0.0704</v>
      </c>
      <c r="R889" s="11">
        <v>41803</v>
      </c>
      <c r="S889" s="11">
        <v>41803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9</v>
      </c>
      <c r="M890" s="6">
        <v>2023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41803</v>
      </c>
      <c r="S890" s="11">
        <v>41803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12</v>
      </c>
      <c r="M891" s="6">
        <v>2026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41803</v>
      </c>
      <c r="S891" s="11">
        <v>41803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6</v>
      </c>
      <c r="M892" s="6">
        <v>2020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41803</v>
      </c>
      <c r="S892" s="11">
        <v>41803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10</v>
      </c>
      <c r="M893" s="6">
        <v>2024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41803</v>
      </c>
      <c r="S893" s="11">
        <v>41803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0</v>
      </c>
      <c r="M894" s="6">
        <v>2014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41803</v>
      </c>
      <c r="S894" s="11">
        <v>41803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1</v>
      </c>
      <c r="M895" s="6">
        <v>2015</v>
      </c>
      <c r="N895" s="7">
        <v>0.0638</v>
      </c>
      <c r="O895" s="7">
        <v>0.0742</v>
      </c>
      <c r="P895" s="7">
        <v>0.0749</v>
      </c>
      <c r="Q895" s="7">
        <v>0.0704</v>
      </c>
      <c r="R895" s="11">
        <v>41803</v>
      </c>
      <c r="S895" s="11">
        <v>41803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3</v>
      </c>
      <c r="M896" s="6">
        <v>2017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41803</v>
      </c>
      <c r="S896" s="11">
        <v>41803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8</v>
      </c>
      <c r="M897" s="6">
        <v>2022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41803</v>
      </c>
      <c r="S897" s="11">
        <v>41803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11</v>
      </c>
      <c r="M898" s="6">
        <v>2025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41803</v>
      </c>
      <c r="S898" s="11">
        <v>41803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4</v>
      </c>
      <c r="M899" s="6">
        <v>2018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41803</v>
      </c>
      <c r="S899" s="11">
        <v>41803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7</v>
      </c>
      <c r="M900" s="6">
        <v>2021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41803</v>
      </c>
      <c r="S900" s="11">
        <v>41803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4</v>
      </c>
      <c r="M901" s="6">
        <v>2018</v>
      </c>
      <c r="N901" s="7">
        <v>0</v>
      </c>
      <c r="O901" s="7">
        <v>0</v>
      </c>
      <c r="P901" s="7">
        <v>0</v>
      </c>
      <c r="Q901" s="7">
        <v>0</v>
      </c>
      <c r="R901" s="11">
        <v>41803</v>
      </c>
      <c r="S901" s="11">
        <v>41803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10</v>
      </c>
      <c r="M902" s="6">
        <v>2024</v>
      </c>
      <c r="N902" s="7">
        <v>0</v>
      </c>
      <c r="O902" s="7">
        <v>0</v>
      </c>
      <c r="P902" s="7">
        <v>0</v>
      </c>
      <c r="Q902" s="7">
        <v>0</v>
      </c>
      <c r="R902" s="11">
        <v>41803</v>
      </c>
      <c r="S902" s="11">
        <v>41803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930</v>
      </c>
      <c r="H903" s="10" t="s">
        <v>120</v>
      </c>
      <c r="I903" s="10"/>
      <c r="J903" s="10" t="s">
        <v>121</v>
      </c>
      <c r="K903" s="10" t="b">
        <v>1</v>
      </c>
      <c r="L903" s="10">
        <v>6</v>
      </c>
      <c r="M903" s="6">
        <v>2020</v>
      </c>
      <c r="N903" s="7">
        <v>0</v>
      </c>
      <c r="O903" s="7">
        <v>0</v>
      </c>
      <c r="P903" s="7">
        <v>0</v>
      </c>
      <c r="Q903" s="7">
        <v>0</v>
      </c>
      <c r="R903" s="11">
        <v>41803</v>
      </c>
      <c r="S903" s="11">
        <v>41803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5</v>
      </c>
      <c r="M904" s="6">
        <v>2019</v>
      </c>
      <c r="N904" s="7">
        <v>0</v>
      </c>
      <c r="O904" s="7">
        <v>0</v>
      </c>
      <c r="P904" s="7">
        <v>0</v>
      </c>
      <c r="Q904" s="7">
        <v>0</v>
      </c>
      <c r="R904" s="11">
        <v>41803</v>
      </c>
      <c r="S904" s="11">
        <v>41803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11</v>
      </c>
      <c r="M905" s="6">
        <v>2025</v>
      </c>
      <c r="N905" s="7">
        <v>0</v>
      </c>
      <c r="O905" s="7">
        <v>0</v>
      </c>
      <c r="P905" s="7">
        <v>0</v>
      </c>
      <c r="Q905" s="7">
        <v>0</v>
      </c>
      <c r="R905" s="11">
        <v>41803</v>
      </c>
      <c r="S905" s="11">
        <v>41803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7</v>
      </c>
      <c r="M906" s="6">
        <v>2021</v>
      </c>
      <c r="N906" s="7">
        <v>0</v>
      </c>
      <c r="O906" s="7">
        <v>0</v>
      </c>
      <c r="P906" s="7">
        <v>0</v>
      </c>
      <c r="Q906" s="7">
        <v>0</v>
      </c>
      <c r="R906" s="11">
        <v>41803</v>
      </c>
      <c r="S906" s="11">
        <v>41803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12</v>
      </c>
      <c r="M907" s="6">
        <v>2026</v>
      </c>
      <c r="N907" s="7">
        <v>0</v>
      </c>
      <c r="O907" s="7">
        <v>0</v>
      </c>
      <c r="P907" s="7">
        <v>0</v>
      </c>
      <c r="Q907" s="7">
        <v>0</v>
      </c>
      <c r="R907" s="11">
        <v>41803</v>
      </c>
      <c r="S907" s="11">
        <v>41803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2</v>
      </c>
      <c r="M908" s="6">
        <v>2016</v>
      </c>
      <c r="N908" s="7">
        <v>0</v>
      </c>
      <c r="O908" s="7">
        <v>0</v>
      </c>
      <c r="P908" s="7">
        <v>0</v>
      </c>
      <c r="Q908" s="7">
        <v>0</v>
      </c>
      <c r="R908" s="11">
        <v>41803</v>
      </c>
      <c r="S908" s="11">
        <v>41803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8</v>
      </c>
      <c r="M909" s="6">
        <v>2022</v>
      </c>
      <c r="N909" s="7">
        <v>0</v>
      </c>
      <c r="O909" s="7">
        <v>0</v>
      </c>
      <c r="P909" s="7">
        <v>0</v>
      </c>
      <c r="Q909" s="7">
        <v>0</v>
      </c>
      <c r="R909" s="11">
        <v>41803</v>
      </c>
      <c r="S909" s="11">
        <v>41803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6</v>
      </c>
      <c r="M910" s="6">
        <v>2020</v>
      </c>
      <c r="N910" s="7">
        <v>0</v>
      </c>
      <c r="O910" s="7">
        <v>0</v>
      </c>
      <c r="P910" s="7">
        <v>0</v>
      </c>
      <c r="Q910" s="7">
        <v>0</v>
      </c>
      <c r="R910" s="11">
        <v>41803</v>
      </c>
      <c r="S910" s="11">
        <v>41803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9</v>
      </c>
      <c r="M911" s="6">
        <v>2023</v>
      </c>
      <c r="N911" s="7">
        <v>0</v>
      </c>
      <c r="O911" s="7">
        <v>0</v>
      </c>
      <c r="P911" s="7">
        <v>0</v>
      </c>
      <c r="Q911" s="7">
        <v>0</v>
      </c>
      <c r="R911" s="11">
        <v>41803</v>
      </c>
      <c r="S911" s="11">
        <v>41803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3</v>
      </c>
      <c r="M912" s="6">
        <v>2017</v>
      </c>
      <c r="N912" s="7">
        <v>0</v>
      </c>
      <c r="O912" s="7">
        <v>0</v>
      </c>
      <c r="P912" s="7">
        <v>0</v>
      </c>
      <c r="Q912" s="7">
        <v>0</v>
      </c>
      <c r="R912" s="11">
        <v>41803</v>
      </c>
      <c r="S912" s="11">
        <v>41803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1</v>
      </c>
      <c r="M913" s="6">
        <v>2015</v>
      </c>
      <c r="N913" s="7">
        <v>0</v>
      </c>
      <c r="O913" s="7">
        <v>0</v>
      </c>
      <c r="P913" s="7">
        <v>0</v>
      </c>
      <c r="Q913" s="7">
        <v>0</v>
      </c>
      <c r="R913" s="11">
        <v>41803</v>
      </c>
      <c r="S913" s="11">
        <v>41803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236</v>
      </c>
      <c r="K914" s="10" t="b">
        <v>1</v>
      </c>
      <c r="L914" s="10">
        <v>0</v>
      </c>
      <c r="M914" s="6">
        <v>2014</v>
      </c>
      <c r="N914" s="7">
        <v>0</v>
      </c>
      <c r="O914" s="7">
        <v>0</v>
      </c>
      <c r="P914" s="7">
        <v>0</v>
      </c>
      <c r="Q914" s="7">
        <v>0</v>
      </c>
      <c r="R914" s="11">
        <v>41803</v>
      </c>
      <c r="S914" s="11">
        <v>41803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930</v>
      </c>
      <c r="H915" s="10" t="s">
        <v>120</v>
      </c>
      <c r="I915" s="10"/>
      <c r="J915" s="10" t="s">
        <v>121</v>
      </c>
      <c r="K915" s="10" t="b">
        <v>1</v>
      </c>
      <c r="L915" s="10">
        <v>10</v>
      </c>
      <c r="M915" s="6">
        <v>2024</v>
      </c>
      <c r="N915" s="7">
        <v>0</v>
      </c>
      <c r="O915" s="7">
        <v>0</v>
      </c>
      <c r="P915" s="7">
        <v>0</v>
      </c>
      <c r="Q915" s="7">
        <v>0</v>
      </c>
      <c r="R915" s="11">
        <v>41803</v>
      </c>
      <c r="S915" s="11">
        <v>41803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4</v>
      </c>
      <c r="M916" s="6">
        <v>2018</v>
      </c>
      <c r="N916" s="7">
        <v>0</v>
      </c>
      <c r="O916" s="7">
        <v>0</v>
      </c>
      <c r="P916" s="7">
        <v>0</v>
      </c>
      <c r="Q916" s="7">
        <v>0</v>
      </c>
      <c r="R916" s="11">
        <v>41803</v>
      </c>
      <c r="S916" s="11">
        <v>41803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6</v>
      </c>
      <c r="M917" s="6">
        <v>2020</v>
      </c>
      <c r="N917" s="7">
        <v>0</v>
      </c>
      <c r="O917" s="7">
        <v>0</v>
      </c>
      <c r="P917" s="7">
        <v>0</v>
      </c>
      <c r="Q917" s="7">
        <v>0</v>
      </c>
      <c r="R917" s="11">
        <v>41803</v>
      </c>
      <c r="S917" s="11">
        <v>41803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7</v>
      </c>
      <c r="M918" s="6">
        <v>2021</v>
      </c>
      <c r="N918" s="7">
        <v>0</v>
      </c>
      <c r="O918" s="7">
        <v>0</v>
      </c>
      <c r="P918" s="7">
        <v>0</v>
      </c>
      <c r="Q918" s="7">
        <v>0</v>
      </c>
      <c r="R918" s="11">
        <v>41803</v>
      </c>
      <c r="S918" s="11">
        <v>41803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5</v>
      </c>
      <c r="M919" s="6">
        <v>2019</v>
      </c>
      <c r="N919" s="7">
        <v>0</v>
      </c>
      <c r="O919" s="7">
        <v>0</v>
      </c>
      <c r="P919" s="7">
        <v>0</v>
      </c>
      <c r="Q919" s="7">
        <v>0</v>
      </c>
      <c r="R919" s="11">
        <v>41803</v>
      </c>
      <c r="S919" s="11">
        <v>41803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3</v>
      </c>
      <c r="M920" s="6">
        <v>2017</v>
      </c>
      <c r="N920" s="7">
        <v>0</v>
      </c>
      <c r="O920" s="7">
        <v>0</v>
      </c>
      <c r="P920" s="7">
        <v>0</v>
      </c>
      <c r="Q920" s="7">
        <v>0</v>
      </c>
      <c r="R920" s="11">
        <v>41803</v>
      </c>
      <c r="S920" s="11">
        <v>41803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9</v>
      </c>
      <c r="M921" s="6">
        <v>2023</v>
      </c>
      <c r="N921" s="7">
        <v>0</v>
      </c>
      <c r="O921" s="7">
        <v>0</v>
      </c>
      <c r="P921" s="7">
        <v>0</v>
      </c>
      <c r="Q921" s="7">
        <v>0</v>
      </c>
      <c r="R921" s="11">
        <v>41803</v>
      </c>
      <c r="S921" s="11">
        <v>41803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0</v>
      </c>
      <c r="M922" s="6">
        <v>2014</v>
      </c>
      <c r="N922" s="7">
        <v>0</v>
      </c>
      <c r="O922" s="7">
        <v>0</v>
      </c>
      <c r="P922" s="7">
        <v>0</v>
      </c>
      <c r="Q922" s="7">
        <v>0</v>
      </c>
      <c r="R922" s="11">
        <v>41803</v>
      </c>
      <c r="S922" s="11">
        <v>41803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8</v>
      </c>
      <c r="M923" s="6">
        <v>2022</v>
      </c>
      <c r="N923" s="7">
        <v>0</v>
      </c>
      <c r="O923" s="7">
        <v>0</v>
      </c>
      <c r="P923" s="7">
        <v>0</v>
      </c>
      <c r="Q923" s="7">
        <v>0</v>
      </c>
      <c r="R923" s="11">
        <v>41803</v>
      </c>
      <c r="S923" s="11">
        <v>41803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1</v>
      </c>
      <c r="M924" s="6">
        <v>2015</v>
      </c>
      <c r="N924" s="7">
        <v>0</v>
      </c>
      <c r="O924" s="7">
        <v>0</v>
      </c>
      <c r="P924" s="7">
        <v>0</v>
      </c>
      <c r="Q924" s="7">
        <v>0</v>
      </c>
      <c r="R924" s="11">
        <v>41803</v>
      </c>
      <c r="S924" s="11">
        <v>41803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12</v>
      </c>
      <c r="M925" s="6">
        <v>2026</v>
      </c>
      <c r="N925" s="7">
        <v>0</v>
      </c>
      <c r="O925" s="7">
        <v>0</v>
      </c>
      <c r="P925" s="7">
        <v>0</v>
      </c>
      <c r="Q925" s="7">
        <v>0</v>
      </c>
      <c r="R925" s="11">
        <v>41803</v>
      </c>
      <c r="S925" s="11">
        <v>41803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10</v>
      </c>
      <c r="M926" s="6">
        <v>2024</v>
      </c>
      <c r="N926" s="7">
        <v>0</v>
      </c>
      <c r="O926" s="7">
        <v>0</v>
      </c>
      <c r="P926" s="7">
        <v>0</v>
      </c>
      <c r="Q926" s="7">
        <v>0</v>
      </c>
      <c r="R926" s="11">
        <v>41803</v>
      </c>
      <c r="S926" s="11">
        <v>41803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2</v>
      </c>
      <c r="M927" s="6">
        <v>2016</v>
      </c>
      <c r="N927" s="7">
        <v>0</v>
      </c>
      <c r="O927" s="7">
        <v>0</v>
      </c>
      <c r="P927" s="7">
        <v>0</v>
      </c>
      <c r="Q927" s="7">
        <v>0</v>
      </c>
      <c r="R927" s="11">
        <v>41803</v>
      </c>
      <c r="S927" s="11">
        <v>41803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184</v>
      </c>
      <c r="H928" s="10" t="s">
        <v>212</v>
      </c>
      <c r="I928" s="10"/>
      <c r="J928" s="10" t="s">
        <v>213</v>
      </c>
      <c r="K928" s="10" t="b">
        <v>0</v>
      </c>
      <c r="L928" s="10">
        <v>11</v>
      </c>
      <c r="M928" s="6">
        <v>2025</v>
      </c>
      <c r="N928" s="7">
        <v>0</v>
      </c>
      <c r="O928" s="7">
        <v>0</v>
      </c>
      <c r="P928" s="7">
        <v>0</v>
      </c>
      <c r="Q928" s="7">
        <v>0</v>
      </c>
      <c r="R928" s="11">
        <v>41803</v>
      </c>
      <c r="S928" s="11">
        <v>41803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12</v>
      </c>
      <c r="M929" s="6">
        <v>2026</v>
      </c>
      <c r="N929" s="7">
        <v>0</v>
      </c>
      <c r="O929" s="7">
        <v>0</v>
      </c>
      <c r="P929" s="7">
        <v>0</v>
      </c>
      <c r="Q929" s="7">
        <v>0</v>
      </c>
      <c r="R929" s="11">
        <v>41803</v>
      </c>
      <c r="S929" s="11">
        <v>41803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9</v>
      </c>
      <c r="M930" s="6">
        <v>2023</v>
      </c>
      <c r="N930" s="7">
        <v>0</v>
      </c>
      <c r="O930" s="7">
        <v>0</v>
      </c>
      <c r="P930" s="7">
        <v>0</v>
      </c>
      <c r="Q930" s="7">
        <v>0</v>
      </c>
      <c r="R930" s="11">
        <v>41803</v>
      </c>
      <c r="S930" s="11">
        <v>41803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3</v>
      </c>
      <c r="M931" s="6">
        <v>2017</v>
      </c>
      <c r="N931" s="7">
        <v>0</v>
      </c>
      <c r="O931" s="7">
        <v>0</v>
      </c>
      <c r="P931" s="7">
        <v>0</v>
      </c>
      <c r="Q931" s="7">
        <v>0</v>
      </c>
      <c r="R931" s="11">
        <v>41803</v>
      </c>
      <c r="S931" s="11">
        <v>41803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5</v>
      </c>
      <c r="M932" s="6">
        <v>2019</v>
      </c>
      <c r="N932" s="7">
        <v>0</v>
      </c>
      <c r="O932" s="7">
        <v>0</v>
      </c>
      <c r="P932" s="7">
        <v>0</v>
      </c>
      <c r="Q932" s="7">
        <v>0</v>
      </c>
      <c r="R932" s="11">
        <v>41803</v>
      </c>
      <c r="S932" s="11">
        <v>41803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8</v>
      </c>
      <c r="M933" s="6">
        <v>2022</v>
      </c>
      <c r="N933" s="7">
        <v>0</v>
      </c>
      <c r="O933" s="7">
        <v>0</v>
      </c>
      <c r="P933" s="7">
        <v>0</v>
      </c>
      <c r="Q933" s="7">
        <v>0</v>
      </c>
      <c r="R933" s="11">
        <v>41803</v>
      </c>
      <c r="S933" s="11">
        <v>41803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1</v>
      </c>
      <c r="M934" s="6">
        <v>2015</v>
      </c>
      <c r="N934" s="7">
        <v>0</v>
      </c>
      <c r="O934" s="7">
        <v>0</v>
      </c>
      <c r="P934" s="7">
        <v>0</v>
      </c>
      <c r="Q934" s="7">
        <v>0</v>
      </c>
      <c r="R934" s="11">
        <v>41803</v>
      </c>
      <c r="S934" s="11">
        <v>41803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11</v>
      </c>
      <c r="M935" s="6">
        <v>2025</v>
      </c>
      <c r="N935" s="7">
        <v>0</v>
      </c>
      <c r="O935" s="7">
        <v>0</v>
      </c>
      <c r="P935" s="7">
        <v>0</v>
      </c>
      <c r="Q935" s="7">
        <v>0</v>
      </c>
      <c r="R935" s="11">
        <v>41803</v>
      </c>
      <c r="S935" s="11">
        <v>41803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0</v>
      </c>
      <c r="M936" s="6">
        <v>2014</v>
      </c>
      <c r="N936" s="7">
        <v>0</v>
      </c>
      <c r="O936" s="7">
        <v>0</v>
      </c>
      <c r="P936" s="7">
        <v>0</v>
      </c>
      <c r="Q936" s="7">
        <v>0</v>
      </c>
      <c r="R936" s="11">
        <v>41803</v>
      </c>
      <c r="S936" s="11">
        <v>41803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7</v>
      </c>
      <c r="M937" s="6">
        <v>2021</v>
      </c>
      <c r="N937" s="7">
        <v>0</v>
      </c>
      <c r="O937" s="7">
        <v>0</v>
      </c>
      <c r="P937" s="7">
        <v>0</v>
      </c>
      <c r="Q937" s="7">
        <v>0</v>
      </c>
      <c r="R937" s="11">
        <v>41803</v>
      </c>
      <c r="S937" s="11">
        <v>41803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4</v>
      </c>
      <c r="M938" s="6">
        <v>2018</v>
      </c>
      <c r="N938" s="7">
        <v>0</v>
      </c>
      <c r="O938" s="7">
        <v>0</v>
      </c>
      <c r="P938" s="7">
        <v>0</v>
      </c>
      <c r="Q938" s="7">
        <v>0</v>
      </c>
      <c r="R938" s="11">
        <v>41803</v>
      </c>
      <c r="S938" s="11">
        <v>41803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2</v>
      </c>
      <c r="M939" s="6">
        <v>2016</v>
      </c>
      <c r="N939" s="7">
        <v>0</v>
      </c>
      <c r="O939" s="7">
        <v>0</v>
      </c>
      <c r="P939" s="7">
        <v>0</v>
      </c>
      <c r="Q939" s="7">
        <v>0</v>
      </c>
      <c r="R939" s="11">
        <v>41803</v>
      </c>
      <c r="S939" s="11">
        <v>41803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10</v>
      </c>
      <c r="M940" s="6">
        <v>2024</v>
      </c>
      <c r="N940" s="7">
        <v>0</v>
      </c>
      <c r="O940" s="7">
        <v>0</v>
      </c>
      <c r="P940" s="7">
        <v>0</v>
      </c>
      <c r="Q940" s="7">
        <v>0</v>
      </c>
      <c r="R940" s="11">
        <v>41803</v>
      </c>
      <c r="S940" s="11">
        <v>41803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11</v>
      </c>
      <c r="M941" s="6">
        <v>2025</v>
      </c>
      <c r="N941" s="7">
        <v>0</v>
      </c>
      <c r="O941" s="7">
        <v>0</v>
      </c>
      <c r="P941" s="7">
        <v>0</v>
      </c>
      <c r="Q941" s="7">
        <v>0</v>
      </c>
      <c r="R941" s="11">
        <v>41803</v>
      </c>
      <c r="S941" s="11">
        <v>41803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3</v>
      </c>
      <c r="M942" s="6">
        <v>2017</v>
      </c>
      <c r="N942" s="7">
        <v>0</v>
      </c>
      <c r="O942" s="7">
        <v>0</v>
      </c>
      <c r="P942" s="7">
        <v>0</v>
      </c>
      <c r="Q942" s="7">
        <v>0</v>
      </c>
      <c r="R942" s="11">
        <v>41803</v>
      </c>
      <c r="S942" s="11">
        <v>41803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7</v>
      </c>
      <c r="M943" s="6">
        <v>2021</v>
      </c>
      <c r="N943" s="7">
        <v>0</v>
      </c>
      <c r="O943" s="7">
        <v>0</v>
      </c>
      <c r="P943" s="7">
        <v>0</v>
      </c>
      <c r="Q943" s="7">
        <v>0</v>
      </c>
      <c r="R943" s="11">
        <v>41803</v>
      </c>
      <c r="S943" s="11">
        <v>41803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1</v>
      </c>
      <c r="M944" s="6">
        <v>2015</v>
      </c>
      <c r="N944" s="7">
        <v>0</v>
      </c>
      <c r="O944" s="7">
        <v>0</v>
      </c>
      <c r="P944" s="7">
        <v>0</v>
      </c>
      <c r="Q944" s="7">
        <v>0</v>
      </c>
      <c r="R944" s="11">
        <v>41803</v>
      </c>
      <c r="S944" s="11">
        <v>41803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5</v>
      </c>
      <c r="M945" s="6">
        <v>2019</v>
      </c>
      <c r="N945" s="7">
        <v>0</v>
      </c>
      <c r="O945" s="7">
        <v>0</v>
      </c>
      <c r="P945" s="7">
        <v>0</v>
      </c>
      <c r="Q945" s="7">
        <v>0</v>
      </c>
      <c r="R945" s="11">
        <v>41803</v>
      </c>
      <c r="S945" s="11">
        <v>41803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8</v>
      </c>
      <c r="M946" s="6">
        <v>2022</v>
      </c>
      <c r="N946" s="7">
        <v>0</v>
      </c>
      <c r="O946" s="7">
        <v>0</v>
      </c>
      <c r="P946" s="7">
        <v>0</v>
      </c>
      <c r="Q946" s="7">
        <v>0</v>
      </c>
      <c r="R946" s="11">
        <v>41803</v>
      </c>
      <c r="S946" s="11">
        <v>41803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4</v>
      </c>
      <c r="M947" s="6">
        <v>2018</v>
      </c>
      <c r="N947" s="7">
        <v>0</v>
      </c>
      <c r="O947" s="7">
        <v>0</v>
      </c>
      <c r="P947" s="7">
        <v>0</v>
      </c>
      <c r="Q947" s="7">
        <v>0</v>
      </c>
      <c r="R947" s="11">
        <v>41803</v>
      </c>
      <c r="S947" s="11">
        <v>41803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0</v>
      </c>
      <c r="M948" s="6">
        <v>2014</v>
      </c>
      <c r="N948" s="7">
        <v>0</v>
      </c>
      <c r="O948" s="7">
        <v>0</v>
      </c>
      <c r="P948" s="7">
        <v>0</v>
      </c>
      <c r="Q948" s="7">
        <v>0</v>
      </c>
      <c r="R948" s="11">
        <v>41803</v>
      </c>
      <c r="S948" s="11">
        <v>41803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2</v>
      </c>
      <c r="M949" s="6">
        <v>2016</v>
      </c>
      <c r="N949" s="7">
        <v>0</v>
      </c>
      <c r="O949" s="7">
        <v>0</v>
      </c>
      <c r="P949" s="7">
        <v>0</v>
      </c>
      <c r="Q949" s="7">
        <v>0</v>
      </c>
      <c r="R949" s="11">
        <v>41803</v>
      </c>
      <c r="S949" s="11">
        <v>41803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12</v>
      </c>
      <c r="M950" s="6">
        <v>2026</v>
      </c>
      <c r="N950" s="7">
        <v>0</v>
      </c>
      <c r="O950" s="7">
        <v>0</v>
      </c>
      <c r="P950" s="7">
        <v>0</v>
      </c>
      <c r="Q950" s="7">
        <v>0</v>
      </c>
      <c r="R950" s="11">
        <v>41803</v>
      </c>
      <c r="S950" s="11">
        <v>41803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6</v>
      </c>
      <c r="M951" s="6">
        <v>2020</v>
      </c>
      <c r="N951" s="7">
        <v>0</v>
      </c>
      <c r="O951" s="7">
        <v>0</v>
      </c>
      <c r="P951" s="7">
        <v>0</v>
      </c>
      <c r="Q951" s="7">
        <v>0</v>
      </c>
      <c r="R951" s="11">
        <v>41803</v>
      </c>
      <c r="S951" s="11">
        <v>41803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9</v>
      </c>
      <c r="M952" s="6">
        <v>2023</v>
      </c>
      <c r="N952" s="7">
        <v>0</v>
      </c>
      <c r="O952" s="7">
        <v>0</v>
      </c>
      <c r="P952" s="7">
        <v>0</v>
      </c>
      <c r="Q952" s="7">
        <v>0</v>
      </c>
      <c r="R952" s="11">
        <v>41803</v>
      </c>
      <c r="S952" s="11">
        <v>41803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3</v>
      </c>
      <c r="M953" s="6">
        <v>2017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41803</v>
      </c>
      <c r="S953" s="11">
        <v>41803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1</v>
      </c>
      <c r="M954" s="6">
        <v>2015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41803</v>
      </c>
      <c r="S954" s="11">
        <v>41803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7</v>
      </c>
      <c r="M955" s="6">
        <v>2021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41803</v>
      </c>
      <c r="S955" s="11">
        <v>41803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8</v>
      </c>
      <c r="M956" s="6">
        <v>2022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41803</v>
      </c>
      <c r="S956" s="11">
        <v>41803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2</v>
      </c>
      <c r="M957" s="6">
        <v>2016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41803</v>
      </c>
      <c r="S957" s="11">
        <v>41803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12</v>
      </c>
      <c r="M958" s="6">
        <v>2026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41803</v>
      </c>
      <c r="S958" s="11">
        <v>41803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4</v>
      </c>
      <c r="M959" s="6">
        <v>2018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41803</v>
      </c>
      <c r="S959" s="11">
        <v>41803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10</v>
      </c>
      <c r="M960" s="6">
        <v>2024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41803</v>
      </c>
      <c r="S960" s="11">
        <v>41803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5</v>
      </c>
      <c r="M961" s="6">
        <v>2019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41803</v>
      </c>
      <c r="S961" s="11">
        <v>41803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11</v>
      </c>
      <c r="M962" s="6">
        <v>2025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41803</v>
      </c>
      <c r="S962" s="11">
        <v>41803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6</v>
      </c>
      <c r="M963" s="6">
        <v>2020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41803</v>
      </c>
      <c r="S963" s="11">
        <v>41803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0</v>
      </c>
      <c r="M964" s="6">
        <v>2014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41803</v>
      </c>
      <c r="S964" s="11">
        <v>41803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9</v>
      </c>
      <c r="M965" s="6">
        <v>2023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41803</v>
      </c>
      <c r="S965" s="11">
        <v>41803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940</v>
      </c>
      <c r="H966" s="10">
        <v>14.4</v>
      </c>
      <c r="I966" s="10"/>
      <c r="J966" s="10" t="s">
        <v>122</v>
      </c>
      <c r="K966" s="10" t="b">
        <v>1</v>
      </c>
      <c r="L966" s="10">
        <v>11</v>
      </c>
      <c r="M966" s="6">
        <v>2025</v>
      </c>
      <c r="N966" s="7">
        <v>0</v>
      </c>
      <c r="O966" s="7">
        <v>0</v>
      </c>
      <c r="P966" s="7">
        <v>0</v>
      </c>
      <c r="Q966" s="7">
        <v>0</v>
      </c>
      <c r="R966" s="11">
        <v>41803</v>
      </c>
      <c r="S966" s="11">
        <v>41803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1</v>
      </c>
      <c r="M967" s="6">
        <v>2015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41803</v>
      </c>
      <c r="S967" s="11">
        <v>41803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9</v>
      </c>
      <c r="M968" s="6">
        <v>2023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41803</v>
      </c>
      <c r="S968" s="11">
        <v>41803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11</v>
      </c>
      <c r="M969" s="6">
        <v>2025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41803</v>
      </c>
      <c r="S969" s="11">
        <v>41803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12</v>
      </c>
      <c r="M970" s="6">
        <v>2026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41803</v>
      </c>
      <c r="S970" s="11">
        <v>41803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8</v>
      </c>
      <c r="M971" s="6">
        <v>2022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41803</v>
      </c>
      <c r="S971" s="11">
        <v>41803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7</v>
      </c>
      <c r="M972" s="6">
        <v>2021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41803</v>
      </c>
      <c r="S972" s="11">
        <v>41803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3</v>
      </c>
      <c r="M973" s="6">
        <v>2017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41803</v>
      </c>
      <c r="S973" s="11">
        <v>41803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10</v>
      </c>
      <c r="M974" s="6">
        <v>2024</v>
      </c>
      <c r="N974" s="7">
        <v>0</v>
      </c>
      <c r="O974" s="7">
        <v>0</v>
      </c>
      <c r="P974" s="7">
        <v>8584595.16</v>
      </c>
      <c r="Q974" s="7">
        <v>7400852.64</v>
      </c>
      <c r="R974" s="11">
        <v>41803</v>
      </c>
      <c r="S974" s="11">
        <v>41803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4</v>
      </c>
      <c r="M975" s="6">
        <v>2018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41803</v>
      </c>
      <c r="S975" s="11">
        <v>41803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2</v>
      </c>
      <c r="M976" s="6">
        <v>2016</v>
      </c>
      <c r="N976" s="7">
        <v>0</v>
      </c>
      <c r="O976" s="7">
        <v>0</v>
      </c>
      <c r="P976" s="7">
        <v>8584595.16</v>
      </c>
      <c r="Q976" s="7">
        <v>7400852.64</v>
      </c>
      <c r="R976" s="11">
        <v>41803</v>
      </c>
      <c r="S976" s="11">
        <v>41803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0</v>
      </c>
      <c r="M977" s="6">
        <v>2014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41803</v>
      </c>
      <c r="S977" s="11">
        <v>41803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6</v>
      </c>
      <c r="M978" s="6">
        <v>2020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41803</v>
      </c>
      <c r="S978" s="11">
        <v>41803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750</v>
      </c>
      <c r="H979" s="10" t="s">
        <v>98</v>
      </c>
      <c r="I979" s="10"/>
      <c r="J979" s="10" t="s">
        <v>99</v>
      </c>
      <c r="K979" s="10" t="b">
        <v>0</v>
      </c>
      <c r="L979" s="10">
        <v>5</v>
      </c>
      <c r="M979" s="6">
        <v>2019</v>
      </c>
      <c r="N979" s="7">
        <v>0</v>
      </c>
      <c r="O979" s="7">
        <v>0</v>
      </c>
      <c r="P979" s="7">
        <v>8584595.16</v>
      </c>
      <c r="Q979" s="7">
        <v>7400852.64</v>
      </c>
      <c r="R979" s="11">
        <v>41803</v>
      </c>
      <c r="S979" s="11">
        <v>41803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7</v>
      </c>
      <c r="M980" s="6">
        <v>2021</v>
      </c>
      <c r="N980" s="7">
        <v>0</v>
      </c>
      <c r="O980" s="7">
        <v>0</v>
      </c>
      <c r="P980" s="7">
        <v>0</v>
      </c>
      <c r="Q980" s="7">
        <v>0</v>
      </c>
      <c r="R980" s="11">
        <v>41803</v>
      </c>
      <c r="S980" s="11">
        <v>41803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4</v>
      </c>
      <c r="M981" s="6">
        <v>2018</v>
      </c>
      <c r="N981" s="7">
        <v>0</v>
      </c>
      <c r="O981" s="7">
        <v>0</v>
      </c>
      <c r="P981" s="7">
        <v>0</v>
      </c>
      <c r="Q981" s="7">
        <v>0</v>
      </c>
      <c r="R981" s="11">
        <v>41803</v>
      </c>
      <c r="S981" s="11">
        <v>41803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9</v>
      </c>
      <c r="M982" s="6">
        <v>2023</v>
      </c>
      <c r="N982" s="7">
        <v>0</v>
      </c>
      <c r="O982" s="7">
        <v>0</v>
      </c>
      <c r="P982" s="7">
        <v>0</v>
      </c>
      <c r="Q982" s="7">
        <v>0</v>
      </c>
      <c r="R982" s="11">
        <v>41803</v>
      </c>
      <c r="S982" s="11">
        <v>41803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2</v>
      </c>
      <c r="M983" s="6">
        <v>2016</v>
      </c>
      <c r="N983" s="7">
        <v>0</v>
      </c>
      <c r="O983" s="7">
        <v>0</v>
      </c>
      <c r="P983" s="7">
        <v>0</v>
      </c>
      <c r="Q983" s="7">
        <v>0</v>
      </c>
      <c r="R983" s="11">
        <v>41803</v>
      </c>
      <c r="S983" s="11">
        <v>41803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11</v>
      </c>
      <c r="M984" s="6">
        <v>2025</v>
      </c>
      <c r="N984" s="7">
        <v>0</v>
      </c>
      <c r="O984" s="7">
        <v>0</v>
      </c>
      <c r="P984" s="7">
        <v>0</v>
      </c>
      <c r="Q984" s="7">
        <v>0</v>
      </c>
      <c r="R984" s="11">
        <v>41803</v>
      </c>
      <c r="S984" s="11">
        <v>41803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10</v>
      </c>
      <c r="M985" s="6">
        <v>2024</v>
      </c>
      <c r="N985" s="7">
        <v>0</v>
      </c>
      <c r="O985" s="7">
        <v>0</v>
      </c>
      <c r="P985" s="7">
        <v>0</v>
      </c>
      <c r="Q985" s="7">
        <v>0</v>
      </c>
      <c r="R985" s="11">
        <v>41803</v>
      </c>
      <c r="S985" s="11">
        <v>41803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8</v>
      </c>
      <c r="M986" s="6">
        <v>2022</v>
      </c>
      <c r="N986" s="7">
        <v>0</v>
      </c>
      <c r="O986" s="7">
        <v>0</v>
      </c>
      <c r="P986" s="7">
        <v>0</v>
      </c>
      <c r="Q986" s="7">
        <v>0</v>
      </c>
      <c r="R986" s="11">
        <v>41803</v>
      </c>
      <c r="S986" s="11">
        <v>41803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0</v>
      </c>
      <c r="M987" s="6">
        <v>2014</v>
      </c>
      <c r="N987" s="7">
        <v>0</v>
      </c>
      <c r="O987" s="7">
        <v>0</v>
      </c>
      <c r="P987" s="7">
        <v>0</v>
      </c>
      <c r="Q987" s="7">
        <v>0</v>
      </c>
      <c r="R987" s="11">
        <v>41803</v>
      </c>
      <c r="S987" s="11">
        <v>41803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6</v>
      </c>
      <c r="M988" s="6">
        <v>2020</v>
      </c>
      <c r="N988" s="7">
        <v>0</v>
      </c>
      <c r="O988" s="7">
        <v>0</v>
      </c>
      <c r="P988" s="7">
        <v>0</v>
      </c>
      <c r="Q988" s="7">
        <v>0</v>
      </c>
      <c r="R988" s="11">
        <v>41803</v>
      </c>
      <c r="S988" s="11">
        <v>41803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12</v>
      </c>
      <c r="M989" s="6">
        <v>2026</v>
      </c>
      <c r="N989" s="7">
        <v>0</v>
      </c>
      <c r="O989" s="7">
        <v>0</v>
      </c>
      <c r="P989" s="7">
        <v>0</v>
      </c>
      <c r="Q989" s="7">
        <v>0</v>
      </c>
      <c r="R989" s="11">
        <v>41803</v>
      </c>
      <c r="S989" s="11">
        <v>41803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5</v>
      </c>
      <c r="M990" s="6">
        <v>2019</v>
      </c>
      <c r="N990" s="7">
        <v>0</v>
      </c>
      <c r="O990" s="7">
        <v>0</v>
      </c>
      <c r="P990" s="7">
        <v>0</v>
      </c>
      <c r="Q990" s="7">
        <v>0</v>
      </c>
      <c r="R990" s="11">
        <v>41803</v>
      </c>
      <c r="S990" s="11">
        <v>41803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3</v>
      </c>
      <c r="M991" s="6">
        <v>2017</v>
      </c>
      <c r="N991" s="7">
        <v>0</v>
      </c>
      <c r="O991" s="7">
        <v>0</v>
      </c>
      <c r="P991" s="7">
        <v>0</v>
      </c>
      <c r="Q991" s="7">
        <v>0</v>
      </c>
      <c r="R991" s="11">
        <v>41803</v>
      </c>
      <c r="S991" s="11">
        <v>41803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150</v>
      </c>
      <c r="H992" s="10" t="s">
        <v>48</v>
      </c>
      <c r="I992" s="10"/>
      <c r="J992" s="10" t="s">
        <v>206</v>
      </c>
      <c r="K992" s="10" t="b">
        <v>1</v>
      </c>
      <c r="L992" s="10">
        <v>1</v>
      </c>
      <c r="M992" s="6">
        <v>2015</v>
      </c>
      <c r="N992" s="7">
        <v>0</v>
      </c>
      <c r="O992" s="7">
        <v>0</v>
      </c>
      <c r="P992" s="7">
        <v>0</v>
      </c>
      <c r="Q992" s="7">
        <v>0</v>
      </c>
      <c r="R992" s="11">
        <v>41803</v>
      </c>
      <c r="S992" s="11">
        <v>41803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5</v>
      </c>
      <c r="M993" s="6">
        <v>2019</v>
      </c>
      <c r="N993" s="7">
        <v>0</v>
      </c>
      <c r="O993" s="7">
        <v>0</v>
      </c>
      <c r="P993" s="7">
        <v>0</v>
      </c>
      <c r="Q993" s="7">
        <v>0</v>
      </c>
      <c r="R993" s="11">
        <v>41803</v>
      </c>
      <c r="S993" s="11">
        <v>41803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3</v>
      </c>
      <c r="M994" s="6">
        <v>2017</v>
      </c>
      <c r="N994" s="7">
        <v>0</v>
      </c>
      <c r="O994" s="7">
        <v>0</v>
      </c>
      <c r="P994" s="7">
        <v>0</v>
      </c>
      <c r="Q994" s="7">
        <v>0</v>
      </c>
      <c r="R994" s="11">
        <v>41803</v>
      </c>
      <c r="S994" s="11">
        <v>41803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7">
        <v>0</v>
      </c>
      <c r="P995" s="7">
        <v>0</v>
      </c>
      <c r="Q995" s="7">
        <v>0</v>
      </c>
      <c r="R995" s="11">
        <v>41803</v>
      </c>
      <c r="S995" s="11">
        <v>41803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4</v>
      </c>
      <c r="M996" s="6">
        <v>2018</v>
      </c>
      <c r="N996" s="7">
        <v>0</v>
      </c>
      <c r="O996" s="7">
        <v>0</v>
      </c>
      <c r="P996" s="7">
        <v>0</v>
      </c>
      <c r="Q996" s="7">
        <v>0</v>
      </c>
      <c r="R996" s="11">
        <v>41803</v>
      </c>
      <c r="S996" s="11">
        <v>41803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2</v>
      </c>
      <c r="M997" s="6">
        <v>2016</v>
      </c>
      <c r="N997" s="7">
        <v>0</v>
      </c>
      <c r="O997" s="7">
        <v>0</v>
      </c>
      <c r="P997" s="7">
        <v>0</v>
      </c>
      <c r="Q997" s="7">
        <v>0</v>
      </c>
      <c r="R997" s="11">
        <v>41803</v>
      </c>
      <c r="S997" s="11">
        <v>41803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10</v>
      </c>
      <c r="M998" s="6">
        <v>2024</v>
      </c>
      <c r="N998" s="7">
        <v>0</v>
      </c>
      <c r="O998" s="7">
        <v>0</v>
      </c>
      <c r="P998" s="7">
        <v>0</v>
      </c>
      <c r="Q998" s="7">
        <v>0</v>
      </c>
      <c r="R998" s="11">
        <v>41803</v>
      </c>
      <c r="S998" s="11">
        <v>41803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9</v>
      </c>
      <c r="M999" s="6">
        <v>2023</v>
      </c>
      <c r="N999" s="7">
        <v>0</v>
      </c>
      <c r="O999" s="7">
        <v>0</v>
      </c>
      <c r="P999" s="7">
        <v>0</v>
      </c>
      <c r="Q999" s="7">
        <v>0</v>
      </c>
      <c r="R999" s="11">
        <v>41803</v>
      </c>
      <c r="S999" s="11">
        <v>41803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1</v>
      </c>
      <c r="M1000" s="6">
        <v>2015</v>
      </c>
      <c r="N1000" s="7">
        <v>0</v>
      </c>
      <c r="O1000" s="7">
        <v>0</v>
      </c>
      <c r="P1000" s="7">
        <v>0</v>
      </c>
      <c r="Q1000" s="7">
        <v>0</v>
      </c>
      <c r="R1000" s="11">
        <v>41803</v>
      </c>
      <c r="S1000" s="11">
        <v>41803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12</v>
      </c>
      <c r="M1001" s="6">
        <v>2026</v>
      </c>
      <c r="N1001" s="7">
        <v>0</v>
      </c>
      <c r="O1001" s="7">
        <v>0</v>
      </c>
      <c r="P1001" s="7">
        <v>0</v>
      </c>
      <c r="Q1001" s="7">
        <v>0</v>
      </c>
      <c r="R1001" s="11">
        <v>41803</v>
      </c>
      <c r="S1001" s="11">
        <v>41803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0</v>
      </c>
      <c r="M1002" s="6">
        <v>2014</v>
      </c>
      <c r="N1002" s="7">
        <v>0</v>
      </c>
      <c r="O1002" s="7">
        <v>0</v>
      </c>
      <c r="P1002" s="7">
        <v>0</v>
      </c>
      <c r="Q1002" s="7">
        <v>0</v>
      </c>
      <c r="R1002" s="11">
        <v>41803</v>
      </c>
      <c r="S1002" s="11">
        <v>41803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7</v>
      </c>
      <c r="M1003" s="6">
        <v>2021</v>
      </c>
      <c r="N1003" s="7">
        <v>0</v>
      </c>
      <c r="O1003" s="7">
        <v>0</v>
      </c>
      <c r="P1003" s="7">
        <v>0</v>
      </c>
      <c r="Q1003" s="7">
        <v>0</v>
      </c>
      <c r="R1003" s="11">
        <v>41803</v>
      </c>
      <c r="S1003" s="11">
        <v>41803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8</v>
      </c>
      <c r="M1004" s="6">
        <v>2022</v>
      </c>
      <c r="N1004" s="7">
        <v>0</v>
      </c>
      <c r="O1004" s="7">
        <v>0</v>
      </c>
      <c r="P1004" s="7">
        <v>0</v>
      </c>
      <c r="Q1004" s="7">
        <v>0</v>
      </c>
      <c r="R1004" s="11">
        <v>41803</v>
      </c>
      <c r="S1004" s="11">
        <v>41803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2</v>
      </c>
      <c r="M1005" s="6">
        <v>2016</v>
      </c>
      <c r="N1005" s="7">
        <v>52814271.08</v>
      </c>
      <c r="O1005" s="7">
        <v>47301107.88</v>
      </c>
      <c r="P1005" s="7">
        <v>47120775.93</v>
      </c>
      <c r="Q1005" s="7">
        <v>46119265.87</v>
      </c>
      <c r="R1005" s="11">
        <v>41803</v>
      </c>
      <c r="S1005" s="11">
        <v>41803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12</v>
      </c>
      <c r="M1006" s="6">
        <v>2026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41803</v>
      </c>
      <c r="S1006" s="11">
        <v>41803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4</v>
      </c>
      <c r="M1007" s="6">
        <v>2018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41803</v>
      </c>
      <c r="S1007" s="11">
        <v>41803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3</v>
      </c>
      <c r="M1008" s="6">
        <v>2017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41803</v>
      </c>
      <c r="S1008" s="11">
        <v>41803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6</v>
      </c>
      <c r="M1009" s="6">
        <v>2020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41803</v>
      </c>
      <c r="S1009" s="11">
        <v>41803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1</v>
      </c>
      <c r="M1010" s="6">
        <v>2015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41803</v>
      </c>
      <c r="S1010" s="11">
        <v>41803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9</v>
      </c>
      <c r="M1011" s="6">
        <v>2023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41803</v>
      </c>
      <c r="S1011" s="11">
        <v>41803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8</v>
      </c>
      <c r="M1012" s="6">
        <v>2022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41803</v>
      </c>
      <c r="S1012" s="11">
        <v>41803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7</v>
      </c>
      <c r="M1013" s="6">
        <v>2021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41803</v>
      </c>
      <c r="S1013" s="11">
        <v>41803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0</v>
      </c>
      <c r="M1014" s="6">
        <v>2014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41803</v>
      </c>
      <c r="S1014" s="11">
        <v>41803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11</v>
      </c>
      <c r="M1015" s="6">
        <v>2025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41803</v>
      </c>
      <c r="S1015" s="11">
        <v>41803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5</v>
      </c>
      <c r="M1016" s="6">
        <v>2019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41803</v>
      </c>
      <c r="S1016" s="11">
        <v>41803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10</v>
      </c>
      <c r="M1017" s="6">
        <v>2024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41803</v>
      </c>
      <c r="S1017" s="11">
        <v>41803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8</v>
      </c>
      <c r="M1018" s="6">
        <v>2022</v>
      </c>
      <c r="N1018" s="7">
        <v>0</v>
      </c>
      <c r="O1018" s="7">
        <v>0</v>
      </c>
      <c r="P1018" s="7">
        <v>0</v>
      </c>
      <c r="Q1018" s="7">
        <v>0</v>
      </c>
      <c r="R1018" s="11">
        <v>41803</v>
      </c>
      <c r="S1018" s="11">
        <v>41803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6</v>
      </c>
      <c r="M1019" s="6">
        <v>2020</v>
      </c>
      <c r="N1019" s="7">
        <v>0</v>
      </c>
      <c r="O1019" s="7">
        <v>0</v>
      </c>
      <c r="P1019" s="7">
        <v>0</v>
      </c>
      <c r="Q1019" s="7">
        <v>0</v>
      </c>
      <c r="R1019" s="11">
        <v>41803</v>
      </c>
      <c r="S1019" s="11">
        <v>41803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12</v>
      </c>
      <c r="M1020" s="6">
        <v>2026</v>
      </c>
      <c r="N1020" s="7">
        <v>0</v>
      </c>
      <c r="O1020" s="7">
        <v>0</v>
      </c>
      <c r="P1020" s="7">
        <v>0</v>
      </c>
      <c r="Q1020" s="7">
        <v>0</v>
      </c>
      <c r="R1020" s="11">
        <v>41803</v>
      </c>
      <c r="S1020" s="11">
        <v>41803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4</v>
      </c>
      <c r="M1021" s="6">
        <v>2018</v>
      </c>
      <c r="N1021" s="7">
        <v>0</v>
      </c>
      <c r="O1021" s="7">
        <v>0</v>
      </c>
      <c r="P1021" s="7">
        <v>0</v>
      </c>
      <c r="Q1021" s="7">
        <v>0</v>
      </c>
      <c r="R1021" s="11">
        <v>41803</v>
      </c>
      <c r="S1021" s="11">
        <v>41803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</v>
      </c>
      <c r="M1022" s="6">
        <v>2015</v>
      </c>
      <c r="N1022" s="7">
        <v>0</v>
      </c>
      <c r="O1022" s="7">
        <v>0</v>
      </c>
      <c r="P1022" s="7">
        <v>0</v>
      </c>
      <c r="Q1022" s="7">
        <v>0</v>
      </c>
      <c r="R1022" s="11">
        <v>41803</v>
      </c>
      <c r="S1022" s="11">
        <v>41803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9</v>
      </c>
      <c r="M1023" s="6">
        <v>2023</v>
      </c>
      <c r="N1023" s="7">
        <v>0</v>
      </c>
      <c r="O1023" s="7">
        <v>0</v>
      </c>
      <c r="P1023" s="7">
        <v>0</v>
      </c>
      <c r="Q1023" s="7">
        <v>0</v>
      </c>
      <c r="R1023" s="11">
        <v>41803</v>
      </c>
      <c r="S1023" s="11">
        <v>41803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7</v>
      </c>
      <c r="M1024" s="6">
        <v>2021</v>
      </c>
      <c r="N1024" s="7">
        <v>0</v>
      </c>
      <c r="O1024" s="7">
        <v>0</v>
      </c>
      <c r="P1024" s="7">
        <v>0</v>
      </c>
      <c r="Q1024" s="7">
        <v>0</v>
      </c>
      <c r="R1024" s="11">
        <v>41803</v>
      </c>
      <c r="S1024" s="11">
        <v>41803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2</v>
      </c>
      <c r="M1025" s="6">
        <v>2016</v>
      </c>
      <c r="N1025" s="7">
        <v>0</v>
      </c>
      <c r="O1025" s="7">
        <v>0</v>
      </c>
      <c r="P1025" s="7">
        <v>0</v>
      </c>
      <c r="Q1025" s="7">
        <v>0</v>
      </c>
      <c r="R1025" s="11">
        <v>41803</v>
      </c>
      <c r="S1025" s="11">
        <v>41803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5</v>
      </c>
      <c r="M1026" s="6">
        <v>2019</v>
      </c>
      <c r="N1026" s="7">
        <v>0</v>
      </c>
      <c r="O1026" s="7">
        <v>0</v>
      </c>
      <c r="P1026" s="7">
        <v>0</v>
      </c>
      <c r="Q1026" s="7">
        <v>0</v>
      </c>
      <c r="R1026" s="11">
        <v>41803</v>
      </c>
      <c r="S1026" s="11">
        <v>41803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0</v>
      </c>
      <c r="M1027" s="6">
        <v>2014</v>
      </c>
      <c r="N1027" s="7">
        <v>0</v>
      </c>
      <c r="O1027" s="7">
        <v>0</v>
      </c>
      <c r="P1027" s="7">
        <v>0</v>
      </c>
      <c r="Q1027" s="7">
        <v>0</v>
      </c>
      <c r="R1027" s="11">
        <v>41803</v>
      </c>
      <c r="S1027" s="11">
        <v>41803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10</v>
      </c>
      <c r="M1028" s="6">
        <v>2024</v>
      </c>
      <c r="N1028" s="7">
        <v>0</v>
      </c>
      <c r="O1028" s="7">
        <v>0</v>
      </c>
      <c r="P1028" s="7">
        <v>0</v>
      </c>
      <c r="Q1028" s="7">
        <v>0</v>
      </c>
      <c r="R1028" s="11">
        <v>41803</v>
      </c>
      <c r="S1028" s="11">
        <v>41803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3</v>
      </c>
      <c r="M1029" s="6">
        <v>2017</v>
      </c>
      <c r="N1029" s="7">
        <v>0</v>
      </c>
      <c r="O1029" s="7">
        <v>0</v>
      </c>
      <c r="P1029" s="7">
        <v>0</v>
      </c>
      <c r="Q1029" s="7">
        <v>0</v>
      </c>
      <c r="R1029" s="11">
        <v>41803</v>
      </c>
      <c r="S1029" s="11">
        <v>41803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11</v>
      </c>
      <c r="M1030" s="6">
        <v>2025</v>
      </c>
      <c r="N1030" s="7">
        <v>0</v>
      </c>
      <c r="O1030" s="7">
        <v>0</v>
      </c>
      <c r="P1030" s="7">
        <v>0</v>
      </c>
      <c r="Q1030" s="7">
        <v>0</v>
      </c>
      <c r="R1030" s="11">
        <v>41803</v>
      </c>
      <c r="S1030" s="11">
        <v>41803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3</v>
      </c>
      <c r="M1031" s="6">
        <v>2017</v>
      </c>
      <c r="N1031" s="7">
        <v>0.0638</v>
      </c>
      <c r="O1031" s="7">
        <v>0.0742</v>
      </c>
      <c r="P1031" s="7">
        <v>0.0749</v>
      </c>
      <c r="Q1031" s="7">
        <v>0.0704</v>
      </c>
      <c r="R1031" s="11">
        <v>41803</v>
      </c>
      <c r="S1031" s="11">
        <v>41803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11</v>
      </c>
      <c r="M1032" s="6">
        <v>2025</v>
      </c>
      <c r="N1032" s="7">
        <v>0.0638</v>
      </c>
      <c r="O1032" s="7">
        <v>0.0742</v>
      </c>
      <c r="P1032" s="7">
        <v>0.0749</v>
      </c>
      <c r="Q1032" s="7">
        <v>0.0704</v>
      </c>
      <c r="R1032" s="11">
        <v>41803</v>
      </c>
      <c r="S1032" s="11">
        <v>41803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2</v>
      </c>
      <c r="M1033" s="6">
        <v>2016</v>
      </c>
      <c r="N1033" s="7">
        <v>0.0638</v>
      </c>
      <c r="O1033" s="7">
        <v>0.0742</v>
      </c>
      <c r="P1033" s="7">
        <v>0.0749</v>
      </c>
      <c r="Q1033" s="7">
        <v>0.0704</v>
      </c>
      <c r="R1033" s="11">
        <v>41803</v>
      </c>
      <c r="S1033" s="11">
        <v>41803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0</v>
      </c>
      <c r="M1034" s="6">
        <v>2014</v>
      </c>
      <c r="N1034" s="7">
        <v>0.0638</v>
      </c>
      <c r="O1034" s="7">
        <v>0.0742</v>
      </c>
      <c r="P1034" s="7">
        <v>0.0749</v>
      </c>
      <c r="Q1034" s="7">
        <v>0.0704</v>
      </c>
      <c r="R1034" s="11">
        <v>41803</v>
      </c>
      <c r="S1034" s="11">
        <v>41803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12</v>
      </c>
      <c r="M1035" s="6">
        <v>2026</v>
      </c>
      <c r="N1035" s="7">
        <v>0.0638</v>
      </c>
      <c r="O1035" s="7">
        <v>0.0742</v>
      </c>
      <c r="P1035" s="7">
        <v>0.0749</v>
      </c>
      <c r="Q1035" s="7">
        <v>0.0704</v>
      </c>
      <c r="R1035" s="11">
        <v>41803</v>
      </c>
      <c r="S1035" s="11">
        <v>41803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7</v>
      </c>
      <c r="M1036" s="6">
        <v>2021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41803</v>
      </c>
      <c r="S1036" s="11">
        <v>41803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8</v>
      </c>
      <c r="M1037" s="6">
        <v>2022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41803</v>
      </c>
      <c r="S1037" s="11">
        <v>41803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4</v>
      </c>
      <c r="M1038" s="6">
        <v>2018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41803</v>
      </c>
      <c r="S1038" s="11">
        <v>41803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6</v>
      </c>
      <c r="M1039" s="6">
        <v>2020</v>
      </c>
      <c r="N1039" s="7">
        <v>0.0638</v>
      </c>
      <c r="O1039" s="7">
        <v>0.0742</v>
      </c>
      <c r="P1039" s="7">
        <v>0.0749</v>
      </c>
      <c r="Q1039" s="7">
        <v>0.0704</v>
      </c>
      <c r="R1039" s="11">
        <v>41803</v>
      </c>
      <c r="S1039" s="11">
        <v>41803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10</v>
      </c>
      <c r="M1040" s="6">
        <v>2024</v>
      </c>
      <c r="N1040" s="7">
        <v>0.0638</v>
      </c>
      <c r="O1040" s="7">
        <v>0.0742</v>
      </c>
      <c r="P1040" s="7">
        <v>0.0749</v>
      </c>
      <c r="Q1040" s="7">
        <v>0.0704</v>
      </c>
      <c r="R1040" s="11">
        <v>41803</v>
      </c>
      <c r="S1040" s="11">
        <v>41803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5</v>
      </c>
      <c r="M1041" s="6">
        <v>2019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41803</v>
      </c>
      <c r="S1041" s="11">
        <v>41803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1</v>
      </c>
      <c r="M1042" s="6">
        <v>2015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41803</v>
      </c>
      <c r="S1042" s="11">
        <v>41803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9</v>
      </c>
      <c r="M1043" s="6">
        <v>2023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41803</v>
      </c>
      <c r="S1043" s="11">
        <v>41803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100</v>
      </c>
      <c r="H1044" s="10" t="s">
        <v>41</v>
      </c>
      <c r="I1044" s="10"/>
      <c r="J1044" s="10" t="s">
        <v>42</v>
      </c>
      <c r="K1044" s="10" t="b">
        <v>1</v>
      </c>
      <c r="L1044" s="10">
        <v>4</v>
      </c>
      <c r="M1044" s="6">
        <v>2018</v>
      </c>
      <c r="N1044" s="7">
        <v>1691206.53</v>
      </c>
      <c r="O1044" s="7">
        <v>3926613</v>
      </c>
      <c r="P1044" s="7">
        <v>6491200</v>
      </c>
      <c r="Q1044" s="7">
        <v>3145613.41</v>
      </c>
      <c r="R1044" s="11">
        <v>41803</v>
      </c>
      <c r="S1044" s="11">
        <v>41803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2</v>
      </c>
      <c r="M1045" s="6">
        <v>2016</v>
      </c>
      <c r="N1045" s="7">
        <v>1691206.53</v>
      </c>
      <c r="O1045" s="7">
        <v>3926613</v>
      </c>
      <c r="P1045" s="7">
        <v>6491200</v>
      </c>
      <c r="Q1045" s="7">
        <v>3145613.41</v>
      </c>
      <c r="R1045" s="11">
        <v>41803</v>
      </c>
      <c r="S1045" s="11">
        <v>41803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0</v>
      </c>
      <c r="M1046" s="6">
        <v>2014</v>
      </c>
      <c r="N1046" s="7">
        <v>1691206.53</v>
      </c>
      <c r="O1046" s="7">
        <v>3926613</v>
      </c>
      <c r="P1046" s="7">
        <v>6491200</v>
      </c>
      <c r="Q1046" s="7">
        <v>3145613.41</v>
      </c>
      <c r="R1046" s="11">
        <v>41803</v>
      </c>
      <c r="S1046" s="11">
        <v>41803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1</v>
      </c>
      <c r="M1047" s="6">
        <v>2015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41803</v>
      </c>
      <c r="S1047" s="11">
        <v>41803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3</v>
      </c>
      <c r="M1048" s="6">
        <v>2017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41803</v>
      </c>
      <c r="S1048" s="11">
        <v>41803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9</v>
      </c>
      <c r="M1049" s="6">
        <v>2023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41803</v>
      </c>
      <c r="S1049" s="11">
        <v>41803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5</v>
      </c>
      <c r="M1050" s="6">
        <v>2019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41803</v>
      </c>
      <c r="S1050" s="11">
        <v>41803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11</v>
      </c>
      <c r="M1051" s="6">
        <v>2025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41803</v>
      </c>
      <c r="S1051" s="11">
        <v>41803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8</v>
      </c>
      <c r="M1052" s="6">
        <v>2022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41803</v>
      </c>
      <c r="S1052" s="11">
        <v>41803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6</v>
      </c>
      <c r="M1053" s="6">
        <v>2020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41803</v>
      </c>
      <c r="S1053" s="11">
        <v>41803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10</v>
      </c>
      <c r="M1054" s="6">
        <v>2024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41803</v>
      </c>
      <c r="S1054" s="11">
        <v>41803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7</v>
      </c>
      <c r="M1055" s="6">
        <v>2021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41803</v>
      </c>
      <c r="S1055" s="11">
        <v>41803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12</v>
      </c>
      <c r="M1056" s="6">
        <v>2026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41803</v>
      </c>
      <c r="S1056" s="11">
        <v>41803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770</v>
      </c>
      <c r="H1057" s="10" t="s">
        <v>256</v>
      </c>
      <c r="I1057" s="10"/>
      <c r="J1057" s="10" t="s">
        <v>247</v>
      </c>
      <c r="K1057" s="10" t="b">
        <v>1</v>
      </c>
      <c r="L1057" s="10">
        <v>11</v>
      </c>
      <c r="M1057" s="6">
        <v>2025</v>
      </c>
      <c r="N1057" s="7">
        <v>0</v>
      </c>
      <c r="O1057" s="7">
        <v>0</v>
      </c>
      <c r="P1057" s="7">
        <v>0</v>
      </c>
      <c r="Q1057" s="7">
        <v>0</v>
      </c>
      <c r="R1057" s="11">
        <v>41803</v>
      </c>
      <c r="S1057" s="11">
        <v>41803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2</v>
      </c>
      <c r="M1058" s="6">
        <v>2016</v>
      </c>
      <c r="N1058" s="7">
        <v>0</v>
      </c>
      <c r="O1058" s="7">
        <v>0</v>
      </c>
      <c r="P1058" s="7">
        <v>0</v>
      </c>
      <c r="Q1058" s="7">
        <v>0</v>
      </c>
      <c r="R1058" s="11">
        <v>41803</v>
      </c>
      <c r="S1058" s="11">
        <v>41803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</v>
      </c>
      <c r="M1059" s="6">
        <v>2015</v>
      </c>
      <c r="N1059" s="7">
        <v>0</v>
      </c>
      <c r="O1059" s="7">
        <v>0</v>
      </c>
      <c r="P1059" s="7">
        <v>0</v>
      </c>
      <c r="Q1059" s="7">
        <v>0</v>
      </c>
      <c r="R1059" s="11">
        <v>41803</v>
      </c>
      <c r="S1059" s="11">
        <v>41803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7</v>
      </c>
      <c r="M1060" s="6">
        <v>2021</v>
      </c>
      <c r="N1060" s="7">
        <v>0</v>
      </c>
      <c r="O1060" s="7">
        <v>0</v>
      </c>
      <c r="P1060" s="7">
        <v>0</v>
      </c>
      <c r="Q1060" s="7">
        <v>0</v>
      </c>
      <c r="R1060" s="11">
        <v>41803</v>
      </c>
      <c r="S1060" s="11">
        <v>41803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8</v>
      </c>
      <c r="M1061" s="6">
        <v>2022</v>
      </c>
      <c r="N1061" s="7">
        <v>0</v>
      </c>
      <c r="O1061" s="7">
        <v>0</v>
      </c>
      <c r="P1061" s="7">
        <v>0</v>
      </c>
      <c r="Q1061" s="7">
        <v>0</v>
      </c>
      <c r="R1061" s="11">
        <v>41803</v>
      </c>
      <c r="S1061" s="11">
        <v>41803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6</v>
      </c>
      <c r="M1062" s="6">
        <v>2020</v>
      </c>
      <c r="N1062" s="7">
        <v>0</v>
      </c>
      <c r="O1062" s="7">
        <v>0</v>
      </c>
      <c r="P1062" s="7">
        <v>0</v>
      </c>
      <c r="Q1062" s="7">
        <v>0</v>
      </c>
      <c r="R1062" s="11">
        <v>41803</v>
      </c>
      <c r="S1062" s="11">
        <v>41803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4</v>
      </c>
      <c r="M1063" s="6">
        <v>2018</v>
      </c>
      <c r="N1063" s="7">
        <v>0</v>
      </c>
      <c r="O1063" s="7">
        <v>0</v>
      </c>
      <c r="P1063" s="7">
        <v>0</v>
      </c>
      <c r="Q1063" s="7">
        <v>0</v>
      </c>
      <c r="R1063" s="11">
        <v>41803</v>
      </c>
      <c r="S1063" s="11">
        <v>41803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9</v>
      </c>
      <c r="M1064" s="6">
        <v>2023</v>
      </c>
      <c r="N1064" s="7">
        <v>0</v>
      </c>
      <c r="O1064" s="7">
        <v>0</v>
      </c>
      <c r="P1064" s="7">
        <v>0</v>
      </c>
      <c r="Q1064" s="7">
        <v>0</v>
      </c>
      <c r="R1064" s="11">
        <v>41803</v>
      </c>
      <c r="S1064" s="11">
        <v>41803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5</v>
      </c>
      <c r="M1065" s="6">
        <v>2019</v>
      </c>
      <c r="N1065" s="7">
        <v>0</v>
      </c>
      <c r="O1065" s="7">
        <v>0</v>
      </c>
      <c r="P1065" s="7">
        <v>0</v>
      </c>
      <c r="Q1065" s="7">
        <v>0</v>
      </c>
      <c r="R1065" s="11">
        <v>41803</v>
      </c>
      <c r="S1065" s="11">
        <v>41803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10</v>
      </c>
      <c r="M1066" s="6">
        <v>2024</v>
      </c>
      <c r="N1066" s="7">
        <v>0</v>
      </c>
      <c r="O1066" s="7">
        <v>0</v>
      </c>
      <c r="P1066" s="7">
        <v>0</v>
      </c>
      <c r="Q1066" s="7">
        <v>0</v>
      </c>
      <c r="R1066" s="11">
        <v>41803</v>
      </c>
      <c r="S1066" s="11">
        <v>41803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3</v>
      </c>
      <c r="M1067" s="6">
        <v>2017</v>
      </c>
      <c r="N1067" s="7">
        <v>0</v>
      </c>
      <c r="O1067" s="7">
        <v>0</v>
      </c>
      <c r="P1067" s="7">
        <v>0</v>
      </c>
      <c r="Q1067" s="7">
        <v>0</v>
      </c>
      <c r="R1067" s="11">
        <v>41803</v>
      </c>
      <c r="S1067" s="11">
        <v>41803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0</v>
      </c>
      <c r="M1068" s="6">
        <v>2014</v>
      </c>
      <c r="N1068" s="7">
        <v>0</v>
      </c>
      <c r="O1068" s="7">
        <v>0</v>
      </c>
      <c r="P1068" s="7">
        <v>0</v>
      </c>
      <c r="Q1068" s="7">
        <v>0</v>
      </c>
      <c r="R1068" s="11">
        <v>41803</v>
      </c>
      <c r="S1068" s="11">
        <v>41803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12</v>
      </c>
      <c r="M1069" s="6">
        <v>2026</v>
      </c>
      <c r="N1069" s="7">
        <v>0</v>
      </c>
      <c r="O1069" s="7">
        <v>0</v>
      </c>
      <c r="P1069" s="7">
        <v>0</v>
      </c>
      <c r="Q1069" s="7">
        <v>0</v>
      </c>
      <c r="R1069" s="11">
        <v>41803</v>
      </c>
      <c r="S1069" s="11">
        <v>41803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11</v>
      </c>
      <c r="M1070" s="6">
        <v>2025</v>
      </c>
      <c r="N1070" s="7">
        <v>0</v>
      </c>
      <c r="O1070" s="7">
        <v>0</v>
      </c>
      <c r="P1070" s="7">
        <v>0</v>
      </c>
      <c r="Q1070" s="7">
        <v>0</v>
      </c>
      <c r="R1070" s="11">
        <v>41803</v>
      </c>
      <c r="S1070" s="11">
        <v>41803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7</v>
      </c>
      <c r="M1071" s="6">
        <v>2021</v>
      </c>
      <c r="N1071" s="7">
        <v>0</v>
      </c>
      <c r="O1071" s="7">
        <v>0</v>
      </c>
      <c r="P1071" s="7">
        <v>0</v>
      </c>
      <c r="Q1071" s="7">
        <v>0</v>
      </c>
      <c r="R1071" s="11">
        <v>41803</v>
      </c>
      <c r="S1071" s="11">
        <v>41803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9</v>
      </c>
      <c r="M1072" s="6">
        <v>2023</v>
      </c>
      <c r="N1072" s="7">
        <v>0</v>
      </c>
      <c r="O1072" s="7">
        <v>0</v>
      </c>
      <c r="P1072" s="7">
        <v>0</v>
      </c>
      <c r="Q1072" s="7">
        <v>0</v>
      </c>
      <c r="R1072" s="11">
        <v>41803</v>
      </c>
      <c r="S1072" s="11">
        <v>41803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0</v>
      </c>
      <c r="M1073" s="6">
        <v>2014</v>
      </c>
      <c r="N1073" s="7">
        <v>0</v>
      </c>
      <c r="O1073" s="7">
        <v>0</v>
      </c>
      <c r="P1073" s="7">
        <v>0</v>
      </c>
      <c r="Q1073" s="7">
        <v>0</v>
      </c>
      <c r="R1073" s="11">
        <v>41803</v>
      </c>
      <c r="S1073" s="11">
        <v>41803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3</v>
      </c>
      <c r="M1074" s="6">
        <v>2017</v>
      </c>
      <c r="N1074" s="7">
        <v>0</v>
      </c>
      <c r="O1074" s="7">
        <v>0</v>
      </c>
      <c r="P1074" s="7">
        <v>0</v>
      </c>
      <c r="Q1074" s="7">
        <v>0</v>
      </c>
      <c r="R1074" s="11">
        <v>41803</v>
      </c>
      <c r="S1074" s="11">
        <v>41803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5</v>
      </c>
      <c r="M1075" s="6">
        <v>2019</v>
      </c>
      <c r="N1075" s="7">
        <v>0</v>
      </c>
      <c r="O1075" s="7">
        <v>0</v>
      </c>
      <c r="P1075" s="7">
        <v>0</v>
      </c>
      <c r="Q1075" s="7">
        <v>0</v>
      </c>
      <c r="R1075" s="11">
        <v>41803</v>
      </c>
      <c r="S1075" s="11">
        <v>41803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8</v>
      </c>
      <c r="M1076" s="6">
        <v>2022</v>
      </c>
      <c r="N1076" s="7">
        <v>0</v>
      </c>
      <c r="O1076" s="7">
        <v>0</v>
      </c>
      <c r="P1076" s="7">
        <v>0</v>
      </c>
      <c r="Q1076" s="7">
        <v>0</v>
      </c>
      <c r="R1076" s="11">
        <v>41803</v>
      </c>
      <c r="S1076" s="11">
        <v>41803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1</v>
      </c>
      <c r="M1077" s="6">
        <v>2015</v>
      </c>
      <c r="N1077" s="7">
        <v>0</v>
      </c>
      <c r="O1077" s="7">
        <v>0</v>
      </c>
      <c r="P1077" s="7">
        <v>0</v>
      </c>
      <c r="Q1077" s="7">
        <v>0</v>
      </c>
      <c r="R1077" s="11">
        <v>41803</v>
      </c>
      <c r="S1077" s="11">
        <v>41803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6</v>
      </c>
      <c r="M1078" s="6">
        <v>2020</v>
      </c>
      <c r="N1078" s="7">
        <v>0</v>
      </c>
      <c r="O1078" s="7">
        <v>0</v>
      </c>
      <c r="P1078" s="7">
        <v>0</v>
      </c>
      <c r="Q1078" s="7">
        <v>0</v>
      </c>
      <c r="R1078" s="11">
        <v>41803</v>
      </c>
      <c r="S1078" s="11">
        <v>41803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2</v>
      </c>
      <c r="M1079" s="6">
        <v>2016</v>
      </c>
      <c r="N1079" s="7">
        <v>0</v>
      </c>
      <c r="O1079" s="7">
        <v>0</v>
      </c>
      <c r="P1079" s="7">
        <v>0</v>
      </c>
      <c r="Q1079" s="7">
        <v>0</v>
      </c>
      <c r="R1079" s="11">
        <v>41803</v>
      </c>
      <c r="S1079" s="11">
        <v>41803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10</v>
      </c>
      <c r="M1080" s="6">
        <v>2024</v>
      </c>
      <c r="N1080" s="7">
        <v>0</v>
      </c>
      <c r="O1080" s="7">
        <v>0</v>
      </c>
      <c r="P1080" s="7">
        <v>0</v>
      </c>
      <c r="Q1080" s="7">
        <v>0</v>
      </c>
      <c r="R1080" s="11">
        <v>41803</v>
      </c>
      <c r="S1080" s="11">
        <v>41803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4</v>
      </c>
      <c r="M1081" s="6">
        <v>2018</v>
      </c>
      <c r="N1081" s="7">
        <v>0</v>
      </c>
      <c r="O1081" s="7">
        <v>0</v>
      </c>
      <c r="P1081" s="7">
        <v>0</v>
      </c>
      <c r="Q1081" s="7">
        <v>0</v>
      </c>
      <c r="R1081" s="11">
        <v>41803</v>
      </c>
      <c r="S1081" s="11">
        <v>41803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12</v>
      </c>
      <c r="M1082" s="6">
        <v>2026</v>
      </c>
      <c r="N1082" s="7">
        <v>0</v>
      </c>
      <c r="O1082" s="7">
        <v>0</v>
      </c>
      <c r="P1082" s="7">
        <v>0</v>
      </c>
      <c r="Q1082" s="7">
        <v>0</v>
      </c>
      <c r="R1082" s="11">
        <v>41803</v>
      </c>
      <c r="S1082" s="11">
        <v>41803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8</v>
      </c>
      <c r="M1083" s="6">
        <v>2022</v>
      </c>
      <c r="N1083" s="7">
        <v>0</v>
      </c>
      <c r="O1083" s="7">
        <v>0</v>
      </c>
      <c r="P1083" s="7">
        <v>0</v>
      </c>
      <c r="Q1083" s="7">
        <v>0</v>
      </c>
      <c r="R1083" s="11">
        <v>41803</v>
      </c>
      <c r="S1083" s="11">
        <v>41803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0</v>
      </c>
      <c r="M1084" s="6">
        <v>2014</v>
      </c>
      <c r="N1084" s="7">
        <v>0</v>
      </c>
      <c r="O1084" s="7">
        <v>0</v>
      </c>
      <c r="P1084" s="7">
        <v>0</v>
      </c>
      <c r="Q1084" s="7">
        <v>0</v>
      </c>
      <c r="R1084" s="11">
        <v>41803</v>
      </c>
      <c r="S1084" s="11">
        <v>41803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6</v>
      </c>
      <c r="M1085" s="6">
        <v>2020</v>
      </c>
      <c r="N1085" s="7">
        <v>0</v>
      </c>
      <c r="O1085" s="7">
        <v>0</v>
      </c>
      <c r="P1085" s="7">
        <v>0</v>
      </c>
      <c r="Q1085" s="7">
        <v>0</v>
      </c>
      <c r="R1085" s="11">
        <v>41803</v>
      </c>
      <c r="S1085" s="11">
        <v>41803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7</v>
      </c>
      <c r="M1086" s="6">
        <v>2021</v>
      </c>
      <c r="N1086" s="7">
        <v>0</v>
      </c>
      <c r="O1086" s="7">
        <v>0</v>
      </c>
      <c r="P1086" s="7">
        <v>0</v>
      </c>
      <c r="Q1086" s="7">
        <v>0</v>
      </c>
      <c r="R1086" s="11">
        <v>41803</v>
      </c>
      <c r="S1086" s="11">
        <v>41803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4</v>
      </c>
      <c r="M1087" s="6">
        <v>2018</v>
      </c>
      <c r="N1087" s="7">
        <v>0</v>
      </c>
      <c r="O1087" s="7">
        <v>0</v>
      </c>
      <c r="P1087" s="7">
        <v>0</v>
      </c>
      <c r="Q1087" s="7">
        <v>0</v>
      </c>
      <c r="R1087" s="11">
        <v>41803</v>
      </c>
      <c r="S1087" s="11">
        <v>41803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3</v>
      </c>
      <c r="M1088" s="6">
        <v>2017</v>
      </c>
      <c r="N1088" s="7">
        <v>0</v>
      </c>
      <c r="O1088" s="7">
        <v>0</v>
      </c>
      <c r="P1088" s="7">
        <v>0</v>
      </c>
      <c r="Q1088" s="7">
        <v>0</v>
      </c>
      <c r="R1088" s="11">
        <v>41803</v>
      </c>
      <c r="S1088" s="11">
        <v>41803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5</v>
      </c>
      <c r="M1089" s="6">
        <v>2019</v>
      </c>
      <c r="N1089" s="7">
        <v>0</v>
      </c>
      <c r="O1089" s="7">
        <v>0</v>
      </c>
      <c r="P1089" s="7">
        <v>0</v>
      </c>
      <c r="Q1089" s="7">
        <v>0</v>
      </c>
      <c r="R1089" s="11">
        <v>41803</v>
      </c>
      <c r="S1089" s="11">
        <v>41803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2</v>
      </c>
      <c r="M1090" s="6">
        <v>2016</v>
      </c>
      <c r="N1090" s="7">
        <v>0</v>
      </c>
      <c r="O1090" s="7">
        <v>0</v>
      </c>
      <c r="P1090" s="7">
        <v>0</v>
      </c>
      <c r="Q1090" s="7">
        <v>0</v>
      </c>
      <c r="R1090" s="11">
        <v>41803</v>
      </c>
      <c r="S1090" s="11">
        <v>41803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9</v>
      </c>
      <c r="M1091" s="6">
        <v>2023</v>
      </c>
      <c r="N1091" s="7">
        <v>0</v>
      </c>
      <c r="O1091" s="7">
        <v>0</v>
      </c>
      <c r="P1091" s="7">
        <v>0</v>
      </c>
      <c r="Q1091" s="7">
        <v>0</v>
      </c>
      <c r="R1091" s="11">
        <v>41803</v>
      </c>
      <c r="S1091" s="11">
        <v>41803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12</v>
      </c>
      <c r="M1092" s="6">
        <v>2026</v>
      </c>
      <c r="N1092" s="7">
        <v>0</v>
      </c>
      <c r="O1092" s="7">
        <v>0</v>
      </c>
      <c r="P1092" s="7">
        <v>0</v>
      </c>
      <c r="Q1092" s="7">
        <v>0</v>
      </c>
      <c r="R1092" s="11">
        <v>41803</v>
      </c>
      <c r="S1092" s="11">
        <v>41803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10</v>
      </c>
      <c r="M1093" s="6">
        <v>2024</v>
      </c>
      <c r="N1093" s="7">
        <v>0</v>
      </c>
      <c r="O1093" s="7">
        <v>0</v>
      </c>
      <c r="P1093" s="7">
        <v>0</v>
      </c>
      <c r="Q1093" s="7">
        <v>0</v>
      </c>
      <c r="R1093" s="11">
        <v>41803</v>
      </c>
      <c r="S1093" s="11">
        <v>41803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11</v>
      </c>
      <c r="M1094" s="6">
        <v>2025</v>
      </c>
      <c r="N1094" s="7">
        <v>0</v>
      </c>
      <c r="O1094" s="7">
        <v>0</v>
      </c>
      <c r="P1094" s="7">
        <v>0</v>
      </c>
      <c r="Q1094" s="7">
        <v>0</v>
      </c>
      <c r="R1094" s="11">
        <v>41803</v>
      </c>
      <c r="S1094" s="11">
        <v>41803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1</v>
      </c>
      <c r="M1095" s="6">
        <v>2015</v>
      </c>
      <c r="N1095" s="7">
        <v>0</v>
      </c>
      <c r="O1095" s="7">
        <v>0</v>
      </c>
      <c r="P1095" s="7">
        <v>0</v>
      </c>
      <c r="Q1095" s="7">
        <v>0</v>
      </c>
      <c r="R1095" s="11">
        <v>41803</v>
      </c>
      <c r="S1095" s="11">
        <v>41803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6</v>
      </c>
      <c r="M1096" s="6">
        <v>2020</v>
      </c>
      <c r="N1096" s="7">
        <v>0</v>
      </c>
      <c r="O1096" s="7">
        <v>0</v>
      </c>
      <c r="P1096" s="7">
        <v>0</v>
      </c>
      <c r="Q1096" s="7">
        <v>0</v>
      </c>
      <c r="R1096" s="11">
        <v>41803</v>
      </c>
      <c r="S1096" s="11">
        <v>41803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1</v>
      </c>
      <c r="M1097" s="6">
        <v>2015</v>
      </c>
      <c r="N1097" s="7">
        <v>0</v>
      </c>
      <c r="O1097" s="7">
        <v>0</v>
      </c>
      <c r="P1097" s="7">
        <v>0</v>
      </c>
      <c r="Q1097" s="7">
        <v>0</v>
      </c>
      <c r="R1097" s="11">
        <v>41803</v>
      </c>
      <c r="S1097" s="11">
        <v>41803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11</v>
      </c>
      <c r="M1098" s="6">
        <v>2025</v>
      </c>
      <c r="N1098" s="7">
        <v>0</v>
      </c>
      <c r="O1098" s="7">
        <v>0</v>
      </c>
      <c r="P1098" s="7">
        <v>0</v>
      </c>
      <c r="Q1098" s="7">
        <v>0</v>
      </c>
      <c r="R1098" s="11">
        <v>41803</v>
      </c>
      <c r="S1098" s="11">
        <v>41803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0</v>
      </c>
      <c r="M1099" s="6">
        <v>2014</v>
      </c>
      <c r="N1099" s="7">
        <v>0</v>
      </c>
      <c r="O1099" s="7">
        <v>0</v>
      </c>
      <c r="P1099" s="7">
        <v>0</v>
      </c>
      <c r="Q1099" s="7">
        <v>0</v>
      </c>
      <c r="R1099" s="11">
        <v>41803</v>
      </c>
      <c r="S1099" s="11">
        <v>41803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5</v>
      </c>
      <c r="M1100" s="6">
        <v>2019</v>
      </c>
      <c r="N1100" s="7">
        <v>0</v>
      </c>
      <c r="O1100" s="7">
        <v>0</v>
      </c>
      <c r="P1100" s="7">
        <v>0</v>
      </c>
      <c r="Q1100" s="7">
        <v>0</v>
      </c>
      <c r="R1100" s="11">
        <v>41803</v>
      </c>
      <c r="S1100" s="11">
        <v>41803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8</v>
      </c>
      <c r="M1101" s="6">
        <v>2022</v>
      </c>
      <c r="N1101" s="7">
        <v>0</v>
      </c>
      <c r="O1101" s="7">
        <v>0</v>
      </c>
      <c r="P1101" s="7">
        <v>0</v>
      </c>
      <c r="Q1101" s="7">
        <v>0</v>
      </c>
      <c r="R1101" s="11">
        <v>41803</v>
      </c>
      <c r="S1101" s="11">
        <v>41803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3</v>
      </c>
      <c r="M1102" s="6">
        <v>2017</v>
      </c>
      <c r="N1102" s="7">
        <v>0</v>
      </c>
      <c r="O1102" s="7">
        <v>0</v>
      </c>
      <c r="P1102" s="7">
        <v>0</v>
      </c>
      <c r="Q1102" s="7">
        <v>0</v>
      </c>
      <c r="R1102" s="11">
        <v>41803</v>
      </c>
      <c r="S1102" s="11">
        <v>41803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10</v>
      </c>
      <c r="M1103" s="6">
        <v>2024</v>
      </c>
      <c r="N1103" s="7">
        <v>0</v>
      </c>
      <c r="O1103" s="7">
        <v>0</v>
      </c>
      <c r="P1103" s="7">
        <v>0</v>
      </c>
      <c r="Q1103" s="7">
        <v>0</v>
      </c>
      <c r="R1103" s="11">
        <v>41803</v>
      </c>
      <c r="S1103" s="11">
        <v>41803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9</v>
      </c>
      <c r="M1104" s="6">
        <v>2023</v>
      </c>
      <c r="N1104" s="7">
        <v>0</v>
      </c>
      <c r="O1104" s="7">
        <v>0</v>
      </c>
      <c r="P1104" s="7">
        <v>0</v>
      </c>
      <c r="Q1104" s="7">
        <v>0</v>
      </c>
      <c r="R1104" s="11">
        <v>41803</v>
      </c>
      <c r="S1104" s="11">
        <v>41803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4</v>
      </c>
      <c r="M1105" s="6">
        <v>2018</v>
      </c>
      <c r="N1105" s="7">
        <v>0</v>
      </c>
      <c r="O1105" s="7">
        <v>0</v>
      </c>
      <c r="P1105" s="7">
        <v>0</v>
      </c>
      <c r="Q1105" s="7">
        <v>0</v>
      </c>
      <c r="R1105" s="11">
        <v>41803</v>
      </c>
      <c r="S1105" s="11">
        <v>41803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2</v>
      </c>
      <c r="M1106" s="6">
        <v>2016</v>
      </c>
      <c r="N1106" s="7">
        <v>0</v>
      </c>
      <c r="O1106" s="7">
        <v>0</v>
      </c>
      <c r="P1106" s="7">
        <v>0</v>
      </c>
      <c r="Q1106" s="7">
        <v>0</v>
      </c>
      <c r="R1106" s="11">
        <v>41803</v>
      </c>
      <c r="S1106" s="11">
        <v>41803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12</v>
      </c>
      <c r="M1107" s="6">
        <v>2026</v>
      </c>
      <c r="N1107" s="7">
        <v>0</v>
      </c>
      <c r="O1107" s="7">
        <v>0</v>
      </c>
      <c r="P1107" s="7">
        <v>0</v>
      </c>
      <c r="Q1107" s="7">
        <v>0</v>
      </c>
      <c r="R1107" s="11">
        <v>41803</v>
      </c>
      <c r="S1107" s="11">
        <v>41803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7</v>
      </c>
      <c r="M1108" s="6">
        <v>2021</v>
      </c>
      <c r="N1108" s="7">
        <v>0</v>
      </c>
      <c r="O1108" s="7">
        <v>0</v>
      </c>
      <c r="P1108" s="7">
        <v>0</v>
      </c>
      <c r="Q1108" s="7">
        <v>0</v>
      </c>
      <c r="R1108" s="11">
        <v>41803</v>
      </c>
      <c r="S1108" s="11">
        <v>41803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12</v>
      </c>
      <c r="M1109" s="6">
        <v>2026</v>
      </c>
      <c r="N1109" s="7">
        <v>0</v>
      </c>
      <c r="O1109" s="7">
        <v>0</v>
      </c>
      <c r="P1109" s="7">
        <v>0</v>
      </c>
      <c r="Q1109" s="7">
        <v>0</v>
      </c>
      <c r="R1109" s="11">
        <v>41803</v>
      </c>
      <c r="S1109" s="11">
        <v>41803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0</v>
      </c>
      <c r="O1110" s="7">
        <v>0</v>
      </c>
      <c r="P1110" s="7">
        <v>0</v>
      </c>
      <c r="Q1110" s="7">
        <v>0</v>
      </c>
      <c r="R1110" s="11">
        <v>41803</v>
      </c>
      <c r="S1110" s="11">
        <v>41803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8</v>
      </c>
      <c r="M1111" s="6">
        <v>2022</v>
      </c>
      <c r="N1111" s="7">
        <v>0</v>
      </c>
      <c r="O1111" s="7">
        <v>0</v>
      </c>
      <c r="P1111" s="7">
        <v>0</v>
      </c>
      <c r="Q1111" s="7">
        <v>0</v>
      </c>
      <c r="R1111" s="11">
        <v>41803</v>
      </c>
      <c r="S1111" s="11">
        <v>41803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3</v>
      </c>
      <c r="M1112" s="6">
        <v>2017</v>
      </c>
      <c r="N1112" s="7">
        <v>0</v>
      </c>
      <c r="O1112" s="7">
        <v>0</v>
      </c>
      <c r="P1112" s="7">
        <v>0</v>
      </c>
      <c r="Q1112" s="7">
        <v>0</v>
      </c>
      <c r="R1112" s="11">
        <v>41803</v>
      </c>
      <c r="S1112" s="11">
        <v>41803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1</v>
      </c>
      <c r="M1113" s="6">
        <v>2015</v>
      </c>
      <c r="N1113" s="7">
        <v>0</v>
      </c>
      <c r="O1113" s="7">
        <v>0</v>
      </c>
      <c r="P1113" s="7">
        <v>0</v>
      </c>
      <c r="Q1113" s="7">
        <v>0</v>
      </c>
      <c r="R1113" s="11">
        <v>41803</v>
      </c>
      <c r="S1113" s="11">
        <v>41803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10</v>
      </c>
      <c r="M1114" s="6">
        <v>2024</v>
      </c>
      <c r="N1114" s="7">
        <v>0</v>
      </c>
      <c r="O1114" s="7">
        <v>0</v>
      </c>
      <c r="P1114" s="7">
        <v>0</v>
      </c>
      <c r="Q1114" s="7">
        <v>0</v>
      </c>
      <c r="R1114" s="11">
        <v>41803</v>
      </c>
      <c r="S1114" s="11">
        <v>41803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2</v>
      </c>
      <c r="M1115" s="6">
        <v>2016</v>
      </c>
      <c r="N1115" s="7">
        <v>0</v>
      </c>
      <c r="O1115" s="7">
        <v>0</v>
      </c>
      <c r="P1115" s="7">
        <v>0</v>
      </c>
      <c r="Q1115" s="7">
        <v>0</v>
      </c>
      <c r="R1115" s="11">
        <v>41803</v>
      </c>
      <c r="S1115" s="11">
        <v>41803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0</v>
      </c>
      <c r="M1116" s="6">
        <v>2014</v>
      </c>
      <c r="N1116" s="7">
        <v>0</v>
      </c>
      <c r="O1116" s="7">
        <v>0</v>
      </c>
      <c r="P1116" s="7">
        <v>0</v>
      </c>
      <c r="Q1116" s="7">
        <v>0</v>
      </c>
      <c r="R1116" s="11">
        <v>41803</v>
      </c>
      <c r="S1116" s="11">
        <v>41803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4</v>
      </c>
      <c r="M1117" s="6">
        <v>2018</v>
      </c>
      <c r="N1117" s="7">
        <v>0</v>
      </c>
      <c r="O1117" s="7">
        <v>0</v>
      </c>
      <c r="P1117" s="7">
        <v>0</v>
      </c>
      <c r="Q1117" s="7">
        <v>0</v>
      </c>
      <c r="R1117" s="11">
        <v>41803</v>
      </c>
      <c r="S1117" s="11">
        <v>41803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7</v>
      </c>
      <c r="M1118" s="6">
        <v>2021</v>
      </c>
      <c r="N1118" s="7">
        <v>0</v>
      </c>
      <c r="O1118" s="7">
        <v>0</v>
      </c>
      <c r="P1118" s="7">
        <v>0</v>
      </c>
      <c r="Q1118" s="7">
        <v>0</v>
      </c>
      <c r="R1118" s="11">
        <v>41803</v>
      </c>
      <c r="S1118" s="11">
        <v>41803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9</v>
      </c>
      <c r="M1119" s="6">
        <v>2023</v>
      </c>
      <c r="N1119" s="7">
        <v>0</v>
      </c>
      <c r="O1119" s="7">
        <v>0</v>
      </c>
      <c r="P1119" s="7">
        <v>0</v>
      </c>
      <c r="Q1119" s="7">
        <v>0</v>
      </c>
      <c r="R1119" s="11">
        <v>41803</v>
      </c>
      <c r="S1119" s="11">
        <v>41803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5</v>
      </c>
      <c r="M1120" s="6">
        <v>2019</v>
      </c>
      <c r="N1120" s="7">
        <v>0</v>
      </c>
      <c r="O1120" s="7">
        <v>0</v>
      </c>
      <c r="P1120" s="7">
        <v>0</v>
      </c>
      <c r="Q1120" s="7">
        <v>0</v>
      </c>
      <c r="R1120" s="11">
        <v>41803</v>
      </c>
      <c r="S1120" s="11">
        <v>41803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6</v>
      </c>
      <c r="M1121" s="6">
        <v>2020</v>
      </c>
      <c r="N1121" s="7">
        <v>0</v>
      </c>
      <c r="O1121" s="7">
        <v>0</v>
      </c>
      <c r="P1121" s="7">
        <v>0</v>
      </c>
      <c r="Q1121" s="7">
        <v>0</v>
      </c>
      <c r="R1121" s="11">
        <v>41803</v>
      </c>
      <c r="S1121" s="11">
        <v>41803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2</v>
      </c>
      <c r="M1122" s="6">
        <v>2016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41803</v>
      </c>
      <c r="S1122" s="11">
        <v>41803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8</v>
      </c>
      <c r="M1123" s="6">
        <v>2022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41803</v>
      </c>
      <c r="S1123" s="11">
        <v>41803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1</v>
      </c>
      <c r="M1124" s="6">
        <v>2015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41803</v>
      </c>
      <c r="S1124" s="11">
        <v>41803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11</v>
      </c>
      <c r="M1125" s="6">
        <v>2025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41803</v>
      </c>
      <c r="S1125" s="11">
        <v>41803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0</v>
      </c>
      <c r="M1126" s="6">
        <v>2014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41803</v>
      </c>
      <c r="S1126" s="11">
        <v>41803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12</v>
      </c>
      <c r="M1127" s="6">
        <v>2026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41803</v>
      </c>
      <c r="S1127" s="11">
        <v>41803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10</v>
      </c>
      <c r="M1128" s="6">
        <v>2024</v>
      </c>
      <c r="N1128" s="7">
        <v>0.0638</v>
      </c>
      <c r="O1128" s="7">
        <v>0.0742</v>
      </c>
      <c r="P1128" s="7">
        <v>0.0749</v>
      </c>
      <c r="Q1128" s="7">
        <v>0.0704</v>
      </c>
      <c r="R1128" s="11">
        <v>41803</v>
      </c>
      <c r="S1128" s="11">
        <v>41803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7</v>
      </c>
      <c r="M1129" s="6">
        <v>2021</v>
      </c>
      <c r="N1129" s="7">
        <v>0.0638</v>
      </c>
      <c r="O1129" s="7">
        <v>0.0742</v>
      </c>
      <c r="P1129" s="7">
        <v>0.0749</v>
      </c>
      <c r="Q1129" s="7">
        <v>0.0704</v>
      </c>
      <c r="R1129" s="11">
        <v>41803</v>
      </c>
      <c r="S1129" s="11">
        <v>41803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6</v>
      </c>
      <c r="M1130" s="6">
        <v>2020</v>
      </c>
      <c r="N1130" s="7">
        <v>0.0638</v>
      </c>
      <c r="O1130" s="7">
        <v>0.0742</v>
      </c>
      <c r="P1130" s="7">
        <v>0.0749</v>
      </c>
      <c r="Q1130" s="7">
        <v>0.0704</v>
      </c>
      <c r="R1130" s="11">
        <v>41803</v>
      </c>
      <c r="S1130" s="11">
        <v>41803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3</v>
      </c>
      <c r="M1131" s="6">
        <v>2017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41803</v>
      </c>
      <c r="S1131" s="11">
        <v>41803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5</v>
      </c>
      <c r="M1132" s="6">
        <v>2019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41803</v>
      </c>
      <c r="S1132" s="11">
        <v>41803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4</v>
      </c>
      <c r="M1133" s="6">
        <v>2018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41803</v>
      </c>
      <c r="S1133" s="11">
        <v>41803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9</v>
      </c>
      <c r="M1134" s="6">
        <v>2023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41803</v>
      </c>
      <c r="S1134" s="11">
        <v>41803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620</v>
      </c>
      <c r="H1135" s="10" t="s">
        <v>79</v>
      </c>
      <c r="I1135" s="10"/>
      <c r="J1135" s="10" t="s">
        <v>80</v>
      </c>
      <c r="K1135" s="10" t="b">
        <v>1</v>
      </c>
      <c r="L1135" s="10">
        <v>1</v>
      </c>
      <c r="M1135" s="6">
        <v>2015</v>
      </c>
      <c r="N1135" s="7">
        <v>9735212.97</v>
      </c>
      <c r="O1135" s="7">
        <v>30318292.97</v>
      </c>
      <c r="P1135" s="7">
        <v>0</v>
      </c>
      <c r="Q1135" s="7">
        <v>11427814.83</v>
      </c>
      <c r="R1135" s="11">
        <v>41803</v>
      </c>
      <c r="S1135" s="11">
        <v>41803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9</v>
      </c>
      <c r="M1136" s="6">
        <v>2023</v>
      </c>
      <c r="N1136" s="7">
        <v>9735212.97</v>
      </c>
      <c r="O1136" s="7">
        <v>30318292.97</v>
      </c>
      <c r="P1136" s="7">
        <v>0</v>
      </c>
      <c r="Q1136" s="7">
        <v>11427814.83</v>
      </c>
      <c r="R1136" s="11">
        <v>41803</v>
      </c>
      <c r="S1136" s="11">
        <v>41803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7</v>
      </c>
      <c r="M1137" s="6">
        <v>2021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41803</v>
      </c>
      <c r="S1137" s="11">
        <v>41803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11</v>
      </c>
      <c r="M1138" s="6">
        <v>2025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41803</v>
      </c>
      <c r="S1138" s="11">
        <v>41803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12</v>
      </c>
      <c r="M1139" s="6">
        <v>2026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41803</v>
      </c>
      <c r="S1139" s="11">
        <v>41803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4</v>
      </c>
      <c r="M1140" s="6">
        <v>2018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41803</v>
      </c>
      <c r="S1140" s="11">
        <v>41803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5</v>
      </c>
      <c r="M1141" s="6">
        <v>2019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41803</v>
      </c>
      <c r="S1141" s="11">
        <v>41803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10</v>
      </c>
      <c r="M1142" s="6">
        <v>2024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41803</v>
      </c>
      <c r="S1142" s="11">
        <v>41803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2</v>
      </c>
      <c r="M1143" s="6">
        <v>2016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41803</v>
      </c>
      <c r="S1143" s="11">
        <v>41803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0</v>
      </c>
      <c r="M1144" s="6">
        <v>2014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41803</v>
      </c>
      <c r="S1144" s="11">
        <v>41803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3</v>
      </c>
      <c r="M1145" s="6">
        <v>2017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41803</v>
      </c>
      <c r="S1145" s="11">
        <v>41803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6</v>
      </c>
      <c r="M1146" s="6">
        <v>2020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41803</v>
      </c>
      <c r="S1146" s="11">
        <v>41803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8</v>
      </c>
      <c r="M1147" s="6">
        <v>2022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41803</v>
      </c>
      <c r="S1147" s="11">
        <v>41803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7</v>
      </c>
      <c r="M1148" s="6">
        <v>2021</v>
      </c>
      <c r="N1148" s="7">
        <v>4131238.07</v>
      </c>
      <c r="O1148" s="7">
        <v>5085565.18</v>
      </c>
      <c r="P1148" s="7">
        <v>7150000</v>
      </c>
      <c r="Q1148" s="7">
        <v>4189639.37</v>
      </c>
      <c r="R1148" s="11">
        <v>41803</v>
      </c>
      <c r="S1148" s="11">
        <v>41803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0</v>
      </c>
      <c r="M1149" s="6">
        <v>2014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41803</v>
      </c>
      <c r="S1149" s="11">
        <v>41803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6</v>
      </c>
      <c r="M1150" s="6">
        <v>2020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41803</v>
      </c>
      <c r="S1150" s="11">
        <v>41803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1</v>
      </c>
      <c r="M1151" s="6">
        <v>2015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41803</v>
      </c>
      <c r="S1151" s="11">
        <v>41803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9</v>
      </c>
      <c r="M1152" s="6">
        <v>2023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41803</v>
      </c>
      <c r="S1152" s="11">
        <v>41803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3</v>
      </c>
      <c r="M1153" s="6">
        <v>2017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41803</v>
      </c>
      <c r="S1153" s="11">
        <v>41803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4</v>
      </c>
      <c r="M1154" s="6">
        <v>2018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41803</v>
      </c>
      <c r="S1154" s="11">
        <v>41803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11</v>
      </c>
      <c r="M1155" s="6">
        <v>2025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41803</v>
      </c>
      <c r="S1155" s="11">
        <v>41803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12</v>
      </c>
      <c r="M1156" s="6">
        <v>2026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41803</v>
      </c>
      <c r="S1156" s="11">
        <v>41803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2</v>
      </c>
      <c r="M1157" s="6">
        <v>2016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41803</v>
      </c>
      <c r="S1157" s="11">
        <v>41803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5</v>
      </c>
      <c r="M1158" s="6">
        <v>2019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41803</v>
      </c>
      <c r="S1158" s="11">
        <v>41803</v>
      </c>
    </row>
    <row r="1159" spans="1:19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10</v>
      </c>
      <c r="M1159" s="6">
        <v>2024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41803</v>
      </c>
      <c r="S1159" s="11">
        <v>41803</v>
      </c>
    </row>
    <row r="1160" spans="1:19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8</v>
      </c>
      <c r="M1160" s="6">
        <v>2022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41803</v>
      </c>
      <c r="S1160" s="11">
        <v>41803</v>
      </c>
    </row>
    <row r="1161" spans="1:19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4</v>
      </c>
      <c r="M1161" s="6">
        <v>2018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41803</v>
      </c>
      <c r="S1161" s="11">
        <v>41803</v>
      </c>
    </row>
    <row r="1162" spans="1:19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6</v>
      </c>
      <c r="M1162" s="6">
        <v>2020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41803</v>
      </c>
      <c r="S1162" s="11">
        <v>41803</v>
      </c>
    </row>
    <row r="1163" spans="1:19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8</v>
      </c>
      <c r="M1163" s="6">
        <v>2022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41803</v>
      </c>
      <c r="S1163" s="11">
        <v>41803</v>
      </c>
    </row>
    <row r="1164" spans="1:19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1</v>
      </c>
      <c r="M1164" s="6">
        <v>2015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41803</v>
      </c>
      <c r="S1164" s="11">
        <v>41803</v>
      </c>
    </row>
    <row r="1165" spans="1:19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10</v>
      </c>
      <c r="M1165" s="6">
        <v>2024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41803</v>
      </c>
      <c r="S1165" s="11">
        <v>41803</v>
      </c>
    </row>
    <row r="1166" spans="1:19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3</v>
      </c>
      <c r="M1166" s="6">
        <v>2017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41803</v>
      </c>
      <c r="S1166" s="11">
        <v>41803</v>
      </c>
    </row>
    <row r="1167" spans="1:19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11</v>
      </c>
      <c r="M1167" s="6">
        <v>2025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41803</v>
      </c>
      <c r="S1167" s="11">
        <v>41803</v>
      </c>
    </row>
    <row r="1168" spans="1:19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9</v>
      </c>
      <c r="M1168" s="6">
        <v>2023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41803</v>
      </c>
      <c r="S1168" s="11">
        <v>41803</v>
      </c>
    </row>
    <row r="1169" spans="1:19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2</v>
      </c>
      <c r="M1169" s="6">
        <v>2016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41803</v>
      </c>
      <c r="S1169" s="11">
        <v>41803</v>
      </c>
    </row>
    <row r="1170" spans="1:19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0</v>
      </c>
      <c r="M1170" s="6">
        <v>2014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41803</v>
      </c>
      <c r="S1170" s="11">
        <v>41803</v>
      </c>
    </row>
    <row r="1171" spans="1:19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12</v>
      </c>
      <c r="M1171" s="6">
        <v>2026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41803</v>
      </c>
      <c r="S1171" s="11">
        <v>41803</v>
      </c>
    </row>
    <row r="1172" spans="1:19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7</v>
      </c>
      <c r="M1172" s="6">
        <v>2021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41803</v>
      </c>
      <c r="S1172" s="11">
        <v>41803</v>
      </c>
    </row>
    <row r="1173" spans="1:19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5</v>
      </c>
      <c r="M1173" s="6">
        <v>2019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41803</v>
      </c>
      <c r="S1173" s="11">
        <v>41803</v>
      </c>
    </row>
    <row r="1174" spans="1:19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7</v>
      </c>
      <c r="M1174" s="6">
        <v>2021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41803</v>
      </c>
      <c r="S1174" s="11">
        <v>41803</v>
      </c>
    </row>
    <row r="1175" spans="1:19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10</v>
      </c>
      <c r="M1175" s="6">
        <v>2024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41803</v>
      </c>
      <c r="S1175" s="11">
        <v>41803</v>
      </c>
    </row>
    <row r="1176" spans="1:19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4</v>
      </c>
      <c r="M1176" s="6">
        <v>2018</v>
      </c>
      <c r="N1176" s="7">
        <v>0</v>
      </c>
      <c r="O1176" s="7">
        <v>0</v>
      </c>
      <c r="P1176" s="7">
        <v>7132787.01</v>
      </c>
      <c r="Q1176" s="7">
        <v>6767913.08</v>
      </c>
      <c r="R1176" s="11">
        <v>41803</v>
      </c>
      <c r="S1176" s="11">
        <v>41803</v>
      </c>
    </row>
    <row r="1177" spans="1:19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9</v>
      </c>
      <c r="M1177" s="6">
        <v>2023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41803</v>
      </c>
      <c r="S1177" s="11">
        <v>41803</v>
      </c>
    </row>
    <row r="1178" spans="1:19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2</v>
      </c>
      <c r="M1178" s="6">
        <v>2016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41803</v>
      </c>
      <c r="S1178" s="11">
        <v>41803</v>
      </c>
    </row>
    <row r="1179" spans="1:19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12</v>
      </c>
      <c r="M1179" s="6">
        <v>2026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41803</v>
      </c>
      <c r="S1179" s="11">
        <v>41803</v>
      </c>
    </row>
    <row r="1180" spans="1:19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0</v>
      </c>
      <c r="M1180" s="6">
        <v>2014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41803</v>
      </c>
      <c r="S1180" s="11">
        <v>41803</v>
      </c>
    </row>
    <row r="1181" spans="1:19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5</v>
      </c>
      <c r="M1181" s="6">
        <v>2019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41803</v>
      </c>
      <c r="S1181" s="11">
        <v>41803</v>
      </c>
    </row>
    <row r="1182" spans="1:19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11</v>
      </c>
      <c r="M1182" s="6">
        <v>2025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41803</v>
      </c>
      <c r="S1182" s="11">
        <v>41803</v>
      </c>
    </row>
    <row r="1183" spans="1:19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</v>
      </c>
      <c r="M1183" s="6">
        <v>2015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41803</v>
      </c>
      <c r="S1183" s="11">
        <v>41803</v>
      </c>
    </row>
    <row r="1184" spans="1:19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8</v>
      </c>
      <c r="M1184" s="6">
        <v>2022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41803</v>
      </c>
      <c r="S1184" s="11">
        <v>41803</v>
      </c>
    </row>
    <row r="1185" spans="1:19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3</v>
      </c>
      <c r="M1185" s="6">
        <v>2017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41803</v>
      </c>
      <c r="S1185" s="11">
        <v>41803</v>
      </c>
    </row>
    <row r="1186" spans="1:19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6</v>
      </c>
      <c r="M1186" s="6">
        <v>2020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41803</v>
      </c>
      <c r="S1186" s="11">
        <v>41803</v>
      </c>
    </row>
    <row r="1187" spans="1:19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6</v>
      </c>
      <c r="M1187" s="6">
        <v>2020</v>
      </c>
      <c r="N1187" s="7">
        <v>0</v>
      </c>
      <c r="O1187" s="7">
        <v>0</v>
      </c>
      <c r="P1187" s="7">
        <v>7878043.21</v>
      </c>
      <c r="Q1187" s="7">
        <v>7367195.51</v>
      </c>
      <c r="R1187" s="11">
        <v>41803</v>
      </c>
      <c r="S1187" s="11">
        <v>41803</v>
      </c>
    </row>
    <row r="1188" spans="1:19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8</v>
      </c>
      <c r="M1188" s="6">
        <v>2022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41803</v>
      </c>
      <c r="S1188" s="11">
        <v>41803</v>
      </c>
    </row>
    <row r="1189" spans="1:19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7</v>
      </c>
      <c r="M1189" s="6">
        <v>2021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41803</v>
      </c>
      <c r="S1189" s="11">
        <v>41803</v>
      </c>
    </row>
    <row r="1190" spans="1:19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10</v>
      </c>
      <c r="M1190" s="6">
        <v>2024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41803</v>
      </c>
      <c r="S1190" s="11">
        <v>41803</v>
      </c>
    </row>
    <row r="1191" spans="1:19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4</v>
      </c>
      <c r="M1191" s="6">
        <v>2018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41803</v>
      </c>
      <c r="S1191" s="11">
        <v>41803</v>
      </c>
    </row>
    <row r="1192" spans="1:19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0</v>
      </c>
      <c r="M1192" s="6">
        <v>2014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41803</v>
      </c>
      <c r="S1192" s="11">
        <v>41803</v>
      </c>
    </row>
    <row r="1193" spans="1:19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5</v>
      </c>
      <c r="M1193" s="6">
        <v>2019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41803</v>
      </c>
      <c r="S1193" s="11">
        <v>41803</v>
      </c>
    </row>
    <row r="1194" spans="1:19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11</v>
      </c>
      <c r="M1194" s="6">
        <v>2025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41803</v>
      </c>
      <c r="S1194" s="11">
        <v>41803</v>
      </c>
    </row>
    <row r="1195" spans="1:19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2</v>
      </c>
      <c r="M1195" s="6">
        <v>2016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41803</v>
      </c>
      <c r="S1195" s="11">
        <v>41803</v>
      </c>
    </row>
    <row r="1196" spans="1:19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</v>
      </c>
      <c r="M1196" s="6">
        <v>2015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41803</v>
      </c>
      <c r="S1196" s="11">
        <v>41803</v>
      </c>
    </row>
    <row r="1197" spans="1:19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9</v>
      </c>
      <c r="M1197" s="6">
        <v>2023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41803</v>
      </c>
      <c r="S1197" s="11">
        <v>41803</v>
      </c>
    </row>
    <row r="1198" spans="1:19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12</v>
      </c>
      <c r="M1198" s="6">
        <v>2026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41803</v>
      </c>
      <c r="S1198" s="11">
        <v>41803</v>
      </c>
    </row>
    <row r="1199" spans="1:19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3</v>
      </c>
      <c r="M1199" s="6">
        <v>2017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41803</v>
      </c>
      <c r="S1199" s="11">
        <v>41803</v>
      </c>
    </row>
    <row r="1200" spans="1:19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9</v>
      </c>
      <c r="M1200" s="6">
        <v>2023</v>
      </c>
      <c r="N1200" s="7">
        <v>9948267.62</v>
      </c>
      <c r="O1200" s="7">
        <v>13591790.28</v>
      </c>
      <c r="P1200" s="7">
        <v>0</v>
      </c>
      <c r="Q1200" s="7">
        <v>13023798.51</v>
      </c>
      <c r="R1200" s="11">
        <v>41803</v>
      </c>
      <c r="S1200" s="11">
        <v>41803</v>
      </c>
    </row>
    <row r="1201" spans="1:19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10</v>
      </c>
      <c r="M1201" s="6">
        <v>2024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41803</v>
      </c>
      <c r="S1201" s="11">
        <v>41803</v>
      </c>
    </row>
    <row r="1202" spans="1:19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8</v>
      </c>
      <c r="M1202" s="6">
        <v>2022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41803</v>
      </c>
      <c r="S1202" s="11">
        <v>41803</v>
      </c>
    </row>
    <row r="1203" spans="1:19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12</v>
      </c>
      <c r="M1203" s="6">
        <v>2026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41803</v>
      </c>
      <c r="S1203" s="11">
        <v>41803</v>
      </c>
    </row>
    <row r="1204" spans="1:19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4</v>
      </c>
      <c r="M1204" s="6">
        <v>2018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41803</v>
      </c>
      <c r="S1204" s="11">
        <v>41803</v>
      </c>
    </row>
    <row r="1205" spans="1:19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7</v>
      </c>
      <c r="M1205" s="6">
        <v>2021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41803</v>
      </c>
      <c r="S1205" s="11">
        <v>41803</v>
      </c>
    </row>
    <row r="1206" spans="1:19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6</v>
      </c>
      <c r="M1206" s="6">
        <v>2020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41803</v>
      </c>
      <c r="S1206" s="11">
        <v>41803</v>
      </c>
    </row>
    <row r="1207" spans="1:19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1</v>
      </c>
      <c r="M1207" s="6">
        <v>2015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41803</v>
      </c>
      <c r="S1207" s="11">
        <v>41803</v>
      </c>
    </row>
    <row r="1208" spans="1:19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11</v>
      </c>
      <c r="M1208" s="6">
        <v>2025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41803</v>
      </c>
      <c r="S1208" s="11">
        <v>41803</v>
      </c>
    </row>
    <row r="1209" spans="1:19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2</v>
      </c>
      <c r="M1209" s="6">
        <v>2016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41803</v>
      </c>
      <c r="S1209" s="11">
        <v>41803</v>
      </c>
    </row>
    <row r="1210" spans="1:19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5</v>
      </c>
      <c r="M1210" s="6">
        <v>2019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41803</v>
      </c>
      <c r="S1210" s="11">
        <v>41803</v>
      </c>
    </row>
    <row r="1211" spans="1:19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0</v>
      </c>
      <c r="M1211" s="6">
        <v>2014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41803</v>
      </c>
      <c r="S1211" s="11">
        <v>41803</v>
      </c>
    </row>
    <row r="1212" spans="1:19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3</v>
      </c>
      <c r="M1212" s="6">
        <v>2017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41803</v>
      </c>
      <c r="S1212" s="11">
        <v>41803</v>
      </c>
    </row>
    <row r="1213" spans="1:19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12</v>
      </c>
      <c r="M1213" s="6">
        <v>2026</v>
      </c>
      <c r="N1213" s="7">
        <v>0</v>
      </c>
      <c r="O1213" s="7">
        <v>0</v>
      </c>
      <c r="P1213" s="7">
        <v>2200218.5</v>
      </c>
      <c r="Q1213" s="7">
        <v>2149246.39</v>
      </c>
      <c r="R1213" s="11">
        <v>41803</v>
      </c>
      <c r="S1213" s="11">
        <v>41803</v>
      </c>
    </row>
    <row r="1214" spans="1:19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2</v>
      </c>
      <c r="M1214" s="6">
        <v>2016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41803</v>
      </c>
      <c r="S1214" s="11">
        <v>41803</v>
      </c>
    </row>
    <row r="1215" spans="1:19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6</v>
      </c>
      <c r="M1215" s="6">
        <v>2020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41803</v>
      </c>
      <c r="S1215" s="11">
        <v>41803</v>
      </c>
    </row>
    <row r="1216" spans="1:19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9</v>
      </c>
      <c r="M1216" s="6">
        <v>2023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41803</v>
      </c>
      <c r="S1216" s="11">
        <v>41803</v>
      </c>
    </row>
    <row r="1217" spans="1:19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11</v>
      </c>
      <c r="M1217" s="6">
        <v>2025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41803</v>
      </c>
      <c r="S1217" s="11">
        <v>41803</v>
      </c>
    </row>
    <row r="1218" spans="1:19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8</v>
      </c>
      <c r="M1218" s="6">
        <v>2022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41803</v>
      </c>
      <c r="S1218" s="11">
        <v>41803</v>
      </c>
    </row>
    <row r="1219" spans="1:19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4</v>
      </c>
      <c r="M1219" s="6">
        <v>2018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41803</v>
      </c>
      <c r="S1219" s="11">
        <v>41803</v>
      </c>
    </row>
    <row r="1220" spans="1:19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1</v>
      </c>
      <c r="M1220" s="6">
        <v>2015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41803</v>
      </c>
      <c r="S1220" s="11">
        <v>41803</v>
      </c>
    </row>
    <row r="1221" spans="1:19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3</v>
      </c>
      <c r="M1221" s="6">
        <v>2017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41803</v>
      </c>
      <c r="S1221" s="11">
        <v>41803</v>
      </c>
    </row>
    <row r="1222" spans="1:19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5</v>
      </c>
      <c r="M1222" s="6">
        <v>2019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41803</v>
      </c>
      <c r="S1222" s="11">
        <v>41803</v>
      </c>
    </row>
    <row r="1223" spans="1:19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0</v>
      </c>
      <c r="M1223" s="6">
        <v>2014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41803</v>
      </c>
      <c r="S1223" s="11">
        <v>41803</v>
      </c>
    </row>
    <row r="1224" spans="1:19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7</v>
      </c>
      <c r="M1224" s="6">
        <v>2021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41803</v>
      </c>
      <c r="S1224" s="11">
        <v>41803</v>
      </c>
    </row>
    <row r="1225" spans="1:19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10</v>
      </c>
      <c r="M1225" s="6">
        <v>2024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41803</v>
      </c>
      <c r="S1225" s="11">
        <v>41803</v>
      </c>
    </row>
    <row r="1226" spans="1:19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2</v>
      </c>
      <c r="M1226" s="6">
        <v>2016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41803</v>
      </c>
      <c r="S1226" s="11">
        <v>41803</v>
      </c>
    </row>
    <row r="1227" spans="1:19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11</v>
      </c>
      <c r="M1227" s="6">
        <v>2025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41803</v>
      </c>
      <c r="S1227" s="11">
        <v>41803</v>
      </c>
    </row>
    <row r="1228" spans="1:19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6</v>
      </c>
      <c r="M1228" s="6">
        <v>2020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41803</v>
      </c>
      <c r="S1228" s="11">
        <v>41803</v>
      </c>
    </row>
    <row r="1229" spans="1:19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7</v>
      </c>
      <c r="M1229" s="6">
        <v>2021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41803</v>
      </c>
      <c r="S1229" s="11">
        <v>41803</v>
      </c>
    </row>
    <row r="1230" spans="1:19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3</v>
      </c>
      <c r="M1230" s="6">
        <v>2017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41803</v>
      </c>
      <c r="S1230" s="11">
        <v>41803</v>
      </c>
    </row>
    <row r="1231" spans="1:19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12</v>
      </c>
      <c r="M1231" s="6">
        <v>2026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41803</v>
      </c>
      <c r="S1231" s="11">
        <v>41803</v>
      </c>
    </row>
    <row r="1232" spans="1:19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10</v>
      </c>
      <c r="M1232" s="6">
        <v>2024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41803</v>
      </c>
      <c r="S1232" s="11">
        <v>41803</v>
      </c>
    </row>
    <row r="1233" spans="1:19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1</v>
      </c>
      <c r="M1233" s="6">
        <v>2015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41803</v>
      </c>
      <c r="S1233" s="11">
        <v>41803</v>
      </c>
    </row>
    <row r="1234" spans="1:19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5</v>
      </c>
      <c r="M1234" s="6">
        <v>2019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41803</v>
      </c>
      <c r="S1234" s="11">
        <v>41803</v>
      </c>
    </row>
    <row r="1235" spans="1:19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0</v>
      </c>
      <c r="M1235" s="6">
        <v>2014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41803</v>
      </c>
      <c r="S1235" s="11">
        <v>41803</v>
      </c>
    </row>
    <row r="1236" spans="1:19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4</v>
      </c>
      <c r="M1236" s="6">
        <v>2018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41803</v>
      </c>
      <c r="S1236" s="11">
        <v>41803</v>
      </c>
    </row>
    <row r="1237" spans="1:19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8</v>
      </c>
      <c r="M1237" s="6">
        <v>2022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41803</v>
      </c>
      <c r="S1237" s="11">
        <v>41803</v>
      </c>
    </row>
    <row r="1238" spans="1:19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9</v>
      </c>
      <c r="M1238" s="6">
        <v>2023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41803</v>
      </c>
      <c r="S1238" s="11">
        <v>41803</v>
      </c>
    </row>
    <row r="1239" spans="1:19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7</v>
      </c>
      <c r="M1239" s="6">
        <v>2021</v>
      </c>
      <c r="N1239" s="7">
        <v>0</v>
      </c>
      <c r="O1239" s="7">
        <v>0</v>
      </c>
      <c r="P1239" s="7">
        <v>0</v>
      </c>
      <c r="Q1239" s="7">
        <v>0</v>
      </c>
      <c r="R1239" s="11">
        <v>41803</v>
      </c>
      <c r="S1239" s="11">
        <v>41803</v>
      </c>
    </row>
    <row r="1240" spans="1:19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11</v>
      </c>
      <c r="M1240" s="6">
        <v>2025</v>
      </c>
      <c r="N1240" s="7">
        <v>0</v>
      </c>
      <c r="O1240" s="7">
        <v>0</v>
      </c>
      <c r="P1240" s="7">
        <v>0</v>
      </c>
      <c r="Q1240" s="7">
        <v>0</v>
      </c>
      <c r="R1240" s="11">
        <v>41803</v>
      </c>
      <c r="S1240" s="11">
        <v>41803</v>
      </c>
    </row>
    <row r="1241" spans="1:19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4</v>
      </c>
      <c r="M1241" s="6">
        <v>2018</v>
      </c>
      <c r="N1241" s="7">
        <v>0</v>
      </c>
      <c r="O1241" s="7">
        <v>0</v>
      </c>
      <c r="P1241" s="7">
        <v>0</v>
      </c>
      <c r="Q1241" s="7">
        <v>0</v>
      </c>
      <c r="R1241" s="11">
        <v>41803</v>
      </c>
      <c r="S1241" s="11">
        <v>41803</v>
      </c>
    </row>
    <row r="1242" spans="1:19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10</v>
      </c>
      <c r="M1242" s="6">
        <v>2024</v>
      </c>
      <c r="N1242" s="7">
        <v>0</v>
      </c>
      <c r="O1242" s="7">
        <v>0</v>
      </c>
      <c r="P1242" s="7">
        <v>0</v>
      </c>
      <c r="Q1242" s="7">
        <v>0</v>
      </c>
      <c r="R1242" s="11">
        <v>41803</v>
      </c>
      <c r="S1242" s="11">
        <v>41803</v>
      </c>
    </row>
    <row r="1243" spans="1:19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3</v>
      </c>
      <c r="M1243" s="6">
        <v>2017</v>
      </c>
      <c r="N1243" s="7">
        <v>0</v>
      </c>
      <c r="O1243" s="7">
        <v>0</v>
      </c>
      <c r="P1243" s="7">
        <v>0</v>
      </c>
      <c r="Q1243" s="7">
        <v>0</v>
      </c>
      <c r="R1243" s="11">
        <v>41803</v>
      </c>
      <c r="S1243" s="11">
        <v>41803</v>
      </c>
    </row>
    <row r="1244" spans="1:19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12</v>
      </c>
      <c r="M1244" s="6">
        <v>2026</v>
      </c>
      <c r="N1244" s="7">
        <v>0</v>
      </c>
      <c r="O1244" s="7">
        <v>0</v>
      </c>
      <c r="P1244" s="7">
        <v>0</v>
      </c>
      <c r="Q1244" s="7">
        <v>0</v>
      </c>
      <c r="R1244" s="11">
        <v>41803</v>
      </c>
      <c r="S1244" s="11">
        <v>41803</v>
      </c>
    </row>
    <row r="1245" spans="1:19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1</v>
      </c>
      <c r="M1245" s="6">
        <v>2015</v>
      </c>
      <c r="N1245" s="7">
        <v>0</v>
      </c>
      <c r="O1245" s="7">
        <v>0</v>
      </c>
      <c r="P1245" s="7">
        <v>0</v>
      </c>
      <c r="Q1245" s="7">
        <v>0</v>
      </c>
      <c r="R1245" s="11">
        <v>41803</v>
      </c>
      <c r="S1245" s="11">
        <v>41803</v>
      </c>
    </row>
    <row r="1246" spans="1:19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2</v>
      </c>
      <c r="M1246" s="6">
        <v>2016</v>
      </c>
      <c r="N1246" s="7">
        <v>0</v>
      </c>
      <c r="O1246" s="7">
        <v>0</v>
      </c>
      <c r="P1246" s="7">
        <v>0</v>
      </c>
      <c r="Q1246" s="7">
        <v>0</v>
      </c>
      <c r="R1246" s="11">
        <v>41803</v>
      </c>
      <c r="S1246" s="11">
        <v>41803</v>
      </c>
    </row>
    <row r="1247" spans="1:19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6</v>
      </c>
      <c r="M1247" s="6">
        <v>2020</v>
      </c>
      <c r="N1247" s="7">
        <v>0</v>
      </c>
      <c r="O1247" s="7">
        <v>0</v>
      </c>
      <c r="P1247" s="7">
        <v>0</v>
      </c>
      <c r="Q1247" s="7">
        <v>0</v>
      </c>
      <c r="R1247" s="11">
        <v>41803</v>
      </c>
      <c r="S1247" s="11">
        <v>41803</v>
      </c>
    </row>
    <row r="1248" spans="1:19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9</v>
      </c>
      <c r="M1248" s="6">
        <v>2023</v>
      </c>
      <c r="N1248" s="7">
        <v>0</v>
      </c>
      <c r="O1248" s="7">
        <v>0</v>
      </c>
      <c r="P1248" s="7">
        <v>0</v>
      </c>
      <c r="Q1248" s="7">
        <v>0</v>
      </c>
      <c r="R1248" s="11">
        <v>41803</v>
      </c>
      <c r="S1248" s="11">
        <v>41803</v>
      </c>
    </row>
    <row r="1249" spans="1:19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0</v>
      </c>
      <c r="M1249" s="6">
        <v>2014</v>
      </c>
      <c r="N1249" s="7">
        <v>0</v>
      </c>
      <c r="O1249" s="7">
        <v>0</v>
      </c>
      <c r="P1249" s="7">
        <v>0</v>
      </c>
      <c r="Q1249" s="7">
        <v>0</v>
      </c>
      <c r="R1249" s="11">
        <v>41803</v>
      </c>
      <c r="S1249" s="11">
        <v>41803</v>
      </c>
    </row>
    <row r="1250" spans="1:19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5</v>
      </c>
      <c r="M1250" s="6">
        <v>2019</v>
      </c>
      <c r="N1250" s="7">
        <v>0</v>
      </c>
      <c r="O1250" s="7">
        <v>0</v>
      </c>
      <c r="P1250" s="7">
        <v>0</v>
      </c>
      <c r="Q1250" s="7">
        <v>0</v>
      </c>
      <c r="R1250" s="11">
        <v>41803</v>
      </c>
      <c r="S1250" s="11">
        <v>41803</v>
      </c>
    </row>
    <row r="1251" spans="1:19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8</v>
      </c>
      <c r="M1251" s="6">
        <v>2022</v>
      </c>
      <c r="N1251" s="7">
        <v>0</v>
      </c>
      <c r="O1251" s="7">
        <v>0</v>
      </c>
      <c r="P1251" s="7">
        <v>0</v>
      </c>
      <c r="Q1251" s="7">
        <v>0</v>
      </c>
      <c r="R1251" s="11">
        <v>41803</v>
      </c>
      <c r="S1251" s="11">
        <v>41803</v>
      </c>
    </row>
    <row r="1252" spans="1:19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9</v>
      </c>
      <c r="M1252" s="6">
        <v>2023</v>
      </c>
      <c r="N1252" s="7">
        <v>0</v>
      </c>
      <c r="O1252" s="7">
        <v>0</v>
      </c>
      <c r="P1252" s="7">
        <v>0</v>
      </c>
      <c r="Q1252" s="7">
        <v>0</v>
      </c>
      <c r="R1252" s="11">
        <v>41803</v>
      </c>
      <c r="S1252" s="11">
        <v>41803</v>
      </c>
    </row>
    <row r="1253" spans="1:19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1</v>
      </c>
      <c r="M1253" s="6">
        <v>2015</v>
      </c>
      <c r="N1253" s="7">
        <v>0</v>
      </c>
      <c r="O1253" s="7">
        <v>0</v>
      </c>
      <c r="P1253" s="7">
        <v>0</v>
      </c>
      <c r="Q1253" s="7">
        <v>0</v>
      </c>
      <c r="R1253" s="11">
        <v>41803</v>
      </c>
      <c r="S1253" s="11">
        <v>41803</v>
      </c>
    </row>
    <row r="1254" spans="1:19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0</v>
      </c>
      <c r="M1254" s="6">
        <v>2014</v>
      </c>
      <c r="N1254" s="7">
        <v>0</v>
      </c>
      <c r="O1254" s="7">
        <v>0</v>
      </c>
      <c r="P1254" s="7">
        <v>0</v>
      </c>
      <c r="Q1254" s="7">
        <v>0</v>
      </c>
      <c r="R1254" s="11">
        <v>41803</v>
      </c>
      <c r="S1254" s="11">
        <v>41803</v>
      </c>
    </row>
    <row r="1255" spans="1:19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6</v>
      </c>
      <c r="M1255" s="6">
        <v>2020</v>
      </c>
      <c r="N1255" s="7">
        <v>0</v>
      </c>
      <c r="O1255" s="7">
        <v>0</v>
      </c>
      <c r="P1255" s="7">
        <v>0</v>
      </c>
      <c r="Q1255" s="7">
        <v>0</v>
      </c>
      <c r="R1255" s="11">
        <v>41803</v>
      </c>
      <c r="S1255" s="11">
        <v>41803</v>
      </c>
    </row>
    <row r="1256" spans="1:19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5</v>
      </c>
      <c r="M1256" s="6">
        <v>2019</v>
      </c>
      <c r="N1256" s="7">
        <v>0</v>
      </c>
      <c r="O1256" s="7">
        <v>0</v>
      </c>
      <c r="P1256" s="7">
        <v>0</v>
      </c>
      <c r="Q1256" s="7">
        <v>0</v>
      </c>
      <c r="R1256" s="11">
        <v>41803</v>
      </c>
      <c r="S1256" s="11">
        <v>41803</v>
      </c>
    </row>
    <row r="1257" spans="1:19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3</v>
      </c>
      <c r="M1257" s="6">
        <v>2017</v>
      </c>
      <c r="N1257" s="7">
        <v>0</v>
      </c>
      <c r="O1257" s="7">
        <v>0</v>
      </c>
      <c r="P1257" s="7">
        <v>0</v>
      </c>
      <c r="Q1257" s="7">
        <v>0</v>
      </c>
      <c r="R1257" s="11">
        <v>41803</v>
      </c>
      <c r="S1257" s="11">
        <v>41803</v>
      </c>
    </row>
    <row r="1258" spans="1:19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11</v>
      </c>
      <c r="M1258" s="6">
        <v>2025</v>
      </c>
      <c r="N1258" s="7">
        <v>0</v>
      </c>
      <c r="O1258" s="7">
        <v>0</v>
      </c>
      <c r="P1258" s="7">
        <v>0</v>
      </c>
      <c r="Q1258" s="7">
        <v>0</v>
      </c>
      <c r="R1258" s="11">
        <v>41803</v>
      </c>
      <c r="S1258" s="11">
        <v>41803</v>
      </c>
    </row>
    <row r="1259" spans="1:19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4</v>
      </c>
      <c r="M1259" s="6">
        <v>2018</v>
      </c>
      <c r="N1259" s="7">
        <v>0</v>
      </c>
      <c r="O1259" s="7">
        <v>0</v>
      </c>
      <c r="P1259" s="7">
        <v>0</v>
      </c>
      <c r="Q1259" s="7">
        <v>0</v>
      </c>
      <c r="R1259" s="11">
        <v>41803</v>
      </c>
      <c r="S1259" s="11">
        <v>41803</v>
      </c>
    </row>
    <row r="1260" spans="1:19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8</v>
      </c>
      <c r="M1260" s="6">
        <v>2022</v>
      </c>
      <c r="N1260" s="7">
        <v>0</v>
      </c>
      <c r="O1260" s="7">
        <v>0</v>
      </c>
      <c r="P1260" s="7">
        <v>0</v>
      </c>
      <c r="Q1260" s="7">
        <v>0</v>
      </c>
      <c r="R1260" s="11">
        <v>41803</v>
      </c>
      <c r="S1260" s="11">
        <v>41803</v>
      </c>
    </row>
    <row r="1261" spans="1:19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7</v>
      </c>
      <c r="M1261" s="6">
        <v>2021</v>
      </c>
      <c r="N1261" s="7">
        <v>0</v>
      </c>
      <c r="O1261" s="7">
        <v>0</v>
      </c>
      <c r="P1261" s="7">
        <v>0</v>
      </c>
      <c r="Q1261" s="7">
        <v>0</v>
      </c>
      <c r="R1261" s="11">
        <v>41803</v>
      </c>
      <c r="S1261" s="11">
        <v>41803</v>
      </c>
    </row>
    <row r="1262" spans="1:19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12</v>
      </c>
      <c r="M1262" s="6">
        <v>2026</v>
      </c>
      <c r="N1262" s="7">
        <v>0</v>
      </c>
      <c r="O1262" s="7">
        <v>0</v>
      </c>
      <c r="P1262" s="7">
        <v>0</v>
      </c>
      <c r="Q1262" s="7">
        <v>0</v>
      </c>
      <c r="R1262" s="11">
        <v>41803</v>
      </c>
      <c r="S1262" s="11">
        <v>41803</v>
      </c>
    </row>
    <row r="1263" spans="1:19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10</v>
      </c>
      <c r="M1263" s="6">
        <v>2024</v>
      </c>
      <c r="N1263" s="7">
        <v>0</v>
      </c>
      <c r="O1263" s="7">
        <v>0</v>
      </c>
      <c r="P1263" s="7">
        <v>0</v>
      </c>
      <c r="Q1263" s="7">
        <v>0</v>
      </c>
      <c r="R1263" s="11">
        <v>41803</v>
      </c>
      <c r="S1263" s="11">
        <v>41803</v>
      </c>
    </row>
    <row r="1264" spans="1:19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2</v>
      </c>
      <c r="M1264" s="6">
        <v>2016</v>
      </c>
      <c r="N1264" s="7">
        <v>0</v>
      </c>
      <c r="O1264" s="7">
        <v>0</v>
      </c>
      <c r="P1264" s="7">
        <v>0</v>
      </c>
      <c r="Q1264" s="7">
        <v>0</v>
      </c>
      <c r="R1264" s="11">
        <v>41803</v>
      </c>
      <c r="S1264" s="11">
        <v>41803</v>
      </c>
    </row>
    <row r="1265" spans="1:19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2</v>
      </c>
      <c r="M1265" s="6">
        <v>2016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41803</v>
      </c>
      <c r="S1265" s="11">
        <v>41803</v>
      </c>
    </row>
    <row r="1266" spans="1:19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8</v>
      </c>
      <c r="M1266" s="6">
        <v>2022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41803</v>
      </c>
      <c r="S1266" s="11">
        <v>41803</v>
      </c>
    </row>
    <row r="1267" spans="1:19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4</v>
      </c>
      <c r="M1267" s="6">
        <v>2018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41803</v>
      </c>
      <c r="S1267" s="11">
        <v>41803</v>
      </c>
    </row>
    <row r="1268" spans="1:19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0</v>
      </c>
      <c r="M1268" s="6">
        <v>2014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41803</v>
      </c>
      <c r="S1268" s="11">
        <v>41803</v>
      </c>
    </row>
    <row r="1269" spans="1:19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6</v>
      </c>
      <c r="M1269" s="6">
        <v>2020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41803</v>
      </c>
      <c r="S1269" s="11">
        <v>41803</v>
      </c>
    </row>
    <row r="1270" spans="1:19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9</v>
      </c>
      <c r="M1270" s="6">
        <v>2023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41803</v>
      </c>
      <c r="S1270" s="11">
        <v>41803</v>
      </c>
    </row>
    <row r="1271" spans="1:19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10</v>
      </c>
      <c r="M1271" s="6">
        <v>2024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41803</v>
      </c>
      <c r="S1271" s="11">
        <v>41803</v>
      </c>
    </row>
    <row r="1272" spans="1:19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12</v>
      </c>
      <c r="M1272" s="6">
        <v>2026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41803</v>
      </c>
      <c r="S1272" s="11">
        <v>41803</v>
      </c>
    </row>
    <row r="1273" spans="1:19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11</v>
      </c>
      <c r="M1273" s="6">
        <v>2025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41803</v>
      </c>
      <c r="S1273" s="11">
        <v>41803</v>
      </c>
    </row>
    <row r="1274" spans="1:19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3</v>
      </c>
      <c r="M1274" s="6">
        <v>2017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41803</v>
      </c>
      <c r="S1274" s="11">
        <v>41803</v>
      </c>
    </row>
    <row r="1275" spans="1:19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7</v>
      </c>
      <c r="M1275" s="6">
        <v>2021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41803</v>
      </c>
      <c r="S1275" s="11">
        <v>41803</v>
      </c>
    </row>
    <row r="1276" spans="1:19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5</v>
      </c>
      <c r="M1276" s="6">
        <v>2019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41803</v>
      </c>
      <c r="S1276" s="11">
        <v>41803</v>
      </c>
    </row>
    <row r="1277" spans="1:19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</v>
      </c>
      <c r="M1277" s="6">
        <v>2015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41803</v>
      </c>
      <c r="S1277" s="11">
        <v>41803</v>
      </c>
    </row>
    <row r="1278" spans="1:19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5</v>
      </c>
      <c r="M1278" s="6">
        <v>2019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41803</v>
      </c>
      <c r="S1278" s="11">
        <v>41803</v>
      </c>
    </row>
    <row r="1279" spans="1:19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3</v>
      </c>
      <c r="M1279" s="6">
        <v>2017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41803</v>
      </c>
      <c r="S1279" s="11">
        <v>41803</v>
      </c>
    </row>
    <row r="1280" spans="1:19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12</v>
      </c>
      <c r="M1280" s="6">
        <v>2026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41803</v>
      </c>
      <c r="S1280" s="11">
        <v>41803</v>
      </c>
    </row>
    <row r="1281" spans="1:19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4</v>
      </c>
      <c r="M1281" s="6">
        <v>2018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41803</v>
      </c>
      <c r="S1281" s="11">
        <v>41803</v>
      </c>
    </row>
    <row r="1282" spans="1:19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1</v>
      </c>
      <c r="M1282" s="6">
        <v>2015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41803</v>
      </c>
      <c r="S1282" s="11">
        <v>41803</v>
      </c>
    </row>
    <row r="1283" spans="1:19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11</v>
      </c>
      <c r="M1283" s="6">
        <v>2025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41803</v>
      </c>
      <c r="S1283" s="11">
        <v>41803</v>
      </c>
    </row>
    <row r="1284" spans="1:19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6</v>
      </c>
      <c r="M1284" s="6">
        <v>2020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41803</v>
      </c>
      <c r="S1284" s="11">
        <v>41803</v>
      </c>
    </row>
    <row r="1285" spans="1:19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10</v>
      </c>
      <c r="M1285" s="6">
        <v>2024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41803</v>
      </c>
      <c r="S1285" s="11">
        <v>41803</v>
      </c>
    </row>
    <row r="1286" spans="1:19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8</v>
      </c>
      <c r="M1286" s="6">
        <v>2022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41803</v>
      </c>
      <c r="S1286" s="11">
        <v>41803</v>
      </c>
    </row>
    <row r="1287" spans="1:19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2</v>
      </c>
      <c r="M1287" s="6">
        <v>2016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41803</v>
      </c>
      <c r="S1287" s="11">
        <v>41803</v>
      </c>
    </row>
    <row r="1288" spans="1:19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9</v>
      </c>
      <c r="M1288" s="6">
        <v>2023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41803</v>
      </c>
      <c r="S1288" s="11">
        <v>41803</v>
      </c>
    </row>
    <row r="1289" spans="1:19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0</v>
      </c>
      <c r="M1289" s="6">
        <v>2014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41803</v>
      </c>
      <c r="S1289" s="11">
        <v>41803</v>
      </c>
    </row>
    <row r="1290" spans="1:19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7</v>
      </c>
      <c r="M1290" s="6">
        <v>2021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41803</v>
      </c>
      <c r="S1290" s="11">
        <v>41803</v>
      </c>
    </row>
    <row r="1291" spans="1:19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2</v>
      </c>
      <c r="M1291" s="6">
        <v>2016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41803</v>
      </c>
      <c r="S1291" s="11">
        <v>41803</v>
      </c>
    </row>
    <row r="1292" spans="1:19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8</v>
      </c>
      <c r="M1292" s="6">
        <v>2022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41803</v>
      </c>
      <c r="S1292" s="11">
        <v>41803</v>
      </c>
    </row>
    <row r="1293" spans="1:19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4</v>
      </c>
      <c r="M1293" s="6">
        <v>2018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41803</v>
      </c>
      <c r="S1293" s="11">
        <v>41803</v>
      </c>
    </row>
    <row r="1294" spans="1:19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5</v>
      </c>
      <c r="M1294" s="6">
        <v>2019</v>
      </c>
      <c r="N1294" s="7">
        <v>0</v>
      </c>
      <c r="O1294" s="7">
        <v>0</v>
      </c>
      <c r="P1294" s="7">
        <v>2572910</v>
      </c>
      <c r="Q1294" s="7">
        <v>2512951.34</v>
      </c>
      <c r="R1294" s="11">
        <v>41803</v>
      </c>
      <c r="S1294" s="11">
        <v>41803</v>
      </c>
    </row>
    <row r="1295" spans="1:19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7</v>
      </c>
      <c r="M1295" s="6">
        <v>2021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41803</v>
      </c>
      <c r="S1295" s="11">
        <v>41803</v>
      </c>
    </row>
    <row r="1296" spans="1:19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3</v>
      </c>
      <c r="M1296" s="6">
        <v>2017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41803</v>
      </c>
      <c r="S1296" s="11">
        <v>41803</v>
      </c>
    </row>
    <row r="1297" spans="1:19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10</v>
      </c>
      <c r="M1297" s="6">
        <v>2024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41803</v>
      </c>
      <c r="S1297" s="11">
        <v>41803</v>
      </c>
    </row>
    <row r="1298" spans="1:19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</v>
      </c>
      <c r="M1298" s="6">
        <v>2015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41803</v>
      </c>
      <c r="S1298" s="11">
        <v>41803</v>
      </c>
    </row>
    <row r="1299" spans="1:19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12</v>
      </c>
      <c r="M1299" s="6">
        <v>2026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41803</v>
      </c>
      <c r="S1299" s="11">
        <v>41803</v>
      </c>
    </row>
    <row r="1300" spans="1:19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9</v>
      </c>
      <c r="M1300" s="6">
        <v>2023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41803</v>
      </c>
      <c r="S1300" s="11">
        <v>41803</v>
      </c>
    </row>
    <row r="1301" spans="1:19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6</v>
      </c>
      <c r="M1301" s="6">
        <v>2020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41803</v>
      </c>
      <c r="S1301" s="11">
        <v>41803</v>
      </c>
    </row>
    <row r="1302" spans="1:19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11</v>
      </c>
      <c r="M1302" s="6">
        <v>2025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41803</v>
      </c>
      <c r="S1302" s="11">
        <v>41803</v>
      </c>
    </row>
    <row r="1303" spans="1:19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0</v>
      </c>
      <c r="M1303" s="6">
        <v>2014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41803</v>
      </c>
      <c r="S1303" s="11">
        <v>41803</v>
      </c>
    </row>
    <row r="1304" spans="1:19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4</v>
      </c>
      <c r="M1304" s="6">
        <v>2018</v>
      </c>
      <c r="N1304" s="7">
        <v>0</v>
      </c>
      <c r="O1304" s="7">
        <v>0</v>
      </c>
      <c r="P1304" s="7">
        <v>0</v>
      </c>
      <c r="Q1304" s="7">
        <v>190966.59</v>
      </c>
      <c r="R1304" s="11">
        <v>41803</v>
      </c>
      <c r="S1304" s="11">
        <v>41803</v>
      </c>
    </row>
    <row r="1305" spans="1:19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8</v>
      </c>
      <c r="M1305" s="6">
        <v>2022</v>
      </c>
      <c r="N1305" s="7">
        <v>0</v>
      </c>
      <c r="O1305" s="7">
        <v>0</v>
      </c>
      <c r="P1305" s="7">
        <v>0</v>
      </c>
      <c r="Q1305" s="7">
        <v>190966.59</v>
      </c>
      <c r="R1305" s="11">
        <v>41803</v>
      </c>
      <c r="S1305" s="11">
        <v>41803</v>
      </c>
    </row>
    <row r="1306" spans="1:19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3</v>
      </c>
      <c r="M1306" s="6">
        <v>2017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41803</v>
      </c>
      <c r="S1306" s="11">
        <v>41803</v>
      </c>
    </row>
    <row r="1307" spans="1:19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6</v>
      </c>
      <c r="M1307" s="6">
        <v>2020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41803</v>
      </c>
      <c r="S1307" s="11">
        <v>41803</v>
      </c>
    </row>
    <row r="1308" spans="1:19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7</v>
      </c>
      <c r="M1308" s="6">
        <v>2021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41803</v>
      </c>
      <c r="S1308" s="11">
        <v>41803</v>
      </c>
    </row>
    <row r="1309" spans="1:19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1</v>
      </c>
      <c r="M1309" s="6">
        <v>2015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41803</v>
      </c>
      <c r="S1309" s="11">
        <v>41803</v>
      </c>
    </row>
    <row r="1310" spans="1:19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11</v>
      </c>
      <c r="M1310" s="6">
        <v>2025</v>
      </c>
      <c r="N1310" s="7">
        <v>0</v>
      </c>
      <c r="O1310" s="7">
        <v>0</v>
      </c>
      <c r="P1310" s="7">
        <v>0</v>
      </c>
      <c r="Q1310" s="7">
        <v>190966.59</v>
      </c>
      <c r="R1310" s="11">
        <v>41803</v>
      </c>
      <c r="S1310" s="11">
        <v>41803</v>
      </c>
    </row>
    <row r="1311" spans="1:19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10</v>
      </c>
      <c r="M1311" s="6">
        <v>2024</v>
      </c>
      <c r="N1311" s="7">
        <v>0</v>
      </c>
      <c r="O1311" s="7">
        <v>0</v>
      </c>
      <c r="P1311" s="7">
        <v>0</v>
      </c>
      <c r="Q1311" s="7">
        <v>190966.59</v>
      </c>
      <c r="R1311" s="11">
        <v>41803</v>
      </c>
      <c r="S1311" s="11">
        <v>41803</v>
      </c>
    </row>
    <row r="1312" spans="1:19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2</v>
      </c>
      <c r="M1312" s="6">
        <v>2016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41803</v>
      </c>
      <c r="S1312" s="11">
        <v>41803</v>
      </c>
    </row>
    <row r="1313" spans="1:19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12</v>
      </c>
      <c r="M1313" s="6">
        <v>2026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41803</v>
      </c>
      <c r="S1313" s="11">
        <v>41803</v>
      </c>
    </row>
    <row r="1314" spans="1:19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0</v>
      </c>
      <c r="M1314" s="6">
        <v>2014</v>
      </c>
      <c r="N1314" s="7">
        <v>0</v>
      </c>
      <c r="O1314" s="7">
        <v>0</v>
      </c>
      <c r="P1314" s="7">
        <v>0</v>
      </c>
      <c r="Q1314" s="7">
        <v>190966.59</v>
      </c>
      <c r="R1314" s="11">
        <v>41803</v>
      </c>
      <c r="S1314" s="11">
        <v>41803</v>
      </c>
    </row>
    <row r="1315" spans="1:19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9</v>
      </c>
      <c r="M1315" s="6">
        <v>2023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41803</v>
      </c>
      <c r="S1315" s="11">
        <v>41803</v>
      </c>
    </row>
    <row r="1316" spans="1:19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5</v>
      </c>
      <c r="M1316" s="6">
        <v>2019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41803</v>
      </c>
      <c r="S1316" s="11">
        <v>41803</v>
      </c>
    </row>
    <row r="1317" spans="1:19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800</v>
      </c>
      <c r="H1317" s="10">
        <v>13.1</v>
      </c>
      <c r="I1317" s="10"/>
      <c r="J1317" s="10" t="s">
        <v>106</v>
      </c>
      <c r="K1317" s="10" t="b">
        <v>1</v>
      </c>
      <c r="L1317" s="10">
        <v>1</v>
      </c>
      <c r="M1317" s="6">
        <v>2015</v>
      </c>
      <c r="N1317" s="7">
        <v>0</v>
      </c>
      <c r="O1317" s="7">
        <v>0</v>
      </c>
      <c r="P1317" s="7">
        <v>0</v>
      </c>
      <c r="Q1317" s="7">
        <v>0</v>
      </c>
      <c r="R1317" s="11">
        <v>41803</v>
      </c>
      <c r="S1317" s="11">
        <v>41803</v>
      </c>
    </row>
    <row r="1318" spans="1:19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5</v>
      </c>
      <c r="M1318" s="6">
        <v>2019</v>
      </c>
      <c r="N1318" s="7">
        <v>0</v>
      </c>
      <c r="O1318" s="7">
        <v>0</v>
      </c>
      <c r="P1318" s="7">
        <v>0</v>
      </c>
      <c r="Q1318" s="7">
        <v>0</v>
      </c>
      <c r="R1318" s="11">
        <v>41803</v>
      </c>
      <c r="S1318" s="11">
        <v>41803</v>
      </c>
    </row>
    <row r="1319" spans="1:19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4</v>
      </c>
      <c r="M1319" s="6">
        <v>2018</v>
      </c>
      <c r="N1319" s="7">
        <v>0</v>
      </c>
      <c r="O1319" s="7">
        <v>0</v>
      </c>
      <c r="P1319" s="7">
        <v>0</v>
      </c>
      <c r="Q1319" s="7">
        <v>0</v>
      </c>
      <c r="R1319" s="11">
        <v>41803</v>
      </c>
      <c r="S1319" s="11">
        <v>41803</v>
      </c>
    </row>
    <row r="1320" spans="1:19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7</v>
      </c>
      <c r="M1320" s="6">
        <v>2021</v>
      </c>
      <c r="N1320" s="7">
        <v>0</v>
      </c>
      <c r="O1320" s="7">
        <v>0</v>
      </c>
      <c r="P1320" s="7">
        <v>0</v>
      </c>
      <c r="Q1320" s="7">
        <v>0</v>
      </c>
      <c r="R1320" s="11">
        <v>41803</v>
      </c>
      <c r="S1320" s="11">
        <v>41803</v>
      </c>
    </row>
    <row r="1321" spans="1:19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8</v>
      </c>
      <c r="M1321" s="6">
        <v>2022</v>
      </c>
      <c r="N1321" s="7">
        <v>0</v>
      </c>
      <c r="O1321" s="7">
        <v>0</v>
      </c>
      <c r="P1321" s="7">
        <v>0</v>
      </c>
      <c r="Q1321" s="7">
        <v>0</v>
      </c>
      <c r="R1321" s="11">
        <v>41803</v>
      </c>
      <c r="S1321" s="11">
        <v>41803</v>
      </c>
    </row>
    <row r="1322" spans="1:19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6</v>
      </c>
      <c r="M1322" s="6">
        <v>2020</v>
      </c>
      <c r="N1322" s="7">
        <v>0</v>
      </c>
      <c r="O1322" s="7">
        <v>0</v>
      </c>
      <c r="P1322" s="7">
        <v>0</v>
      </c>
      <c r="Q1322" s="7">
        <v>0</v>
      </c>
      <c r="R1322" s="11">
        <v>41803</v>
      </c>
      <c r="S1322" s="11">
        <v>41803</v>
      </c>
    </row>
    <row r="1323" spans="1:19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12</v>
      </c>
      <c r="M1323" s="6">
        <v>2026</v>
      </c>
      <c r="N1323" s="7">
        <v>0</v>
      </c>
      <c r="O1323" s="7">
        <v>0</v>
      </c>
      <c r="P1323" s="7">
        <v>0</v>
      </c>
      <c r="Q1323" s="7">
        <v>0</v>
      </c>
      <c r="R1323" s="11">
        <v>41803</v>
      </c>
      <c r="S1323" s="11">
        <v>41803</v>
      </c>
    </row>
    <row r="1324" spans="1:19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2</v>
      </c>
      <c r="M1324" s="6">
        <v>2016</v>
      </c>
      <c r="N1324" s="7">
        <v>0</v>
      </c>
      <c r="O1324" s="7">
        <v>0</v>
      </c>
      <c r="P1324" s="7">
        <v>0</v>
      </c>
      <c r="Q1324" s="7">
        <v>0</v>
      </c>
      <c r="R1324" s="11">
        <v>41803</v>
      </c>
      <c r="S1324" s="11">
        <v>41803</v>
      </c>
    </row>
    <row r="1325" spans="1:19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11</v>
      </c>
      <c r="M1325" s="6">
        <v>2025</v>
      </c>
      <c r="N1325" s="7">
        <v>0</v>
      </c>
      <c r="O1325" s="7">
        <v>0</v>
      </c>
      <c r="P1325" s="7">
        <v>0</v>
      </c>
      <c r="Q1325" s="7">
        <v>0</v>
      </c>
      <c r="R1325" s="11">
        <v>41803</v>
      </c>
      <c r="S1325" s="11">
        <v>41803</v>
      </c>
    </row>
    <row r="1326" spans="1:19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10</v>
      </c>
      <c r="M1326" s="6">
        <v>2024</v>
      </c>
      <c r="N1326" s="7">
        <v>0</v>
      </c>
      <c r="O1326" s="7">
        <v>0</v>
      </c>
      <c r="P1326" s="7">
        <v>0</v>
      </c>
      <c r="Q1326" s="7">
        <v>0</v>
      </c>
      <c r="R1326" s="11">
        <v>41803</v>
      </c>
      <c r="S1326" s="11">
        <v>41803</v>
      </c>
    </row>
    <row r="1327" spans="1:19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0</v>
      </c>
      <c r="M1327" s="6">
        <v>2014</v>
      </c>
      <c r="N1327" s="7">
        <v>0</v>
      </c>
      <c r="O1327" s="7">
        <v>0</v>
      </c>
      <c r="P1327" s="7">
        <v>0</v>
      </c>
      <c r="Q1327" s="7">
        <v>0</v>
      </c>
      <c r="R1327" s="11">
        <v>41803</v>
      </c>
      <c r="S1327" s="11">
        <v>41803</v>
      </c>
    </row>
    <row r="1328" spans="1:19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3</v>
      </c>
      <c r="M1328" s="6">
        <v>2017</v>
      </c>
      <c r="N1328" s="7">
        <v>0</v>
      </c>
      <c r="O1328" s="7">
        <v>0</v>
      </c>
      <c r="P1328" s="7">
        <v>0</v>
      </c>
      <c r="Q1328" s="7">
        <v>0</v>
      </c>
      <c r="R1328" s="11">
        <v>41803</v>
      </c>
      <c r="S1328" s="11">
        <v>41803</v>
      </c>
    </row>
    <row r="1329" spans="1:19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9</v>
      </c>
      <c r="M1329" s="6">
        <v>2023</v>
      </c>
      <c r="N1329" s="7">
        <v>0</v>
      </c>
      <c r="O1329" s="7">
        <v>0</v>
      </c>
      <c r="P1329" s="7">
        <v>0</v>
      </c>
      <c r="Q1329" s="7">
        <v>0</v>
      </c>
      <c r="R1329" s="11">
        <v>41803</v>
      </c>
      <c r="S1329" s="11">
        <v>41803</v>
      </c>
    </row>
    <row r="1330" spans="1:19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870</v>
      </c>
      <c r="H1330" s="10">
        <v>14</v>
      </c>
      <c r="I1330" s="10"/>
      <c r="J1330" s="10" t="s">
        <v>113</v>
      </c>
      <c r="K1330" s="10" t="b">
        <v>1</v>
      </c>
      <c r="L1330" s="10">
        <v>0</v>
      </c>
      <c r="M1330" s="6">
        <v>2014</v>
      </c>
      <c r="N1330" s="7">
        <v>0</v>
      </c>
      <c r="O1330" s="7">
        <v>0</v>
      </c>
      <c r="P1330" s="7">
        <v>0</v>
      </c>
      <c r="Q1330" s="7">
        <v>0</v>
      </c>
      <c r="R1330" s="11">
        <v>41803</v>
      </c>
      <c r="S1330" s="11">
        <v>41803</v>
      </c>
    </row>
    <row r="1331" spans="1:19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11</v>
      </c>
      <c r="M1331" s="6">
        <v>2025</v>
      </c>
      <c r="N1331" s="7">
        <v>0</v>
      </c>
      <c r="O1331" s="7">
        <v>0</v>
      </c>
      <c r="P1331" s="7">
        <v>0</v>
      </c>
      <c r="Q1331" s="7">
        <v>0</v>
      </c>
      <c r="R1331" s="11">
        <v>41803</v>
      </c>
      <c r="S1331" s="11">
        <v>41803</v>
      </c>
    </row>
    <row r="1332" spans="1:19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1</v>
      </c>
      <c r="M1332" s="6">
        <v>2015</v>
      </c>
      <c r="N1332" s="7">
        <v>0</v>
      </c>
      <c r="O1332" s="7">
        <v>0</v>
      </c>
      <c r="P1332" s="7">
        <v>0</v>
      </c>
      <c r="Q1332" s="7">
        <v>0</v>
      </c>
      <c r="R1332" s="11">
        <v>41803</v>
      </c>
      <c r="S1332" s="11">
        <v>41803</v>
      </c>
    </row>
    <row r="1333" spans="1:19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3</v>
      </c>
      <c r="M1333" s="6">
        <v>2017</v>
      </c>
      <c r="N1333" s="7">
        <v>0</v>
      </c>
      <c r="O1333" s="7">
        <v>0</v>
      </c>
      <c r="P1333" s="7">
        <v>0</v>
      </c>
      <c r="Q1333" s="7">
        <v>0</v>
      </c>
      <c r="R1333" s="11">
        <v>41803</v>
      </c>
      <c r="S1333" s="11">
        <v>41803</v>
      </c>
    </row>
    <row r="1334" spans="1:19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4</v>
      </c>
      <c r="M1334" s="6">
        <v>2018</v>
      </c>
      <c r="N1334" s="7">
        <v>0</v>
      </c>
      <c r="O1334" s="7">
        <v>0</v>
      </c>
      <c r="P1334" s="7">
        <v>0</v>
      </c>
      <c r="Q1334" s="7">
        <v>0</v>
      </c>
      <c r="R1334" s="11">
        <v>41803</v>
      </c>
      <c r="S1334" s="11">
        <v>41803</v>
      </c>
    </row>
    <row r="1335" spans="1:19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5</v>
      </c>
      <c r="M1335" s="6">
        <v>2019</v>
      </c>
      <c r="N1335" s="7">
        <v>0</v>
      </c>
      <c r="O1335" s="7">
        <v>0</v>
      </c>
      <c r="P1335" s="7">
        <v>0</v>
      </c>
      <c r="Q1335" s="7">
        <v>0</v>
      </c>
      <c r="R1335" s="11">
        <v>41803</v>
      </c>
      <c r="S1335" s="11">
        <v>41803</v>
      </c>
    </row>
    <row r="1336" spans="1:19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2</v>
      </c>
      <c r="M1336" s="6">
        <v>2016</v>
      </c>
      <c r="N1336" s="7">
        <v>0</v>
      </c>
      <c r="O1336" s="7">
        <v>0</v>
      </c>
      <c r="P1336" s="7">
        <v>0</v>
      </c>
      <c r="Q1336" s="7">
        <v>0</v>
      </c>
      <c r="R1336" s="11">
        <v>41803</v>
      </c>
      <c r="S1336" s="11">
        <v>41803</v>
      </c>
    </row>
    <row r="1337" spans="1:19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6</v>
      </c>
      <c r="M1337" s="6">
        <v>2020</v>
      </c>
      <c r="N1337" s="7">
        <v>0</v>
      </c>
      <c r="O1337" s="7">
        <v>0</v>
      </c>
      <c r="P1337" s="7">
        <v>0</v>
      </c>
      <c r="Q1337" s="7">
        <v>0</v>
      </c>
      <c r="R1337" s="11">
        <v>41803</v>
      </c>
      <c r="S1337" s="11">
        <v>41803</v>
      </c>
    </row>
    <row r="1338" spans="1:19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7</v>
      </c>
      <c r="M1338" s="6">
        <v>2021</v>
      </c>
      <c r="N1338" s="7">
        <v>0</v>
      </c>
      <c r="O1338" s="7">
        <v>0</v>
      </c>
      <c r="P1338" s="7">
        <v>0</v>
      </c>
      <c r="Q1338" s="7">
        <v>0</v>
      </c>
      <c r="R1338" s="11">
        <v>41803</v>
      </c>
      <c r="S1338" s="11">
        <v>41803</v>
      </c>
    </row>
    <row r="1339" spans="1:19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9</v>
      </c>
      <c r="M1339" s="6">
        <v>2023</v>
      </c>
      <c r="N1339" s="7">
        <v>0</v>
      </c>
      <c r="O1339" s="7">
        <v>0</v>
      </c>
      <c r="P1339" s="7">
        <v>0</v>
      </c>
      <c r="Q1339" s="7">
        <v>0</v>
      </c>
      <c r="R1339" s="11">
        <v>41803</v>
      </c>
      <c r="S1339" s="11">
        <v>41803</v>
      </c>
    </row>
    <row r="1340" spans="1:19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8</v>
      </c>
      <c r="M1340" s="6">
        <v>2022</v>
      </c>
      <c r="N1340" s="7">
        <v>0</v>
      </c>
      <c r="O1340" s="7">
        <v>0</v>
      </c>
      <c r="P1340" s="7">
        <v>0</v>
      </c>
      <c r="Q1340" s="7">
        <v>0</v>
      </c>
      <c r="R1340" s="11">
        <v>41803</v>
      </c>
      <c r="S1340" s="11">
        <v>41803</v>
      </c>
    </row>
    <row r="1341" spans="1:19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10</v>
      </c>
      <c r="M1341" s="6">
        <v>2024</v>
      </c>
      <c r="N1341" s="7">
        <v>0</v>
      </c>
      <c r="O1341" s="7">
        <v>0</v>
      </c>
      <c r="P1341" s="7">
        <v>0</v>
      </c>
      <c r="Q1341" s="7">
        <v>0</v>
      </c>
      <c r="R1341" s="11">
        <v>41803</v>
      </c>
      <c r="S1341" s="11">
        <v>41803</v>
      </c>
    </row>
    <row r="1342" spans="1:19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12</v>
      </c>
      <c r="M1342" s="6">
        <v>2026</v>
      </c>
      <c r="N1342" s="7">
        <v>0</v>
      </c>
      <c r="O1342" s="7">
        <v>0</v>
      </c>
      <c r="P1342" s="7">
        <v>0</v>
      </c>
      <c r="Q1342" s="7">
        <v>0</v>
      </c>
      <c r="R1342" s="11">
        <v>41803</v>
      </c>
      <c r="S1342" s="11">
        <v>41803</v>
      </c>
    </row>
    <row r="1343" spans="1:19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900</v>
      </c>
      <c r="H1343" s="10">
        <v>14.3</v>
      </c>
      <c r="I1343" s="10"/>
      <c r="J1343" s="10" t="s">
        <v>116</v>
      </c>
      <c r="K1343" s="10" t="b">
        <v>1</v>
      </c>
      <c r="L1343" s="10">
        <v>4</v>
      </c>
      <c r="M1343" s="6">
        <v>2018</v>
      </c>
      <c r="N1343" s="7">
        <v>0</v>
      </c>
      <c r="O1343" s="7">
        <v>0</v>
      </c>
      <c r="P1343" s="7">
        <v>0</v>
      </c>
      <c r="Q1343" s="7">
        <v>0</v>
      </c>
      <c r="R1343" s="11">
        <v>41803</v>
      </c>
      <c r="S1343" s="11">
        <v>41803</v>
      </c>
    </row>
    <row r="1344" spans="1:19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12</v>
      </c>
      <c r="M1344" s="6">
        <v>2026</v>
      </c>
      <c r="N1344" s="7">
        <v>0</v>
      </c>
      <c r="O1344" s="7">
        <v>0</v>
      </c>
      <c r="P1344" s="7">
        <v>0</v>
      </c>
      <c r="Q1344" s="7">
        <v>0</v>
      </c>
      <c r="R1344" s="11">
        <v>41803</v>
      </c>
      <c r="S1344" s="11">
        <v>41803</v>
      </c>
    </row>
    <row r="1345" spans="1:19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10</v>
      </c>
      <c r="M1345" s="6">
        <v>2024</v>
      </c>
      <c r="N1345" s="7">
        <v>0</v>
      </c>
      <c r="O1345" s="7">
        <v>0</v>
      </c>
      <c r="P1345" s="7">
        <v>0</v>
      </c>
      <c r="Q1345" s="7">
        <v>0</v>
      </c>
      <c r="R1345" s="11">
        <v>41803</v>
      </c>
      <c r="S1345" s="11">
        <v>41803</v>
      </c>
    </row>
    <row r="1346" spans="1:19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0</v>
      </c>
      <c r="M1346" s="6">
        <v>2014</v>
      </c>
      <c r="N1346" s="7">
        <v>0</v>
      </c>
      <c r="O1346" s="7">
        <v>0</v>
      </c>
      <c r="P1346" s="7">
        <v>0</v>
      </c>
      <c r="Q1346" s="7">
        <v>0</v>
      </c>
      <c r="R1346" s="11">
        <v>41803</v>
      </c>
      <c r="S1346" s="11">
        <v>41803</v>
      </c>
    </row>
    <row r="1347" spans="1:19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6</v>
      </c>
      <c r="M1347" s="6">
        <v>2020</v>
      </c>
      <c r="N1347" s="7">
        <v>0</v>
      </c>
      <c r="O1347" s="7">
        <v>0</v>
      </c>
      <c r="P1347" s="7">
        <v>0</v>
      </c>
      <c r="Q1347" s="7">
        <v>0</v>
      </c>
      <c r="R1347" s="11">
        <v>41803</v>
      </c>
      <c r="S1347" s="11">
        <v>41803</v>
      </c>
    </row>
    <row r="1348" spans="1:19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1</v>
      </c>
      <c r="M1348" s="6">
        <v>2015</v>
      </c>
      <c r="N1348" s="7">
        <v>0</v>
      </c>
      <c r="O1348" s="7">
        <v>0</v>
      </c>
      <c r="P1348" s="7">
        <v>0</v>
      </c>
      <c r="Q1348" s="7">
        <v>0</v>
      </c>
      <c r="R1348" s="11">
        <v>41803</v>
      </c>
      <c r="S1348" s="11">
        <v>41803</v>
      </c>
    </row>
    <row r="1349" spans="1:19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5</v>
      </c>
      <c r="M1349" s="6">
        <v>2019</v>
      </c>
      <c r="N1349" s="7">
        <v>0</v>
      </c>
      <c r="O1349" s="7">
        <v>0</v>
      </c>
      <c r="P1349" s="7">
        <v>0</v>
      </c>
      <c r="Q1349" s="7">
        <v>0</v>
      </c>
      <c r="R1349" s="11">
        <v>41803</v>
      </c>
      <c r="S1349" s="11">
        <v>41803</v>
      </c>
    </row>
    <row r="1350" spans="1:19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11</v>
      </c>
      <c r="M1350" s="6">
        <v>2025</v>
      </c>
      <c r="N1350" s="7">
        <v>0</v>
      </c>
      <c r="O1350" s="7">
        <v>0</v>
      </c>
      <c r="P1350" s="7">
        <v>0</v>
      </c>
      <c r="Q1350" s="7">
        <v>0</v>
      </c>
      <c r="R1350" s="11">
        <v>41803</v>
      </c>
      <c r="S1350" s="11">
        <v>41803</v>
      </c>
    </row>
    <row r="1351" spans="1:19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2</v>
      </c>
      <c r="M1351" s="6">
        <v>2016</v>
      </c>
      <c r="N1351" s="7">
        <v>0</v>
      </c>
      <c r="O1351" s="7">
        <v>0</v>
      </c>
      <c r="P1351" s="7">
        <v>0</v>
      </c>
      <c r="Q1351" s="7">
        <v>0</v>
      </c>
      <c r="R1351" s="11">
        <v>41803</v>
      </c>
      <c r="S1351" s="11">
        <v>41803</v>
      </c>
    </row>
    <row r="1352" spans="1:19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3</v>
      </c>
      <c r="M1352" s="6">
        <v>2017</v>
      </c>
      <c r="N1352" s="7">
        <v>0</v>
      </c>
      <c r="O1352" s="7">
        <v>0</v>
      </c>
      <c r="P1352" s="7">
        <v>0</v>
      </c>
      <c r="Q1352" s="7">
        <v>0</v>
      </c>
      <c r="R1352" s="11">
        <v>41803</v>
      </c>
      <c r="S1352" s="11">
        <v>41803</v>
      </c>
    </row>
    <row r="1353" spans="1:19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7</v>
      </c>
      <c r="M1353" s="6">
        <v>2021</v>
      </c>
      <c r="N1353" s="7">
        <v>0</v>
      </c>
      <c r="O1353" s="7">
        <v>0</v>
      </c>
      <c r="P1353" s="7">
        <v>0</v>
      </c>
      <c r="Q1353" s="7">
        <v>0</v>
      </c>
      <c r="R1353" s="11">
        <v>41803</v>
      </c>
      <c r="S1353" s="11">
        <v>41803</v>
      </c>
    </row>
    <row r="1354" spans="1:19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9</v>
      </c>
      <c r="M1354" s="6">
        <v>2023</v>
      </c>
      <c r="N1354" s="7">
        <v>0</v>
      </c>
      <c r="O1354" s="7">
        <v>0</v>
      </c>
      <c r="P1354" s="7">
        <v>0</v>
      </c>
      <c r="Q1354" s="7">
        <v>0</v>
      </c>
      <c r="R1354" s="11">
        <v>41803</v>
      </c>
      <c r="S1354" s="11">
        <v>41803</v>
      </c>
    </row>
    <row r="1355" spans="1:19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8</v>
      </c>
      <c r="M1355" s="6">
        <v>2022</v>
      </c>
      <c r="N1355" s="7">
        <v>0</v>
      </c>
      <c r="O1355" s="7">
        <v>0</v>
      </c>
      <c r="P1355" s="7">
        <v>0</v>
      </c>
      <c r="Q1355" s="7">
        <v>0</v>
      </c>
      <c r="R1355" s="11">
        <v>41803</v>
      </c>
      <c r="S1355" s="11">
        <v>41803</v>
      </c>
    </row>
    <row r="1356" spans="1:19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10</v>
      </c>
      <c r="M1356" s="6">
        <v>2024</v>
      </c>
      <c r="N1356" s="7">
        <v>0</v>
      </c>
      <c r="O1356" s="7">
        <v>0</v>
      </c>
      <c r="P1356" s="7">
        <v>0</v>
      </c>
      <c r="Q1356" s="7">
        <v>0</v>
      </c>
      <c r="R1356" s="11">
        <v>41803</v>
      </c>
      <c r="S1356" s="11">
        <v>41803</v>
      </c>
    </row>
    <row r="1357" spans="1:19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8</v>
      </c>
      <c r="M1357" s="6">
        <v>2022</v>
      </c>
      <c r="N1357" s="7">
        <v>0</v>
      </c>
      <c r="O1357" s="7">
        <v>0</v>
      </c>
      <c r="P1357" s="7">
        <v>0</v>
      </c>
      <c r="Q1357" s="7">
        <v>0</v>
      </c>
      <c r="R1357" s="11">
        <v>41803</v>
      </c>
      <c r="S1357" s="11">
        <v>41803</v>
      </c>
    </row>
    <row r="1358" spans="1:19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7</v>
      </c>
      <c r="M1358" s="6">
        <v>2021</v>
      </c>
      <c r="N1358" s="7">
        <v>0</v>
      </c>
      <c r="O1358" s="7">
        <v>0</v>
      </c>
      <c r="P1358" s="7">
        <v>0</v>
      </c>
      <c r="Q1358" s="7">
        <v>0</v>
      </c>
      <c r="R1358" s="11">
        <v>41803</v>
      </c>
      <c r="S1358" s="11">
        <v>41803</v>
      </c>
    </row>
    <row r="1359" spans="1:19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5</v>
      </c>
      <c r="M1359" s="6">
        <v>2019</v>
      </c>
      <c r="N1359" s="7">
        <v>0</v>
      </c>
      <c r="O1359" s="7">
        <v>0</v>
      </c>
      <c r="P1359" s="7">
        <v>0</v>
      </c>
      <c r="Q1359" s="7">
        <v>0</v>
      </c>
      <c r="R1359" s="11">
        <v>41803</v>
      </c>
      <c r="S1359" s="11">
        <v>41803</v>
      </c>
    </row>
    <row r="1360" spans="1:19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3</v>
      </c>
      <c r="M1360" s="6">
        <v>2017</v>
      </c>
      <c r="N1360" s="7">
        <v>0</v>
      </c>
      <c r="O1360" s="7">
        <v>0</v>
      </c>
      <c r="P1360" s="7">
        <v>0</v>
      </c>
      <c r="Q1360" s="7">
        <v>0</v>
      </c>
      <c r="R1360" s="11">
        <v>41803</v>
      </c>
      <c r="S1360" s="11">
        <v>41803</v>
      </c>
    </row>
    <row r="1361" spans="1:19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2</v>
      </c>
      <c r="M1361" s="6">
        <v>2016</v>
      </c>
      <c r="N1361" s="7">
        <v>0</v>
      </c>
      <c r="O1361" s="7">
        <v>0</v>
      </c>
      <c r="P1361" s="7">
        <v>0</v>
      </c>
      <c r="Q1361" s="7">
        <v>0</v>
      </c>
      <c r="R1361" s="11">
        <v>41803</v>
      </c>
      <c r="S1361" s="11">
        <v>41803</v>
      </c>
    </row>
    <row r="1362" spans="1:19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9</v>
      </c>
      <c r="M1362" s="6">
        <v>2023</v>
      </c>
      <c r="N1362" s="7">
        <v>0</v>
      </c>
      <c r="O1362" s="7">
        <v>0</v>
      </c>
      <c r="P1362" s="7">
        <v>0</v>
      </c>
      <c r="Q1362" s="7">
        <v>0</v>
      </c>
      <c r="R1362" s="11">
        <v>41803</v>
      </c>
      <c r="S1362" s="11">
        <v>41803</v>
      </c>
    </row>
    <row r="1363" spans="1:19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11</v>
      </c>
      <c r="M1363" s="6">
        <v>2025</v>
      </c>
      <c r="N1363" s="7">
        <v>0</v>
      </c>
      <c r="O1363" s="7">
        <v>0</v>
      </c>
      <c r="P1363" s="7">
        <v>0</v>
      </c>
      <c r="Q1363" s="7">
        <v>0</v>
      </c>
      <c r="R1363" s="11">
        <v>41803</v>
      </c>
      <c r="S1363" s="11">
        <v>41803</v>
      </c>
    </row>
    <row r="1364" spans="1:19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0</v>
      </c>
      <c r="M1364" s="6">
        <v>2014</v>
      </c>
      <c r="N1364" s="7">
        <v>0</v>
      </c>
      <c r="O1364" s="7">
        <v>0</v>
      </c>
      <c r="P1364" s="7">
        <v>0</v>
      </c>
      <c r="Q1364" s="7">
        <v>0</v>
      </c>
      <c r="R1364" s="11">
        <v>41803</v>
      </c>
      <c r="S1364" s="11">
        <v>41803</v>
      </c>
    </row>
    <row r="1365" spans="1:19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6</v>
      </c>
      <c r="M1365" s="6">
        <v>2020</v>
      </c>
      <c r="N1365" s="7">
        <v>0</v>
      </c>
      <c r="O1365" s="7">
        <v>0</v>
      </c>
      <c r="P1365" s="7">
        <v>0</v>
      </c>
      <c r="Q1365" s="7">
        <v>0</v>
      </c>
      <c r="R1365" s="11">
        <v>41803</v>
      </c>
      <c r="S1365" s="11">
        <v>41803</v>
      </c>
    </row>
    <row r="1366" spans="1:19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12</v>
      </c>
      <c r="M1366" s="6">
        <v>2026</v>
      </c>
      <c r="N1366" s="7">
        <v>0</v>
      </c>
      <c r="O1366" s="7">
        <v>0</v>
      </c>
      <c r="P1366" s="7">
        <v>0</v>
      </c>
      <c r="Q1366" s="7">
        <v>0</v>
      </c>
      <c r="R1366" s="11">
        <v>41803</v>
      </c>
      <c r="S1366" s="11">
        <v>41803</v>
      </c>
    </row>
    <row r="1367" spans="1:19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1</v>
      </c>
      <c r="M1367" s="6">
        <v>2015</v>
      </c>
      <c r="N1367" s="7">
        <v>0</v>
      </c>
      <c r="O1367" s="7">
        <v>0</v>
      </c>
      <c r="P1367" s="7">
        <v>0</v>
      </c>
      <c r="Q1367" s="7">
        <v>0</v>
      </c>
      <c r="R1367" s="11">
        <v>41803</v>
      </c>
      <c r="S1367" s="11">
        <v>41803</v>
      </c>
    </row>
    <row r="1368" spans="1:19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4</v>
      </c>
      <c r="M1368" s="6">
        <v>2018</v>
      </c>
      <c r="N1368" s="7">
        <v>0</v>
      </c>
      <c r="O1368" s="7">
        <v>0</v>
      </c>
      <c r="P1368" s="7">
        <v>0</v>
      </c>
      <c r="Q1368" s="7">
        <v>0</v>
      </c>
      <c r="R1368" s="11">
        <v>41803</v>
      </c>
      <c r="S1368" s="11">
        <v>41803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mmichnicka</cp:lastModifiedBy>
  <cp:lastPrinted>2014-06-17T11:00:57Z</cp:lastPrinted>
  <dcterms:created xsi:type="dcterms:W3CDTF">2010-09-17T02:30:46Z</dcterms:created>
  <dcterms:modified xsi:type="dcterms:W3CDTF">2014-06-17T11:43:28Z</dcterms:modified>
  <cp:category/>
  <cp:version/>
  <cp:contentType/>
  <cp:contentStatus/>
</cp:coreProperties>
</file>