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980" windowHeight="8190" tabRatio="734" activeTab="1"/>
  </bookViews>
  <sheets>
    <sheet name="Tabela nr 1" sheetId="1" r:id="rId1"/>
    <sheet name="Tabela nr 2" sheetId="2" r:id="rId2"/>
    <sheet name="Tabela nr 3" sheetId="3" r:id="rId3"/>
    <sheet name="Tabela nr 4" sheetId="4" r:id="rId4"/>
    <sheet name="Tabela nr 5" sheetId="5" r:id="rId5"/>
    <sheet name="Tabela  nr  6" sheetId="6" r:id="rId6"/>
    <sheet name="Tabela nr 7" sheetId="7" r:id="rId7"/>
    <sheet name="Tabela nr 8" sheetId="8" r:id="rId8"/>
    <sheet name="Tabela nr 9" sheetId="9" r:id="rId9"/>
    <sheet name="Tabela nr 10" sheetId="10" r:id="rId10"/>
    <sheet name="Tabela nr 11" sheetId="11" r:id="rId11"/>
    <sheet name="Tabela nr 12" sheetId="12" r:id="rId12"/>
    <sheet name="Wolny" sheetId="13" r:id="rId13"/>
  </sheets>
  <definedNames>
    <definedName name="_xlnm.Print_Titles" localSheetId="0">'Tabela nr 1'!$9:$11</definedName>
    <definedName name="_xlnm.Print_Titles" localSheetId="9">'Tabela nr 10'!$10:$10</definedName>
    <definedName name="_xlnm.Print_Titles" localSheetId="11">'Tabela nr 12'!$A:$A,'Tabela nr 12'!$7:$9</definedName>
    <definedName name="_xlnm.Print_Titles" localSheetId="1">'Tabela nr 2'!$8:$10</definedName>
    <definedName name="_xlnm.Print_Titles" localSheetId="2">'Tabela nr 3'!$8:$10</definedName>
    <definedName name="_xlnm.Print_Titles" localSheetId="3">'Tabela nr 4'!$10:$10</definedName>
    <definedName name="_xlnm.Print_Titles" localSheetId="4">'Tabela nr 5'!$10:$10</definedName>
    <definedName name="_xlnm.Print_Titles" localSheetId="8">'Tabela nr 9'!$7:$7</definedName>
  </definedNames>
  <calcPr fullCalcOnLoad="1"/>
</workbook>
</file>

<file path=xl/sharedStrings.xml><?xml version="1.0" encoding="utf-8"?>
<sst xmlns="http://schemas.openxmlformats.org/spreadsheetml/2006/main" count="2765" uniqueCount="850">
  <si>
    <t>dotacja celowa do Samorządu Województwa Wielkopolskiego na wypłatę odszkodowań za grunty przejęte pod realizację zadania pn. " Budowa drogi - łącznik od ul. Przemysłowej do ul. Kleczewskiej w Koninie"</t>
  </si>
  <si>
    <r>
      <rPr>
        <b/>
        <sz val="9"/>
        <rFont val="Times New Roman"/>
        <family val="1"/>
      </rPr>
      <t>koszty kształcenia ucznia na terenie innej jst</t>
    </r>
    <r>
      <rPr>
        <sz val="9"/>
        <rFont val="Times New Roman"/>
        <family val="1"/>
      </rPr>
      <t>, dla Ośrodka Dokształcania i Doskonalenia Zawodowego w Zespole Szkół i Placówek Kształcenia Zawodowego w Zielonej Górze</t>
    </r>
  </si>
  <si>
    <t>TABELA nr 11</t>
  </si>
  <si>
    <t xml:space="preserve">WYKONANIE  PRZYCHODÓW  I  KOSZTÓW SAMORZĄDOWEGO ZAKŁADU BUDŻETOWEGO </t>
  </si>
  <si>
    <t>PLAN</t>
  </si>
  <si>
    <t>W Y K O N A N I E</t>
  </si>
  <si>
    <t>stan środków na</t>
  </si>
  <si>
    <t>początek okresu</t>
  </si>
  <si>
    <t>KOSZTÓW</t>
  </si>
  <si>
    <t>KOSZTY</t>
  </si>
  <si>
    <t>koniec okresu</t>
  </si>
  <si>
    <t>sprawozdawczego</t>
  </si>
  <si>
    <t>dotacja przedmiotowa do kosztów 1 wozokilometra w wysokości 2,95 zł</t>
  </si>
  <si>
    <t>porozumienia międzygminne</t>
  </si>
  <si>
    <t xml:space="preserve">                                                     ZA I PÓŁROCZE 2015 ROKU</t>
  </si>
  <si>
    <t>Zmiany w planie wydatków na realizację programów finansowanych z udziałem</t>
  </si>
  <si>
    <t>środków funduszy strukturalnych, EFS, WRPO oraz innych* w 2015 roku</t>
  </si>
  <si>
    <t>Nazwa Projektu</t>
  </si>
  <si>
    <t>Realizujący</t>
  </si>
  <si>
    <t>zmiany w ciągu roku</t>
  </si>
  <si>
    <t>Budżet Uchwalony - Uchwała  nr 22 RMK z dnia 21.01.2015r.</t>
  </si>
  <si>
    <t>Zarządzenie  Nr 17/2015  PMK z dnia 12.02.2015r.</t>
  </si>
  <si>
    <t>Uchwała Nr 40 RMK z dnia 25.02.2015r.</t>
  </si>
  <si>
    <t>Uchwała Nr 69 RMK z dnia 25.03.2015r.</t>
  </si>
  <si>
    <t>Zarządzenie  Nr 47/2015  PMK z dnia 10.04.2015r.</t>
  </si>
  <si>
    <t>Uchwała Nr 98 RMK z dnia 29.04.2015r.</t>
  </si>
  <si>
    <t>Zarządzenie  Nr 68/2015  PMK z dnia 21.05.2015r.</t>
  </si>
  <si>
    <t>Zarządzenie  Nr 78/2015  PMK z dnia 11.06.2015r.</t>
  </si>
  <si>
    <t>Uchwała Nr 134 RMK z dnia 24.06.2015r.</t>
  </si>
  <si>
    <t>Zarządzenie  Nr 86/2015  PMK z dnia 25.06.2015r.</t>
  </si>
  <si>
    <t>Budżet Uchwalony</t>
  </si>
  <si>
    <t>1 zmiana</t>
  </si>
  <si>
    <t>2 zmiana</t>
  </si>
  <si>
    <t>3 zmiana</t>
  </si>
  <si>
    <t>4 zmiana</t>
  </si>
  <si>
    <t>5 zmiana</t>
  </si>
  <si>
    <t>6 zmiana</t>
  </si>
  <si>
    <t>7 zmiana</t>
  </si>
  <si>
    <t>8 zmiana</t>
  </si>
  <si>
    <t>9 zmiana</t>
  </si>
  <si>
    <t>"PI Wsparcie rozwoju narzędzi związanych z kontraktowaniem usług społecznych w Koninie"</t>
  </si>
  <si>
    <t>po zmianach</t>
  </si>
  <si>
    <t xml:space="preserve">zmniejszenia </t>
  </si>
  <si>
    <t>zwiększenia</t>
  </si>
  <si>
    <t>uwagi</t>
  </si>
  <si>
    <t>"Słoneczny świat przedszkolaka"</t>
  </si>
  <si>
    <t>P10</t>
  </si>
  <si>
    <t>"Wszystko zaczyna się od przedszkola"</t>
  </si>
  <si>
    <t>P14</t>
  </si>
  <si>
    <t>"Objazd Europy z Jules Varnes i naszymi przyjaciółmi partnerami"</t>
  </si>
  <si>
    <t>G1</t>
  </si>
  <si>
    <t>"Aktywni po pięćdziesiątce - czas na zmiany!"</t>
  </si>
  <si>
    <t>"Uzbrojenie terenów inwestycyjnych w obrębie Konin- Międzylesie"</t>
  </si>
  <si>
    <t>"Opracowanie Planu gospodarki niskoemisyjnej dla Miasta Konina na lata 2014-2020"</t>
  </si>
  <si>
    <t>"Wspólnie obudźmy lepsze jutro"</t>
  </si>
  <si>
    <t>G2</t>
  </si>
  <si>
    <t>wpr.do budżetu</t>
  </si>
  <si>
    <t>część powiatowa</t>
  </si>
  <si>
    <t>"Uczący się nauczyciele - wykształcony uczeń"</t>
  </si>
  <si>
    <t>ILO</t>
  </si>
  <si>
    <t>"Staż dla zawodowców - zagraniczna praktyka zawodowa dla uczniów ZSB"</t>
  </si>
  <si>
    <t>ZSB</t>
  </si>
  <si>
    <t>"Otwieramy się na Europę"</t>
  </si>
  <si>
    <t>ZSGE</t>
  </si>
  <si>
    <t>Łączne planowane wydatki: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</si>
  <si>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</si>
  <si>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</si>
  <si>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budowa przyłączy kanalizacyjnych i przyłączenie nieruchomości do miejskiej sieci kanalizacyjnej</t>
  </si>
  <si>
    <t>prace konserwatorsko-restauratorskie polichromii E.Niewiadomskiego - Parafia pw Św. Bartłomieja</t>
  </si>
  <si>
    <t>prace konserwatorsko-restauratorskie krucyfiksu w kruchcie - Parafia pw Św. Andrzeja Apostoła w Koninie</t>
  </si>
  <si>
    <t>organizacja imprez kulturalnych dla mieszkańców m. Konina</t>
  </si>
  <si>
    <t xml:space="preserve">Kultura fizyczna  </t>
  </si>
  <si>
    <t xml:space="preserve">                           ZA  I PÓŁROCZE  2015 ROKU</t>
  </si>
  <si>
    <t xml:space="preserve">POROZUMIEŃ MIĘDZY JEDNOSTKAMI SAMORZĄDU TERYTORIALNEGO </t>
  </si>
  <si>
    <t>Wykonanie na 30 czerwca 2015 roku</t>
  </si>
  <si>
    <r>
      <t xml:space="preserve">§  950- </t>
    </r>
    <r>
      <rPr>
        <sz val="9"/>
        <rFont val="Times New Roman"/>
        <family val="1"/>
      </rPr>
      <t>Wolne środki, o których mowa w art.217 ust. 2 pkt 6 ustawy</t>
    </r>
  </si>
  <si>
    <r>
      <t>§ 992 -</t>
    </r>
    <r>
      <rPr>
        <sz val="9"/>
        <rFont val="Times New Roman"/>
        <family val="1"/>
      </rPr>
      <t xml:space="preserve"> Plan Spłat otrzymanych krajowych pożyczek i kredytów</t>
    </r>
  </si>
  <si>
    <t xml:space="preserve">                                                                       ZA I PÓŁROCZE 2015 ROKU</t>
  </si>
  <si>
    <t>Pozostałe zadania   w zakresie polityki społecznej</t>
  </si>
  <si>
    <t xml:space="preserve">      OGÓŁEM </t>
  </si>
  <si>
    <t>Razem zadania powiatu</t>
  </si>
  <si>
    <t xml:space="preserve"> w złotych</t>
  </si>
  <si>
    <t>Plan dochodów na 2015 rok</t>
  </si>
  <si>
    <t>O980</t>
  </si>
  <si>
    <t>Wpływy z tytułu zwrotów wypłaconych świadczeń z funduszu alimentacyjnego</t>
  </si>
  <si>
    <t>Wpływy z opłat za trwały zarząd, użytkowanie, służebności i użytkowanie wieczyste nieruchomości</t>
  </si>
  <si>
    <t>RAZEM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</si>
  <si>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</si>
  <si>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porozumień, (umów)  między jednostkami samorządu terytorialnego</t>
  </si>
  <si>
    <t>Opłaty z tytułu  zakupu usług telekomunikacyjnych</t>
  </si>
  <si>
    <t xml:space="preserve">Opłaty z tytułu  zakupu usług telekomunikacyjnych </t>
  </si>
  <si>
    <t>Inne formy kształcenia osobno niewymienione</t>
  </si>
  <si>
    <t>Opłaty za administrowanie i czynsze za budynki,lokale i pomieszczenia garażowe</t>
  </si>
  <si>
    <t xml:space="preserve">Domy pomocy społecznej  </t>
  </si>
  <si>
    <t xml:space="preserve">Zakup usług obejmujących wykonanie ekspertyz, analiz i opinii </t>
  </si>
  <si>
    <t xml:space="preserve">Wydatki  inwestycyjne jednostek budżetowych  </t>
  </si>
  <si>
    <t>Lp.</t>
  </si>
  <si>
    <t>Zasiłki stałe</t>
  </si>
  <si>
    <t>Uposażenia żołnierzy zawodowych i nadterminowych oraz funkcjonariuszy</t>
  </si>
  <si>
    <t>Pozostałe należności żołnierzy zawodowych i nadterminowych  oraz funkcjonariuszy</t>
  </si>
  <si>
    <t xml:space="preserve">Wpływy ze sprzedaży składników majątkowych </t>
  </si>
  <si>
    <t>Dotacje celowe z budżetu jednostki samorządu terytorialnego, udzielone w trybie art.221 ustawy na finansowanie lub dofinansowanie zadań zleconych do realizacji organizacjom prowadzącym działalność pożytku publicznego</t>
  </si>
  <si>
    <t>Dotacje celowe z budżetu jednostki samorządu terytorialnego, udzielone w trybie art.221 ustawy, na finansowanie lub dofinansowanie zadań zleconych do realizacji organizacjom prowadzącym działalność pożytku publicznego</t>
  </si>
  <si>
    <t>Pomoc materialna dla uczniów</t>
  </si>
  <si>
    <t>Stypendia dla uczniów</t>
  </si>
  <si>
    <t>Podatek od towarów i usług (VAT)</t>
  </si>
  <si>
    <t xml:space="preserve">Instytucje kultury fizycznej  </t>
  </si>
  <si>
    <t>Wynagrodzenia osobowe członków korpusu służby cywilnej</t>
  </si>
  <si>
    <t>Wpływy z opłat za  zezwolenia na sprzedaż napojów alkoholowych</t>
  </si>
  <si>
    <t>Świadczenia rodzinne, świadczenie z funduszu alimentacyjnego  oraz składki na ubezpieczenia emerytalne i rentowe z ubezpieczenia społecznego</t>
  </si>
  <si>
    <t>Wpływy z podatku rolnego, podatku leśnego, podatku od czynności cywilnoprawnych,  podatków i opłat lokalnych od osób prawnych i innych jednostek organizacyjnych</t>
  </si>
  <si>
    <t>O310</t>
  </si>
  <si>
    <t>O320</t>
  </si>
  <si>
    <t>Podatek rolny</t>
  </si>
  <si>
    <t>O330</t>
  </si>
  <si>
    <t>Podatek leśny</t>
  </si>
  <si>
    <t>O340</t>
  </si>
  <si>
    <t>Podatek od środków transportowych</t>
  </si>
  <si>
    <t>O500</t>
  </si>
  <si>
    <t>Podatek od czynności cywilnoprawnych</t>
  </si>
  <si>
    <t>Rekompensaty utraconych dochodów w podatkach i opłatach lokalnych</t>
  </si>
  <si>
    <t>Dotacja celowa z budżetu na finansowanie lub dofinansowanie zadań zleconych do realizacji pozostałym jednostkom niezaliczanym do sektora finansów publicznych</t>
  </si>
  <si>
    <t xml:space="preserve">Oświetlenie ulic, placów i dróg  </t>
  </si>
  <si>
    <t xml:space="preserve">Pozostała działalność  </t>
  </si>
  <si>
    <t>Nazwa</t>
  </si>
  <si>
    <t xml:space="preserve">Kultura i ochrona dziedzictwa narodowego      </t>
  </si>
  <si>
    <t>Dotacje celowe otrzymane z budżetu państwa na inwestycyjne i zakupy inwestycyjne z zakresu administracji rządowej oraz inne zadania zlecone ustawami realizowane przez powiat</t>
  </si>
  <si>
    <t>Dotacje celowe z budżetu na finansowanie lub dofinansowanie kosztów realizacji inwestycji i zakupów inwestycyjnych jednostek niezaliczanych do sektora finansów publicznych</t>
  </si>
  <si>
    <t>Dotacja podmiotowa z budżetu dla  samorządowej instytucji kultury</t>
  </si>
  <si>
    <t>Ochrona  zabytków i opieka nad zabytkami</t>
  </si>
  <si>
    <t>Obiekty sportowe</t>
  </si>
  <si>
    <t>Wpływy z podatku rolnego, podatku leśnego, podatku od spadków i darowizn, podatku od czynności cywilnoprawnych  oraz podatków i opłat lokalnych  od osób fizycznych</t>
  </si>
  <si>
    <t>Wydatki osobowe niezaliczone do uposażeń wypłacane żołnierzom i funkcjonariuszom</t>
  </si>
  <si>
    <t>Dodatkowe uposażenie roczne dla żołnierzy zawodowych oraz  nagrody roczne dla funkcjonariuszy</t>
  </si>
  <si>
    <t>Równoważniki pieniężne i ekwiwalenty dla żołnierzy i funkcjonariuszy</t>
  </si>
  <si>
    <t>Zadania powiatu</t>
  </si>
  <si>
    <t>Część równoważąca subwencji ogólnej dla powiatów</t>
  </si>
  <si>
    <t>Dokształcanie i doskonalenie nauczycieli</t>
  </si>
  <si>
    <t>Dotacja celowa z budżetu na finansowanie lub dofinansowanie zadań zleconych do realizacji pozostałym jednostkom nie zaliczanym do sektora finansów publicznych</t>
  </si>
  <si>
    <t>Jednostki specjalistycznego poradnictwa, mieszkania chronione i ośrodki interwencji kryzysowej</t>
  </si>
  <si>
    <t>Ośrodki dokumentacji geodezyjnej i kartograficznej</t>
  </si>
  <si>
    <t>Dotacje celowe otrzymane z budżetu państwa na realizację własnych zadań bieżących gmin (związków gmin)</t>
  </si>
  <si>
    <t>Wpływy z opłat za trwały zarząd, użytkowanie, służebność i użytkowanie wieczyste nieruchomości</t>
  </si>
  <si>
    <t>Zakup usług przez jednostki samorządu terytorialnego od innych jednostek samorządu terytorialnego</t>
  </si>
  <si>
    <t>Różne  opłaty i składki</t>
  </si>
  <si>
    <t>Powiatowe centra pomocy rodzinie</t>
  </si>
  <si>
    <t>Świetlice szkolne</t>
  </si>
  <si>
    <t>Nagrody i wydatki osobowe niezaliczone do wynagrodzeń</t>
  </si>
  <si>
    <t>Poradnie psychologiczno-pedagogiczne,  w tym   poradnie specjalistyczne</t>
  </si>
  <si>
    <t>Składki na ubezpieczenia zdrowotne opłacane za osoby pobierające niektóre świadczenia z pomocy społecznej, niektóre świadczenia rodzinne, oraz za osoby uczestniczące w zajęciach w centrum integracji społecznej</t>
  </si>
  <si>
    <t>Podatek od spadków i darowizn</t>
  </si>
  <si>
    <t>O430</t>
  </si>
  <si>
    <t>Wpływy z opłaty targowej</t>
  </si>
  <si>
    <t>Dotacja celowa na pomoc finansową udzielana między jednostkami samorządu terytorialnego na dofinansowanie własnych zadań inwestycyjnych i zakupów inwestycyjnych</t>
  </si>
  <si>
    <t>Wpłaty jednostek na państwowy fundusz celowy na finansowanie lub dofinansowanie zadań inwestycyjnych</t>
  </si>
  <si>
    <t>wyposażenie szkół w podręczniki, materiały edukacyjne lub materiały ćwiczeniowe rozdz.80101</t>
  </si>
  <si>
    <t>wyposażenie szkół w podręczniki, materiały edukacyjne lub materiały ćwiczeniowe rozdz.80110</t>
  </si>
  <si>
    <t>szkolenie uzdolnionych sportowo w wybranych dyscyplinach sportowych w tym dla:</t>
  </si>
  <si>
    <t>Wielkość zmiany wprowadzona uchwałą/ zarządzeniem</t>
  </si>
  <si>
    <t>część gminna</t>
  </si>
  <si>
    <t>*zgodnie z art. 5 ust. 1 pkt 2 i 3  Ustawy z dnia 27 sierpnia 2009r. o finansach publicznych (Dz.U. z 2013 r. poz. 885 ze zm. )</t>
  </si>
  <si>
    <t>TABELA nr 12</t>
  </si>
  <si>
    <t xml:space="preserve">      WYKONANIE  WYDATKÓW  BUDŻETU  MIASTA  KONINA  </t>
  </si>
  <si>
    <t>Wpływy z innych opłat stanowiących dochody jednostek samorządu terytorialnego na podstawie ustaw</t>
  </si>
  <si>
    <t>O410</t>
  </si>
  <si>
    <t>Wpływy z opłaty skarbowej</t>
  </si>
  <si>
    <t>O480</t>
  </si>
  <si>
    <t>O490</t>
  </si>
  <si>
    <t>2007</t>
  </si>
  <si>
    <t>Wpływy z innych lokalnych opłat pobieranych przez jednostki samorządu terytorialnego na podstawie odrębnych ustaw</t>
  </si>
  <si>
    <t>Udziały gmin w podatkach stanowiących dochód budżetu państwa</t>
  </si>
  <si>
    <t>OO10</t>
  </si>
  <si>
    <t xml:space="preserve">Rezerwy </t>
  </si>
  <si>
    <t>w tym:</t>
  </si>
  <si>
    <t>rezerwa ogólna</t>
  </si>
  <si>
    <t>rezerwa celowa na zadania oświatowe</t>
  </si>
  <si>
    <t>Rezerwy na inwestycje i zakupy inwestycyjne</t>
  </si>
  <si>
    <t>Wydatki osobowe niezaliczone do wynagrodzeń</t>
  </si>
  <si>
    <t>Zasądzone renty</t>
  </si>
  <si>
    <t>Zakup usług zdrowotnych</t>
  </si>
  <si>
    <t xml:space="preserve">Przedszkola </t>
  </si>
  <si>
    <t>Dotacja podmiotowa z budżetu dla niepublicznej jednostki systemu oświaty</t>
  </si>
  <si>
    <t>Zakup leków, wyrobów medycznych i produktów  biobójczych</t>
  </si>
  <si>
    <t xml:space="preserve">Ośrodki wsparcia </t>
  </si>
  <si>
    <t>Opłaty za  administrowanie i czynsze za budynki, lokale i pomieszczenia garażowe</t>
  </si>
  <si>
    <r>
      <t xml:space="preserve">Zakup usług pozostałych </t>
    </r>
    <r>
      <rPr>
        <b/>
        <sz val="8"/>
        <rFont val="Times New Roman"/>
        <family val="1"/>
      </rPr>
      <t xml:space="preserve"> </t>
    </r>
  </si>
  <si>
    <r>
      <t xml:space="preserve">Wydatki inwestycyjne jednostek budżetowych   </t>
    </r>
    <r>
      <rPr>
        <sz val="8"/>
        <color indexed="10"/>
        <rFont val="Times New Roman"/>
        <family val="1"/>
      </rPr>
      <t xml:space="preserve"> </t>
    </r>
  </si>
  <si>
    <t xml:space="preserve">Koszty postępowania  sądowego i prokuratorskiego </t>
  </si>
  <si>
    <t xml:space="preserve">Spłata wcześniej zaciągniętych zobowiązań  </t>
  </si>
  <si>
    <t xml:space="preserve">Dotacja przedmiotowa z budżetu dla samorządowego zakładu budżetowego </t>
  </si>
  <si>
    <t xml:space="preserve">Kultura fizyczna </t>
  </si>
  <si>
    <t xml:space="preserve">Dotacja celowa otrzymana  tytułu pomocy finansowej udzielanej między jednostkami samorządu terytorialnego na dofinansowanie własnych zadań bieżących  </t>
  </si>
  <si>
    <t xml:space="preserve">Wpływy z różnych dochodów </t>
  </si>
  <si>
    <t>Zadania w zakresie przeciwdziałania przemocy w rodzinie</t>
  </si>
  <si>
    <t>Odsetki od samorządowych papierów wartościowych lub zaciągniętych przez jednostkę samorządu terytorialnego kredytów i  pożyczek</t>
  </si>
  <si>
    <t>Różne rozliczenia finansowe</t>
  </si>
  <si>
    <t>Niewłaściwe  obciążenie</t>
  </si>
  <si>
    <t>Komisje egzaminacyjne</t>
  </si>
  <si>
    <t>Stołówki szkolne i przedszkolne</t>
  </si>
  <si>
    <t>Dochody od osób prawnych, od osób fizycznych i od innych jednostek nieposiadających osobowości prawnej oraz wydatki związane z ich poborem</t>
  </si>
  <si>
    <t>Ochrona zdrowia</t>
  </si>
  <si>
    <t xml:space="preserve"> </t>
  </si>
  <si>
    <t>w złotych</t>
  </si>
  <si>
    <t>Dział</t>
  </si>
  <si>
    <t>Rozdz.</t>
  </si>
  <si>
    <t>Wolne środki na rachunkach bankowych</t>
  </si>
  <si>
    <t xml:space="preserve">                                                                 Przychody</t>
  </si>
  <si>
    <t xml:space="preserve">                             Rozchody</t>
  </si>
  <si>
    <t>TABELA nr  8</t>
  </si>
  <si>
    <t xml:space="preserve">         WYKONANIE  PLANU  PRZYCHODÓW  I  ROZCHODÓW    BUDŻETU   MIASTA  KONINA  </t>
  </si>
  <si>
    <t>Transport i łączność</t>
  </si>
  <si>
    <t>Szkoły artystyczne</t>
  </si>
  <si>
    <t>Lokalny transport zbiorowy</t>
  </si>
  <si>
    <t>Dochody z najmu i dzierżawy składników majątkowych Skarbu Państwa, jednostek samorządu terytorialnego lub innych jednostek zaliczanych do sektora finansów publicznych oraz innych umów o podobnym charakterze</t>
  </si>
  <si>
    <t>O760</t>
  </si>
  <si>
    <t>Wpływy z tytułu przekształcenia prawa użytkowania wieczystego przysługującego osobom fizycznym w prawo własności</t>
  </si>
  <si>
    <t>O770</t>
  </si>
  <si>
    <t>Wpłaty z tytułu odpłatnego nabycia prawa własności oraz prawa użytkowania wieczystego nieruchomości</t>
  </si>
  <si>
    <t>O970</t>
  </si>
  <si>
    <t>Wpływy z różnych dochodów</t>
  </si>
  <si>
    <t>Wpłaty na Państwowy Fundusz Rehabilitacji Osób Niepełnosprawnych</t>
  </si>
  <si>
    <t>Zakup pomocy naukowych, dydaktycznych i książek</t>
  </si>
  <si>
    <t>Podatek od  nieruchomości</t>
  </si>
  <si>
    <t>Zakup środków żywności</t>
  </si>
  <si>
    <t>Dowożenie uczniów do szkół</t>
  </si>
  <si>
    <t>Wydatki  osobowe niezaliczone do wynagrodzeń</t>
  </si>
  <si>
    <t>Opłaty na rzecz budżetu państwa</t>
  </si>
  <si>
    <t>Szkolenia członków korpusu służby cywilnej</t>
  </si>
  <si>
    <t xml:space="preserve">Nadzór budowlany </t>
  </si>
  <si>
    <t>Oddziały przedszkolne w szkołach podstawowych</t>
  </si>
  <si>
    <t>Świetlice  szkolne</t>
  </si>
  <si>
    <t>Stypendia  dla uczniów</t>
  </si>
  <si>
    <t xml:space="preserve">Dochody z najmu i dzierżawy składników majątkowych Skarbu Państwa,  jednostek samorządu terytorialnego lub innych jednostek zaliczanych do sektora finansów publicznych oraz innych umów o podobnym charakterze  </t>
  </si>
  <si>
    <t>O910</t>
  </si>
  <si>
    <t xml:space="preserve">Opłaty na rzecz budżetów jednostek samorządu terytorialnego </t>
  </si>
  <si>
    <t>Plan na 2015 rok</t>
  </si>
  <si>
    <r>
      <t xml:space="preserve"> § 952</t>
    </r>
    <r>
      <rPr>
        <sz val="9"/>
        <rFont val="Times New Roman"/>
        <family val="1"/>
      </rPr>
      <t xml:space="preserve">  - Plan przychodów z zaciągniętych pożyczek i kredytów na rynku krajowym</t>
    </r>
  </si>
  <si>
    <t>Plan dotacji na 2015 rok</t>
  </si>
  <si>
    <t>Plan wydatków na 2015 rok</t>
  </si>
  <si>
    <t>Odsetki od nieterminowych wpłat z tytułu podatków i opłat</t>
  </si>
  <si>
    <t>O920</t>
  </si>
  <si>
    <t>Dotacje celowe otrzymane z budżetu państwa na realizację zadań bieżących  z zakresu administracji rządowej oraz innych zadań zleconych gminie (związkom gmin) ustawami</t>
  </si>
  <si>
    <t>Programy profilaktyki zdrowotnej</t>
  </si>
  <si>
    <t>Dochody jednostek samorządu terytorialnego związane z realizacją zadań z zakresu administracji rządowej oraz innych zadań zleconych ustawami</t>
  </si>
  <si>
    <t>O570</t>
  </si>
  <si>
    <t>Kolonie i obozy oraz inne formy wypoczynku dzieci i młodzieży szkolnej, a także szkolenia młodzieży</t>
  </si>
  <si>
    <t>O360</t>
  </si>
  <si>
    <t>Dotacje celowe z budżetu na finansowanie lub dofinansowanie prac remontowych i konserwatorskich obiektów zabytkowych przekazane jednostkom niezaliczanym do sektora finansów publicznych</t>
  </si>
  <si>
    <t>Straż Graniczna</t>
  </si>
  <si>
    <t>Gospodarka gruntami i nieruchomościami</t>
  </si>
  <si>
    <t>Pozostała działalność</t>
  </si>
  <si>
    <t>Administracja publiczna</t>
  </si>
  <si>
    <t>Bezpieczeństwo publiczne i ochrona przeciwpożarowa</t>
  </si>
  <si>
    <t>Różne rozliczenia</t>
  </si>
  <si>
    <t>Rezerwy ogólne i celowe</t>
  </si>
  <si>
    <t>Oświata i wychowanie</t>
  </si>
  <si>
    <t>Szkoły podstawowe</t>
  </si>
  <si>
    <t>Gimnazja</t>
  </si>
  <si>
    <t>Gospodarka komunalna i ochrona środowiska</t>
  </si>
  <si>
    <t>Działalność usługowa</t>
  </si>
  <si>
    <t xml:space="preserve">OGÓŁEM  </t>
  </si>
  <si>
    <t>Zakup usług obejmujących wykonanie ekspertyz, analiz i opinii</t>
  </si>
  <si>
    <t>Grzywny i inne kary pieniężne od osób prawnych i innych jednostek organizacyjnych</t>
  </si>
  <si>
    <t>Kluby dziecięce</t>
  </si>
  <si>
    <t>Pozostałe odsetki</t>
  </si>
  <si>
    <t>Obrona narodowa</t>
  </si>
  <si>
    <t>Pozostałe wydatki obronne</t>
  </si>
  <si>
    <t>zarządzanie kryzysowe</t>
  </si>
  <si>
    <t>Rehabilitacja zawodowa i społeczna osób niepełnosprawnych</t>
  </si>
  <si>
    <t>Dotacja podmiotowa z budżetu dla jednostek niezaliczanych do sektora finansów publicznych</t>
  </si>
  <si>
    <t>Zarządzanie kryzysowe</t>
  </si>
  <si>
    <t>Izby wytrzeźwień</t>
  </si>
  <si>
    <t>Podatek od nieruchomości</t>
  </si>
  <si>
    <t>Zasiłki i pomoc w naturze oraz składki na ubezpieczenia emerytalne i rentowe</t>
  </si>
  <si>
    <t>Ośrodki pomocy społecznej</t>
  </si>
  <si>
    <t>Edukacyjna opieka wychowawcza</t>
  </si>
  <si>
    <t>Komendy powiatowe Państwowej Straży Pożarnej</t>
  </si>
  <si>
    <t>Gospodarka mieszkaniowa</t>
  </si>
  <si>
    <t>Licea ogólnokształcące</t>
  </si>
  <si>
    <t>Wpływy do wyjaśnienia</t>
  </si>
  <si>
    <t>2980</t>
  </si>
  <si>
    <t>Wpływy do rozliczenia</t>
  </si>
  <si>
    <t>8510</t>
  </si>
  <si>
    <t>Wpływy z różnych rozliczeń</t>
  </si>
  <si>
    <t>Wpływy i wydatki związane z gromadzeniem środków z opłat produktowych</t>
  </si>
  <si>
    <t>0400</t>
  </si>
  <si>
    <t>Wpływy z opłaty produktowej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</si>
  <si>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</si>
  <si>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Szkoły zawodowe</t>
  </si>
  <si>
    <t>Opłaty na rzecz budżetów jednostek samorządu terytorialnego</t>
  </si>
  <si>
    <t>Szkolenia pracowników niebędących członkami korpusu służby cywilnej</t>
  </si>
  <si>
    <t>Wpłaty jednostek samorządu terytorialnego do budżetu państwa</t>
  </si>
  <si>
    <t>rezerwa  ogólna</t>
  </si>
  <si>
    <t xml:space="preserve">Wykonanie wydatków majątkowych realizowanych ze środków budżetowych miasta Konina </t>
  </si>
  <si>
    <t xml:space="preserve">                                                    za I półrocze 2015 roku</t>
  </si>
  <si>
    <t>2014/2016</t>
  </si>
  <si>
    <t>Opracowanie dokumentacji projektowo-kosztorysowej na budowę ul. Grójeckiej w Koninie</t>
  </si>
  <si>
    <t xml:space="preserve">nabyto nieruchomości w obrębie: Nowy Dwór, Łężyn, Wilków </t>
  </si>
  <si>
    <t>Wyposażenie klatki schodowej w urządzenia  służące do usuwania dymu w budynku Przedszkola nr 2</t>
  </si>
  <si>
    <t>Zakup robota wielofunkcyjnego typu "Wilk" dla SP Nr 8</t>
  </si>
  <si>
    <t>zawarto 1 umowę, unieszkodliwiono 1,4 ton wyrobów zawierających azbest</t>
  </si>
  <si>
    <t>zawarto 6 umów, unieszkodliwiono 9,26 ton wyrobów zawierających azbest</t>
  </si>
  <si>
    <t xml:space="preserve">wykonano bieżnię oraz piaskownicę do skoku w dal </t>
  </si>
  <si>
    <t>wykonano: wycinkę drzew, odhumusowano, częściowe roboty ziemne</t>
  </si>
  <si>
    <t xml:space="preserve">        WYKONANIE DOCHODÓW  BUDŻETU  MIASTA  KONINA    </t>
  </si>
  <si>
    <t>Dotacja podmiotowa z budżetu dla niepublicznej  jednostki systemu oświaty</t>
  </si>
  <si>
    <t>Pomoc społeczna</t>
  </si>
  <si>
    <t>Zakup usług obejmujących tłumaczenia</t>
  </si>
  <si>
    <t>Urzędy gmin (miast i miast na prawach powiatu)</t>
  </si>
  <si>
    <t>Urzędy naczelnych organów władzy państwowej, kontroli i ochrony prawa oraz sądownictwa</t>
  </si>
  <si>
    <t xml:space="preserve">Urzędy naczelnych organów władzy państwowej, kontroli i ochrony prawa </t>
  </si>
  <si>
    <t>Kary i odszkodowania wypłacane na rzecz osób prawnych i innych jednostek organizacyjnych</t>
  </si>
  <si>
    <t xml:space="preserve">Gospodarka gruntami i nieruchomościami   </t>
  </si>
  <si>
    <t xml:space="preserve">Zakup usług pozostałych </t>
  </si>
  <si>
    <t>Różne opłaty i składki</t>
  </si>
  <si>
    <t>Dotacje celowe z budżetu na finansowanie lub dofinansowanie kosztów realizacji inwestycji i zakupów inwestycyjnych innych jednostek sektora finansów publicznych</t>
  </si>
  <si>
    <t>Domy i ośrodki kultury, świetlice i kluby</t>
  </si>
  <si>
    <t>O10</t>
  </si>
  <si>
    <t>Rolnictwo i łowiectwo</t>
  </si>
  <si>
    <t>O1095</t>
  </si>
  <si>
    <t xml:space="preserve">§ </t>
  </si>
  <si>
    <t>NAZWA</t>
  </si>
  <si>
    <t>ogółem</t>
  </si>
  <si>
    <t>zadania z zakresu administracji rządowej</t>
  </si>
  <si>
    <t>Pozostałe zadania w zakresie polityki społecznej</t>
  </si>
  <si>
    <t>Biblioteki</t>
  </si>
  <si>
    <t xml:space="preserve">       Zadania gminy</t>
  </si>
  <si>
    <t>O1030</t>
  </si>
  <si>
    <t>Izby rolnicze</t>
  </si>
  <si>
    <t xml:space="preserve">Wpłaty gmin na rzecz izb rolniczych w wysokości 2% uzyskanych wpływów z podatku rolnego  </t>
  </si>
  <si>
    <t xml:space="preserve">Zakup materiałów i wyposażenia </t>
  </si>
  <si>
    <t>Zakup usług pozostałych</t>
  </si>
  <si>
    <t xml:space="preserve">Transport i łączność  </t>
  </si>
  <si>
    <t xml:space="preserve">Drogi publiczne gminne </t>
  </si>
  <si>
    <t>Zakup materiałów i wyposażenia</t>
  </si>
  <si>
    <t>Zakup usług remontowych</t>
  </si>
  <si>
    <t xml:space="preserve">Kary i odszkodowania wypłacane na rzecz osób fizycznych </t>
  </si>
  <si>
    <t>6410</t>
  </si>
  <si>
    <t>Zwalczanie narkomanii</t>
  </si>
  <si>
    <t xml:space="preserve">Oczyszczanie miast i wsi  </t>
  </si>
  <si>
    <t xml:space="preserve">Schroniska dla zwierząt  </t>
  </si>
  <si>
    <t>Wpływy i wydatki związane z gromadzeniem środków  z opłat i kar za korzystanie ze środowiska</t>
  </si>
  <si>
    <t xml:space="preserve">Wydatki  inwestycyjne jednostek budżetowych </t>
  </si>
  <si>
    <t>Straż gminna (miejska)</t>
  </si>
  <si>
    <t>Dotacje celowe przekazane  dla powiatu na zadania bieżące realizowane na podstawie porozumień (umów) między jednostkami samorządu terytorialnego</t>
  </si>
  <si>
    <t>Internaty i bursy szkolne</t>
  </si>
  <si>
    <t>Szkolne schroniska młodzieżowe</t>
  </si>
  <si>
    <t>Zadania gminy</t>
  </si>
  <si>
    <t>Urzędy wojewódzkie</t>
  </si>
  <si>
    <t>O690</t>
  </si>
  <si>
    <t>Wpływy z różnych opłat</t>
  </si>
  <si>
    <t>Ośrodki wsparcia</t>
  </si>
  <si>
    <t>O830</t>
  </si>
  <si>
    <t>Wpływy z usług</t>
  </si>
  <si>
    <t>O470</t>
  </si>
  <si>
    <t>O750</t>
  </si>
  <si>
    <t>Podatek dochodowy od osób fizycznych</t>
  </si>
  <si>
    <t>OO20</t>
  </si>
  <si>
    <t xml:space="preserve">Podatek dochodowy od osób prawnych </t>
  </si>
  <si>
    <t>Część oświatowa subwencji ogólnej dla jednostek samorządu terytorialnego</t>
  </si>
  <si>
    <t>Subwencje ogólne z budżetu państwa</t>
  </si>
  <si>
    <t>Część równoważąca subwencji ogólnej dla gmin</t>
  </si>
  <si>
    <t>Przedszkola</t>
  </si>
  <si>
    <t>0580</t>
  </si>
  <si>
    <t>0910</t>
  </si>
  <si>
    <t xml:space="preserve">Wydatki na zakup i objęcie akcji, wniesienie wkładów do spółek prawa handlowego oraz  na uzupełnienie funduszy statutowych banków państwowych i innych instytucji finansowych   </t>
  </si>
  <si>
    <t>Środki na dofinansowanie własnych zadań bieżących gmin ( związków gmin), powiatów (związków powiatów), samorządów województw pozyskane z innych źródeł</t>
  </si>
  <si>
    <t>Kwalifikacja wojskowa</t>
  </si>
  <si>
    <t>Opłata na rzecz budżetu państwa</t>
  </si>
  <si>
    <t>Przeprawa przez rzekę Wartę - nowy przebieg drogi krajowej Nr 25 - kredyt</t>
  </si>
  <si>
    <t>Modernizacja oświetlenia ulicznego miasta  Konina na energooszczędne</t>
  </si>
  <si>
    <t>Zarządzanie energią w budynkach użyteczności publicznej w Koninie - pożyczka</t>
  </si>
  <si>
    <t>Zadania  inwestycje i spłata zadłużenia</t>
  </si>
  <si>
    <t>Budowa kanalizacji deszczowej na terenie osiedla Pątnów  w Koninie</t>
  </si>
  <si>
    <t>Składki na ubezpieczenia zdrowotne oraz świadczenia dla osób nie objętych obowiązkiem ubezpieczenia zdrowotnego</t>
  </si>
  <si>
    <t xml:space="preserve">Zakup usług pozostałych  </t>
  </si>
  <si>
    <t xml:space="preserve">Cmentarze  </t>
  </si>
  <si>
    <t xml:space="preserve">Urzędy wojewódzkie  </t>
  </si>
  <si>
    <t>Wynagrodzenia osobowe pracowników</t>
  </si>
  <si>
    <t>Dodatkowe wynagrodzenie roczne</t>
  </si>
  <si>
    <t>Składki na ubezpieczenie zdrowotne</t>
  </si>
  <si>
    <t xml:space="preserve">           Plan na 30.06.2015</t>
  </si>
  <si>
    <t xml:space="preserve">         Wykonanie na 30.06.2015</t>
  </si>
  <si>
    <t>% wykonania</t>
  </si>
  <si>
    <t>Wykonany zakres rzeczowy zadania</t>
  </si>
  <si>
    <t>Termin realizacji</t>
  </si>
  <si>
    <t>Lp</t>
  </si>
  <si>
    <t>§</t>
  </si>
  <si>
    <t>Nazwa  zadania</t>
  </si>
  <si>
    <t>środki  w ramach ustawy Prawo ochrony środowiska</t>
  </si>
  <si>
    <t>RAZEM GMINA</t>
  </si>
  <si>
    <t>Drogi publiczne gminne</t>
  </si>
  <si>
    <t>Budowa ulic: Dobrowolskiego, Kuratowskiego, Mazurkiewicza i Trzebiatowskiego w Koninie</t>
  </si>
  <si>
    <t>budowa ulic w trakcie realizacji</t>
  </si>
  <si>
    <t>Budowa ul. Nasturcjowej w Koninie</t>
  </si>
  <si>
    <t>wybudowano ul. Nasturcjową o dł. 79 m wraz z odwodnieniem i oświetleniem ulicznym</t>
  </si>
  <si>
    <t>zakończono</t>
  </si>
  <si>
    <t xml:space="preserve">Opracowanie  dokumentacji projektowo-kosztorysowej na przebudowę ul. Beznazwy i Wilczej w Koninie </t>
  </si>
  <si>
    <t>uzupełniono opracowanie dokumentacji o wykaz nieruchomości zajętych pod budowę</t>
  </si>
  <si>
    <t>2015/2016</t>
  </si>
  <si>
    <t>prace projektowe w trakcie realizacji</t>
  </si>
  <si>
    <t>Zakup promu rzecznego</t>
  </si>
  <si>
    <t>zakupiono prom rzeczny</t>
  </si>
  <si>
    <t>wykonano</t>
  </si>
  <si>
    <t>Nabycie nieruchomości gruntowych</t>
  </si>
  <si>
    <t>Wniesienie wkładu pieniężnego do Miejskiego Towarzystwa Budownictwa Społecznego Sp.z o.o. w Koninie na budowę budynku wielorodzinnego z lokalami handlowo-usługowymi w parterze oraz infrastrukturą techniczną przy ul. Wodnej 39 w Koninie</t>
  </si>
  <si>
    <t>wniesiono II i III transzę wkładu pieniężnego, zadanie w trakcie realizacji</t>
  </si>
  <si>
    <t>Rozbudowa miejskiej sieci szerokopasmowej KoMAN</t>
  </si>
  <si>
    <t>wykonano projekt przyłączy, zadanie w trakcie realizacji</t>
  </si>
  <si>
    <t>Modernizacja systemu klimatyzacyjnego w pomieszczeniach I piętra budynku UM przy Pl. Wolności 1</t>
  </si>
  <si>
    <t xml:space="preserve">zmodernizowano system klimatyzacyjny </t>
  </si>
  <si>
    <t>Doposażenie techniczne urzędu</t>
  </si>
  <si>
    <t>zakupiono serwer, laptop i przełączniki Cisco Catalist</t>
  </si>
  <si>
    <t>Ochotnicze Straże Pożarne</t>
  </si>
  <si>
    <t xml:space="preserve">Zakupy inwestycyjne </t>
  </si>
  <si>
    <t>zakupiono motopompę szlamową dla OSP Gosławice</t>
  </si>
  <si>
    <t>realizacja zadania w II półroczu br.</t>
  </si>
  <si>
    <t>Obrona cywilna</t>
  </si>
  <si>
    <t>zakupiono i zamontowano syrenę alarmową dla OSP Gosławice</t>
  </si>
  <si>
    <t>Rezerwa celowa na inwestycje i zakupy inwestycyjne</t>
  </si>
  <si>
    <t>Centrum nauki pływania i rehabilitacji wodnej (KBO)</t>
  </si>
  <si>
    <t>zadanie w trakcie realizacji</t>
  </si>
  <si>
    <t>Wykonanie bieżni oraz piaskownicy do skoku w dal dla SP Nr 1</t>
  </si>
  <si>
    <t>Budowa monitoringu szkoły i placu zabaw dla SP Nr 10</t>
  </si>
  <si>
    <t>Modernizacja części socjalnej pionu sportowego w Szkole Podstawowej nr 3 w Koninie</t>
  </si>
  <si>
    <t>Zakup urządzenia "EkoRedux" - jednostki sterującej dla Szkoły Podstawowej z Oddziałami Integracyjnymi Nr 9</t>
  </si>
  <si>
    <t>zakupiono urządzenie</t>
  </si>
  <si>
    <t>Zakup kserokopiarki dla SP Nr 1</t>
  </si>
  <si>
    <t>zakupiono kserokopiarkę</t>
  </si>
  <si>
    <t xml:space="preserve">Wykonanie awaryjnego oświetlenia ewakuacyjnego w Przedszkolu nr 6 w Koninie   
</t>
  </si>
  <si>
    <t>wykonano awaryjne oświetlenie ewakuacyjne</t>
  </si>
  <si>
    <t>Wykonanie oświetlenia awaryjno-ewakuacyjnego w budynku Przedszkola nr 8 w Koninie</t>
  </si>
  <si>
    <t>Zakup huśtawki dla Przedszkola Nr 5</t>
  </si>
  <si>
    <t>Zakup obieraczki do warzyw dla Przedszkola Nr 6</t>
  </si>
  <si>
    <t>zakupiono obieraczkę do warzyw</t>
  </si>
  <si>
    <t>Zakup zmywarki dla Przedszkola Nr 17</t>
  </si>
  <si>
    <t>zakupiono zmywarkę z funkcją wyparzania</t>
  </si>
  <si>
    <t>Zakup zmywarki przemysłowej dla Przedszkola Nr 31</t>
  </si>
  <si>
    <t>Zakup zmywarki z funkcją wyparzania dla Przedszkola Nr 32</t>
  </si>
  <si>
    <t>Zakup obieraczki do ziemniaków dla Przedszkola nr 16</t>
  </si>
  <si>
    <t>Zakup zmywarki z funkcją wyparzania dla Przedszkola Nr 8</t>
  </si>
  <si>
    <t>Budowa zespołu boisk przy Gimnazjum Nr 7 w Koninie</t>
  </si>
  <si>
    <t>wybudowano dwa boiska o nawierzchni syntetycznej - do piłki nożnej oraz wielofunkcyjne wraz z piłkochwytami i odwodnieniem, realizacja finansowa w II półroczu br.</t>
  </si>
  <si>
    <t>Zakup piekarnika do kuchni dla SP Nr 1</t>
  </si>
  <si>
    <t>zakupiono piekarnik</t>
  </si>
  <si>
    <t>Zakup lodówko-zamrażarki dla SP Nr 8</t>
  </si>
  <si>
    <t>zakupiono lodówko-zamrażarkę</t>
  </si>
  <si>
    <t>zakupiono robot wielofunkcyjny</t>
  </si>
  <si>
    <t>Zakup taboreta elektrycznego do kuchni dla SP Nr 11</t>
  </si>
  <si>
    <t>zakupiono taboret elektryczny</t>
  </si>
  <si>
    <t>Program Wspierania Przedsiębiorczości w Koninie na lata 2014-2016 (wniesienie wkładu)</t>
  </si>
  <si>
    <t xml:space="preserve">Usuwanie wyrobów zawierających azbest z nieruchomości położonych na terenie miasta Konina </t>
  </si>
  <si>
    <t>Schroniska dla zwierząt</t>
  </si>
  <si>
    <t>Budowa ogrodzenia wokół schroniska dla bezdomnych zwierząt przy ul. Gajowej w Koninie</t>
  </si>
  <si>
    <t>budowa ogrodzenia w trakcie realizacji</t>
  </si>
  <si>
    <t>Oświetlenie ulic, placów i dróg</t>
  </si>
  <si>
    <t>Opracowanie dokumentacji projektowo-kosztorysowej na budowę oświetlenia na ul. Jeziornej i Okólnej</t>
  </si>
  <si>
    <t>Sygnalizacja dźwiękowa dla osób niepełnosprawnych (KBO)</t>
  </si>
  <si>
    <t>Wniesienie wkładu pieniężnego na opracowanie dokumentacji projektowej na budowę kanalizacji sanitarnej w ulicach Poznańskiej i Bocznej</t>
  </si>
  <si>
    <t>rozwiązano umowę, zadanie nie będzie realizowane przez miasto</t>
  </si>
  <si>
    <t>brak wykonania</t>
  </si>
  <si>
    <t xml:space="preserve">Wniesienie wkładu pieniężnego do PWIK Sp. zo.o. na budowę kanalizacji sanitarnej i wodociągu w budynku  po Sądzie Rejonowym </t>
  </si>
  <si>
    <t>zadanie w trakcie procedury przetargowej</t>
  </si>
  <si>
    <t>Wniesienie wkładu pieniężnego do spółki Geotermia Konin Spółka z o.o. w Koninie</t>
  </si>
  <si>
    <t>wniesiono wkład pieniężny do spółki na podwyższenie kapitału zakładowego</t>
  </si>
  <si>
    <t>Wniesienie wkładu pieniężnego do spółki Geotermia Konin Spółka z o.o. w Koninie (zad.2)</t>
  </si>
  <si>
    <t xml:space="preserve">Wniesienie wkładu pieniężnego na opracowanie dokumentacji projektowej na budowę sieci wodociągowej i kanalizacji sanitarnej w Koninie w ulicy Warmińskiej, Wojciechowo i Krańcowej – os. Łężyn </t>
  </si>
  <si>
    <t xml:space="preserve">Wniesienie wkładu pieniężnego na opracowanie dokumentacji projektowej na budowę rurociągu tłocznego kanalizacji sanitarnej wraz z przebudową przepompowni ścieków w Koninie – os Janów </t>
  </si>
  <si>
    <t>Wniesienie wkładu pieniężnego na opracowanie dokumentacji projektowej na budowę kanalizacji sanitarnej w Koninie w ulicy Osada</t>
  </si>
  <si>
    <t>Wniesienie wkładu pieniężnego na budowę kanalizacji sanitarnej i sieci wodociągowej w Koninie w ulicy Mazowieckiej - os. Łężyn</t>
  </si>
  <si>
    <t>Wniesienie wkładu pieniężnego na budowę sieci wodociągowej w Koninie ulicy  Ignacego Domeyki os. Laskówiec</t>
  </si>
  <si>
    <t>Wniesienie wkładu pieniężnego na budowę sieci wodociągowej w Koninie w ulicach Marii Skłodowskiej-Curie, ul. Ignacego Domeyki, Ludwika Hirszwelda</t>
  </si>
  <si>
    <t>Wniesienie wkładu pieniężnego na budowę sieci wodociągowej w ciągu pieszo jezdnym w Koninie - rejon ulicy Grójeckiej - os. Grójec</t>
  </si>
  <si>
    <t>Wniesienie wkładu pieniężnego na budowę sieci wodociągowej w Koninie w ulicy Rumiankowej</t>
  </si>
  <si>
    <t>Wniesienie wkładu pieniężnego na budowę kanalizacji sanitarnej w Koninie w ulicy Ślesińskiej - os. Łężyn</t>
  </si>
  <si>
    <t>Wniesienie wkładu pieniężnego do PWiK na budowę kanalizacji sanitarnej i wodociągu w rejonie ul. Gajowej w Koninie - I etap</t>
  </si>
  <si>
    <t xml:space="preserve">Wniesienie wkładu pieniężnego do PWiK na budowę sieci kanalizacji sanitarnej i wodociągu w  ulicy Rudzickiej w Koninie </t>
  </si>
  <si>
    <t>Przebudowa rowów melioracyjnych w obrębie Konin-Międzylesie</t>
  </si>
  <si>
    <t>przebudowano, odtworzono oraz wykonano konserwację istniejących rowów melioracyjnych, rozliczenie finansowe w II półroczu br.</t>
  </si>
  <si>
    <t>Opracowanie dokumentacji projektowo-kosztorysowej na budowę ulic Staromorzysławskiej, Działkowej i Granicznej w Koninie wraz z kanalizacją deszczową</t>
  </si>
  <si>
    <t>Opracowanie dokumentacji projektowo-kosztorysowej na odwodnienie terenu przyległego do boisk przy Gimnazjum nr 3 w Koninie</t>
  </si>
  <si>
    <t>opracowano dokumentację projektowo-kosztorysową</t>
  </si>
  <si>
    <t>Budowa kanalizacji deszczowej w rejonie osiedla Pątnów w Koninie</t>
  </si>
  <si>
    <t>wybudowano kanalizację deszczową  wraz z odtworzeniem nawierzchni w ulicach: Ślesińskiej - 1423,5 m, Gminnej - 136 m, Szerokiej - 237 m, realizacja finansowa w II półroczu br.</t>
  </si>
  <si>
    <t>Modernizacja istniejących placów zabaw wraz z wykonaniem ogrodzeń</t>
  </si>
  <si>
    <t>opracowano dokumentację projektowo-kosztorysową, zadanie w trakcie realizacji</t>
  </si>
  <si>
    <t>Budowa placu zabaw na terenie zieleni miejskiej przy ul. Kolejowej 8 i Energetyka 2A w Koninie</t>
  </si>
  <si>
    <t>wybudowano plac zabaw</t>
  </si>
  <si>
    <t>Zwalczanie komarów - wieże lęgowe dla jerzyków (KBO)</t>
  </si>
  <si>
    <t>Ustawienie betonowych stołów do ping-ponga na Chorzniu oraz na II i III osiedlu (KBO)</t>
  </si>
  <si>
    <t>ustawiono betonowe stoły do ping-ponga</t>
  </si>
  <si>
    <t>Kolorowa ściana – „Dobra” Instalacja (KBO)</t>
  </si>
  <si>
    <t>Budowa odwodnienia terenu przyległego do boiska przy Gimnazjum nr 3 w Koninie</t>
  </si>
  <si>
    <t>Opracowanie dokumentacji projektowo-kosztorysowej na budowę kanalizacji deszczowej przy ul. Spółdzielców w Koninie</t>
  </si>
  <si>
    <t xml:space="preserve">Budowa toalety przy ul. Szpitalnej 60 w Koninie
</t>
  </si>
  <si>
    <t>Konin jest FIT, czyli budowa 9 placów siłowni plenerowych z urządzeniami do ćwiczeń na dworze dla młodzieży, dorosłych i seniorów: na Chorzniu, Zatorzu,  V Osiedlu, Oś.Sikorskiego, w Centrum, Wilkowie, Niesłuszu, Gosławicach i Cukrowni (KBO)</t>
  </si>
  <si>
    <t>Uzbrojenie terenów inwestycyjnych w obrębie Konin-Międzylesie</t>
  </si>
  <si>
    <t>wybudowano kanalizację sanitarną 3200 m, kanalizację deszczową 1920 m, sieć wodociągową 3840 m, sieć elektroenergetyczną i teletechniczną 7340 m, zadanie w trakcie realizacji</t>
  </si>
  <si>
    <t>Budowa przyłączy kanalizacyjnych i przyłączenie nieruchomości do miejskiej sieci kanalizacyjnej</t>
  </si>
  <si>
    <t>budowa przyłączy w trakcie realizacji</t>
  </si>
  <si>
    <t>Adaptacja pomieszczeń budynku Klubu Energetyk na potrzeby Młodzieżowego Domu Kultury w Koninie</t>
  </si>
  <si>
    <t>wykonano izolację cieplną dachu, nadszybie i klapę oddymiającą, wymieniono stolarkę, wykonano elewację z częściowym dociepleniem budynku, dobudowano zaplecze sali</t>
  </si>
  <si>
    <t>Wykonanie i montaż szafy do Bookcrossingu (KBO)</t>
  </si>
  <si>
    <t xml:space="preserve">Zakupy inwestycyjne dla MOS i R w Koninie </t>
  </si>
  <si>
    <t>RAZEM POWIAT</t>
  </si>
  <si>
    <t>Dotacja celowa do Samorządu Województwa Wielkopolskiego na wypłatę odszkodowań za grunty przejęte  pod realizacje zadania  pn. "Budowa drogi - łącznik od ul. Przemysłowej do ul. Kleczewskiej w Koninie"</t>
  </si>
  <si>
    <t>Drogi publiczne w miastach na prawach powiatu</t>
  </si>
  <si>
    <t>Budowa drogi - łącznik od ul. Przemysłowej do ul. Kleczewskiej w Koninie</t>
  </si>
  <si>
    <t>Przebudowa ul. Kościuszki wraz z oświetleniem i odwodnieniem - etap I</t>
  </si>
  <si>
    <t>wybudowano odcinek o dł. 110 m wraz z odwodnieniem i oświetleniem</t>
  </si>
  <si>
    <t>Aktualizacja dokumentacji projektowo - kosztorysowej  na przebudowę ulicy Romana Dmowskiego w Koninie</t>
  </si>
  <si>
    <t>zaktualizowano dokumentację projektowo-kosztorysową, zadanie będzie realizowane w II półroczu br. jako "Przebudowa ulicy Romana Dmowskiego w Koninie"</t>
  </si>
  <si>
    <t>Opracowanie dokumentacji projektowo-kosztorysowej na przebudowę ul. Jana Pawła II w Koninie</t>
  </si>
  <si>
    <t>Dokumentacja projektowo - kosztorysowa na budowę ul. Przemysłowej od skrzyżowania z ul. Jana Matejki do skrzyżowania z planowaną drogą DK 25 w Malińcu wraz ze ścieżką rowerową (KBO)</t>
  </si>
  <si>
    <t>opracowanie dokumentacji projektowo-kosztorysowej w trakcie realizacji</t>
  </si>
  <si>
    <t>Samoobsługowe stacje naprawy rowerów (KBO)</t>
  </si>
  <si>
    <t>Budowa budynku usług publicznych przy ul. Z. Urbanowskiej w Koninie</t>
  </si>
  <si>
    <t>wybudowano budynek niepodpiwniczony, dwukondygnacyjny z poddaszem użytkowym, dach jednospadowy w technologii stalowej kryty blachą, realizacja finansowa w II półroczu br.</t>
  </si>
  <si>
    <t xml:space="preserve">Zakup sprzętu komputerowego </t>
  </si>
  <si>
    <t>Komendy powiatowe Policji</t>
  </si>
  <si>
    <t>Dofinansowanie zakupu radiowozów oznakowanych i nieoznakowanego dla KMP w Koninie</t>
  </si>
  <si>
    <t>dofinansowano zakup radiowozów</t>
  </si>
  <si>
    <t>Przebudowa pomieszczeń garażowych budynku strażnicy wraz z modernizacją kanalizacji deszczowej oraz wymianą nawierzchni placu manewrowego JRG Nr 1 i Komendy Miejskiej Państwowej Straży Pożarnej w Koninie</t>
  </si>
  <si>
    <t>zaktualizowano kosztorysy, zadanie w trakcie realizacji</t>
  </si>
  <si>
    <t>Zakup serwera dla II LO w Koninie</t>
  </si>
  <si>
    <t>zakupiono serwer</t>
  </si>
  <si>
    <t>Zakup kserokopiarki dla II LO w Koninie</t>
  </si>
  <si>
    <t>Zakup urządzenia wielofunkcyjnego do frezowania tafli lodowiska dla ZS im.  M.Kopernika w Koninie</t>
  </si>
  <si>
    <t>Zakup serwera dla ZSB w Koninie</t>
  </si>
  <si>
    <t>Zakup serwera dla ZSTiH w Koninie</t>
  </si>
  <si>
    <t>Zakup zmywarki dla II LO w Koninie</t>
  </si>
  <si>
    <t>zakupiono zmywarkę</t>
  </si>
  <si>
    <t>Zakup łóżka kąpielowego oraz szorowarki dla DPS w Koninie</t>
  </si>
  <si>
    <t>zakupiono podnośnik do kąpieli, zadanie w trakcie realizacji</t>
  </si>
  <si>
    <t>Specjalne ośrodki szkolno-wychowawcze</t>
  </si>
  <si>
    <t>Zakup maty do gry w badmintona</t>
  </si>
  <si>
    <t>Zakup serwera dla SOS-W w Koninie</t>
  </si>
  <si>
    <t>Poradnie psychologiczno-pedagogiczne w tym poradnie specjalistyczne</t>
  </si>
  <si>
    <t>Zakup urządzenia EEGBiofeedback wersja Nexus 4</t>
  </si>
  <si>
    <t>TABELA nr 3</t>
  </si>
  <si>
    <t>Szkoły podstawowe specjalne</t>
  </si>
  <si>
    <t>Gimnazja specjalne</t>
  </si>
  <si>
    <t>Zespoły  obsługi ekonomiczno-administracyjnej szkół</t>
  </si>
  <si>
    <t>Wpłaty jednostek na państwowy fundusz celowy</t>
  </si>
  <si>
    <t>0870</t>
  </si>
  <si>
    <t>Dotacja celowa z budżetu na finansowanie lub dofinansowanie zadań zleconych do realizacji stowarzyszeniom</t>
  </si>
  <si>
    <t xml:space="preserve">Przeciwdziałanie alkoholizmowi  </t>
  </si>
  <si>
    <t>Świadczenia społeczne</t>
  </si>
  <si>
    <t>Dodatki mieszkaniowe</t>
  </si>
  <si>
    <t>Usługi opiekuńcze i specjalistyczne usługi opiekuńcze</t>
  </si>
  <si>
    <t>0370</t>
  </si>
  <si>
    <t>Opłata od posiadania psów</t>
  </si>
  <si>
    <t xml:space="preserve">Żłobki  </t>
  </si>
  <si>
    <t>Wydatki inwestycyjne jednostek budżetowych</t>
  </si>
  <si>
    <t>Koszty postępowania sądowego i prokuratorskiego</t>
  </si>
  <si>
    <t>RAZEM zadania gminy</t>
  </si>
  <si>
    <t xml:space="preserve">Drogi publiczne w miastach na prawach powiatu </t>
  </si>
  <si>
    <t xml:space="preserve">Turystyka   </t>
  </si>
  <si>
    <t xml:space="preserve">Gospodarka mieszkaniowa  </t>
  </si>
  <si>
    <t xml:space="preserve">Działalność usługowa </t>
  </si>
  <si>
    <t xml:space="preserve">Prace geodezyjne i kartograficzne (nieinwestycyjne)   </t>
  </si>
  <si>
    <t xml:space="preserve">Opracowania geodezyjne i kartograficzne  </t>
  </si>
  <si>
    <t xml:space="preserve">Starostwa powiatowe  </t>
  </si>
  <si>
    <t xml:space="preserve">Komendy powiatowe Policji  </t>
  </si>
  <si>
    <t xml:space="preserve">Zasiłki stałe </t>
  </si>
  <si>
    <t>Składki na ubezpieczenia społeczne</t>
  </si>
  <si>
    <t>Składki na Fundusz Pracy</t>
  </si>
  <si>
    <t>Odpisy na zakładowy fundusz świadczeń socjalnych</t>
  </si>
  <si>
    <t xml:space="preserve">Rady gmin (miast i miast na prawach powiatu)  </t>
  </si>
  <si>
    <t>Podróże służbowe krajowe</t>
  </si>
  <si>
    <t>Podróże służbowe zagraniczne</t>
  </si>
  <si>
    <t xml:space="preserve">Wydatki osobowe niezaliczone do wynagrodzeń  </t>
  </si>
  <si>
    <t>Wynagrodzenia bezosobowe</t>
  </si>
  <si>
    <t xml:space="preserve">Zakup materiałów i wyposażenia  </t>
  </si>
  <si>
    <t xml:space="preserve">Zakup energii </t>
  </si>
  <si>
    <t xml:space="preserve">Podróże służbowe krajowe   </t>
  </si>
  <si>
    <t xml:space="preserve">Podróże służbowe zagraniczne  </t>
  </si>
  <si>
    <t>Promocja jednostek samorządu terytorialnego</t>
  </si>
  <si>
    <t xml:space="preserve">Ochotnicze straże pożarne </t>
  </si>
  <si>
    <t>Zakup energii</t>
  </si>
  <si>
    <t xml:space="preserve">Obrona cywilna </t>
  </si>
  <si>
    <t xml:space="preserve">Pozostała działalność </t>
  </si>
  <si>
    <t>Wspieranie rodziny</t>
  </si>
  <si>
    <t>Koszty postępowania  sądowego i prokuratorskiego</t>
  </si>
  <si>
    <t>Wydatki na zakupy inwestycyjne jednostek budżetowych</t>
  </si>
  <si>
    <t xml:space="preserve">Zakup usług remontowych </t>
  </si>
  <si>
    <t xml:space="preserve">Różne opłaty i składki </t>
  </si>
  <si>
    <t xml:space="preserve">Plany zagospodarowania przestrzennego    </t>
  </si>
  <si>
    <t>Różne wydatki na rzecz osób fizycznych</t>
  </si>
  <si>
    <t>Opracowania geodezyjne i  kartograficzne</t>
  </si>
  <si>
    <t>Prace geodezyjne i kartograficzne (nieinwestycyjne)</t>
  </si>
  <si>
    <t>Opracowania geodezyjne i kartograficzne</t>
  </si>
  <si>
    <t>Nadzór budowlany</t>
  </si>
  <si>
    <t>Starostwa powiatowe</t>
  </si>
  <si>
    <t>Dotacje celowe otrzymane z budżetu państwa na zadania bieżące realizowane przez powiat na podstawie porozumień z organami administracji rządowej</t>
  </si>
  <si>
    <t>O420</t>
  </si>
  <si>
    <t>Wpływy z opłaty komunikacyjnej</t>
  </si>
  <si>
    <t>Udziały powiatów w podatkach stanowiących dochód budżetu państwa</t>
  </si>
  <si>
    <t>Podatek dochodowy od osób prawnych</t>
  </si>
  <si>
    <t>Placówki opiekuńczo-wychowawcze</t>
  </si>
  <si>
    <t>Domy pomocy społecznej</t>
  </si>
  <si>
    <t>Dotacje celowe otrzymane z budżetu państwa na realizację bieżących zadań własnych powiatu</t>
  </si>
  <si>
    <t>Dotacje celowe otrzymane z powiatu na zadania bieżące realizowane na podstawie porozumień (umów) między jednostkami samorządu terytorialnego</t>
  </si>
  <si>
    <t>Zespoły do spraw orzekania o  niepełnosprawności</t>
  </si>
  <si>
    <t>Państwowy Fundusz Rehabilitacji Osób Niepełnosprawnych</t>
  </si>
  <si>
    <t>Kultura i ochrona  dziedzictwa narodowego</t>
  </si>
  <si>
    <t>RAZEM  zadania powiatu</t>
  </si>
  <si>
    <t>OGÓŁEM BUDŻET MIASTA KONINA</t>
  </si>
  <si>
    <t>Obsługa długu publicznego</t>
  </si>
  <si>
    <t>Obsługa papierów wartościowych, kredytów i pożyczek jednostek samorządu terytorialnego</t>
  </si>
  <si>
    <t>Świadczenia rodzinne, świadczenie z funduszu alimentacyjnego oraz składki na ubezpieczenia emerytalne i rentowe z ubezpieczenia społecznego</t>
  </si>
  <si>
    <t>Nagrody o charakterze szczególnym niezaliczone do wynagrodzeń</t>
  </si>
  <si>
    <t>851</t>
  </si>
  <si>
    <t>TABELA nr 6</t>
  </si>
  <si>
    <t>Dotacja podmiotowa z budżetu dla publicznej jednostki systemu oświaty prowadzonej przez osobę prawną inną niż jednostka samorządu terytorialnego lub przez osobę fizyczną</t>
  </si>
  <si>
    <t>Stołówki szkolne i  przedszkolne</t>
  </si>
  <si>
    <t>Usługi opiekuńcze i  specjalistyczne usługi opiekuńcze</t>
  </si>
  <si>
    <t>O960</t>
  </si>
  <si>
    <t>Otrzymane spadki, zapisy i darowizny w postaci pieniężnej</t>
  </si>
  <si>
    <t>Żłobki</t>
  </si>
  <si>
    <t>Ośrodki informacji turystycznej</t>
  </si>
  <si>
    <t>Instytucje kultury fizycznej</t>
  </si>
  <si>
    <t>RAZEM  zadania gminy</t>
  </si>
  <si>
    <t>Dotacje celowe otrzymane z budżetu państwa na zadania bieżące z zakresu administracji rządowej oraz inne zadania zlecone  ustawami realizowane przez powiat</t>
  </si>
  <si>
    <t>Pozostałe podatki na rzecz budżetów jednostek samorządu terytorialnego</t>
  </si>
  <si>
    <t>Gospodarka odpadami</t>
  </si>
  <si>
    <t>Utrzymanie zieleni w miastach i gminach</t>
  </si>
  <si>
    <t>Rodziny zastępcze</t>
  </si>
  <si>
    <t>Powiatowe urzędy pracy</t>
  </si>
  <si>
    <t>Dotacje celowe otrzymane z gminy  na zadania bieżące realizowane na podstawie porozumień (umów) między jednostkami samorządu terytorialnego</t>
  </si>
  <si>
    <t>Grzywny, mandaty i inne kary pieniężne od osób fizycznych</t>
  </si>
  <si>
    <t>Wpływy z podatku dochodowego od osób fizycznych</t>
  </si>
  <si>
    <t>O350</t>
  </si>
  <si>
    <t>Podatek od działalności gospodarczej osób fizycznych, opłacany w  formie karty podatkowej</t>
  </si>
  <si>
    <t>Pomoc  społeczna</t>
  </si>
  <si>
    <t xml:space="preserve">Placówki opiekuńczo-wychowawcze </t>
  </si>
  <si>
    <t>Zespoły do spraw orzekania o niepełnosprawności</t>
  </si>
  <si>
    <t xml:space="preserve">Edukacyjna opieka  wychowawcza  </t>
  </si>
  <si>
    <t>Specjalne  ośrodki szkolno-wychowawcze</t>
  </si>
  <si>
    <t xml:space="preserve">Kultura i ochrona dziedzictwa narodowego  </t>
  </si>
  <si>
    <t>Dotacja podmiotowa z budżetu dla samorządowej instytucji kultury</t>
  </si>
  <si>
    <t>RAZEM zadania powiatu</t>
  </si>
  <si>
    <t>Licea  profilowane</t>
  </si>
  <si>
    <t>Szkoły zawodowe specjalne</t>
  </si>
  <si>
    <t>Centra kształcenia ustawicznego i praktycznego oraz ośrodki dokształcania zawodowego</t>
  </si>
  <si>
    <t xml:space="preserve">w tym: </t>
  </si>
  <si>
    <t>TREŚĆ</t>
  </si>
  <si>
    <t>PRZYCHODY</t>
  </si>
  <si>
    <t>kwota dotacji z budżetu miasta</t>
  </si>
  <si>
    <t>zakres dotacji</t>
  </si>
  <si>
    <t>wpłata do budżetu</t>
  </si>
  <si>
    <t>rozdział</t>
  </si>
  <si>
    <t>OGÓŁEM</t>
  </si>
  <si>
    <t xml:space="preserve">  w tym:</t>
  </si>
  <si>
    <t>Miejski Zakład Komunikacji</t>
  </si>
  <si>
    <t>a) dotacja przedmiotowa</t>
  </si>
  <si>
    <t>Wyszczególnienie</t>
  </si>
  <si>
    <t xml:space="preserve">Określenie zadań </t>
  </si>
  <si>
    <t>Razem zadania gminy</t>
  </si>
  <si>
    <t>Dotacje podmiotowe</t>
  </si>
  <si>
    <t>Kultura i ochrona dziedzictwa narodowego</t>
  </si>
  <si>
    <t>Koniński Dom Kultury</t>
  </si>
  <si>
    <t>Młodzieżowy Dom Kultury</t>
  </si>
  <si>
    <t>Dotacje przedmiotowe</t>
  </si>
  <si>
    <t>do kosztów utrzymania zbiorowej komunikacji miejskiej</t>
  </si>
  <si>
    <t>Dotacje celowe</t>
  </si>
  <si>
    <t>na realizacje zadania pn. "Aglomeracja konińska - współpraca JST kluczem do nowoczesnego rozwoju gospodarczego"</t>
  </si>
  <si>
    <t>Gospodarka komunalna  i ochrona środowiska</t>
  </si>
  <si>
    <t xml:space="preserve">usuwanie wyrobów zawierających azbest z nieruchomości położonych na terenie miasta Konina </t>
  </si>
  <si>
    <t xml:space="preserve">Razem zadania powiatu </t>
  </si>
  <si>
    <t>Miejska Biblioteka Publiczna</t>
  </si>
  <si>
    <t>Turystyka</t>
  </si>
  <si>
    <t>realizacja zadania publicznego pn.: Koordynacja Szlaku Piastowskiego na terenie Województwa Wielkopolskiego</t>
  </si>
  <si>
    <t>prowadzenie działalności Powiatowego Urzędu Pracy</t>
  </si>
  <si>
    <t xml:space="preserve">FINANSÓW PUBLICZNYCH NA CELE PUBLICZNE ZWIĄZANE Z REALIZACJĄ </t>
  </si>
  <si>
    <t xml:space="preserve">Dotacje podmiotowe </t>
  </si>
  <si>
    <t>Dotacja celowa na zakup zestawu hydraulicznego dla OSP Konin-Chorzeń</t>
  </si>
  <si>
    <t>Dotacje celowe w ramach programów finansowanych z udziałem środków europejskich oraz środków o których mowa w  art. 5 ust. 1 pkt 3 oraz ust. 3 pkt 5 i 6 ustawy, lub płatności w ramach budżetu środków europejskich, z wyłączeniem dochodów klasyfikowanych w  paragrafie  205</t>
  </si>
  <si>
    <t>TABELA nr 2</t>
  </si>
  <si>
    <t>Plan  wydatków  na 2015 rok</t>
  </si>
  <si>
    <t>Wykonanie wydatków  na 30 czerwca 2015 roku</t>
  </si>
  <si>
    <t>%</t>
  </si>
  <si>
    <t>wykon.</t>
  </si>
  <si>
    <t xml:space="preserve">Zakup usług obejmujących wykonanie ekspertyz, analiz i opinii  </t>
  </si>
  <si>
    <t>UM</t>
  </si>
  <si>
    <t>Wybory Prezydenta Rzeczypospolitej Polskiej</t>
  </si>
  <si>
    <t>Dotacje celowe z budżetu na finansowanie lub dofinansowanie kosztów realizacji inwestycji i zakupów inwestycyjnych jednostek nie zaliczanych do sektora finansów publicznych</t>
  </si>
  <si>
    <t>Nagrody konkursowe</t>
  </si>
  <si>
    <t>Realizacja zadań wymagających stosowania specjalnej organizacji nauki i metod pracy dla dzieci w przedszkolach, oddziałach przedszkolnych w szkołach podstawowych i innych formach wychowania przedszkolnego</t>
  </si>
  <si>
    <t>Inne formy pomocy dla uczniów</t>
  </si>
  <si>
    <t>Drogi publiczne wojewódzkie</t>
  </si>
  <si>
    <t>Zadania  w zakresie upowszechniania turystyki</t>
  </si>
  <si>
    <t>Dotacje celowe przekazane dla powiatu na zadania bieżące realizowane na podstawie porozumień (umów) między jednostkami samorządu terytorialnego</t>
  </si>
  <si>
    <t xml:space="preserve">Opłaty z tytułu zakupu usług telekomunikacyjnych </t>
  </si>
  <si>
    <t>Składki na ubezpieczenia zdrowotne</t>
  </si>
  <si>
    <t>TABELA nr 1</t>
  </si>
  <si>
    <t>Plan  dochodów  na  2015 rok</t>
  </si>
  <si>
    <t>Wykonanie dochodów  na 30 czerwca 2015 roku</t>
  </si>
  <si>
    <t>010</t>
  </si>
  <si>
    <t>01095</t>
  </si>
  <si>
    <t>Wpływy ze zwrotów dotacji oraz płatności, w tym wykorzystanych niezgodnie z przeznaczeniem lub wykorzystanych z naruszeniem procedur, o których mowa w art.. 184 ustawy, pobranych nienależnie lub w nadmiernej wysokości</t>
  </si>
  <si>
    <t>2990</t>
  </si>
  <si>
    <t>Wpłata środków finansowych z niewykorzystanych w terminie wydatków, które nie wygasają z upływem roku budżetowego</t>
  </si>
  <si>
    <t>Dotacje celowe w ramach programów finansowanych z udziałem środków europejskich oraz środków o których mowa w  art. 5 ust. 1 pkt 3 oraz ust. 3 pkt 5 i 6 ustawy, lub płatności w ramach budżetu środków europejskich</t>
  </si>
  <si>
    <t>Przeciwdziałanie alkoholizmowi</t>
  </si>
  <si>
    <t>0740</t>
  </si>
  <si>
    <t>Wpływy z dywidend</t>
  </si>
  <si>
    <t>2700</t>
  </si>
  <si>
    <t>Dotacje celowe w ramach programów finansowanych z udziałem środków europejskich oraz środków o których mowa w  art. 5 ust. 1 pkt 3 oraz ust. 3 pkt 5 i 6 ustawy, lub płatności w ramach budżetu środków europejskich, z wyłączeniem dochodów klasyfikowanych w  paragrafie  625</t>
  </si>
  <si>
    <t>realizacja programu "Szkolna Interwencja Profilaktyczna"</t>
  </si>
  <si>
    <t>TABELA nr 4</t>
  </si>
  <si>
    <t xml:space="preserve">WYKONANIE DOTACJI I WYDATKÓW ZADAŃ REALIZOWANYCH NA PODSTAWIE </t>
  </si>
  <si>
    <t>ZA I PÓŁROCZE 2015 ROKU - ZADANIA WŁASNE</t>
  </si>
  <si>
    <t>Wykonanie na 30.06.2015 rok</t>
  </si>
  <si>
    <t>% wykon.</t>
  </si>
  <si>
    <t>TABELA nr 5</t>
  </si>
  <si>
    <t xml:space="preserve">WYKONANIE DOCHODÓW ZWIĄZANYCH Z REALIZACJĄ ZADAŃ Z ZAKRESU </t>
  </si>
  <si>
    <t xml:space="preserve">ADMINISTRACJI RZĄDOWEJ ORAZ INNYCH ZADAŃ ZLECONYCH USTAWAMI, </t>
  </si>
  <si>
    <t xml:space="preserve">KTÓRE PODLEGAJĄ  PRZEKAZANIU DO BUDŻETU PAŃSTWA </t>
  </si>
  <si>
    <t>ZA I PÓŁROCZE 2015 ROKU</t>
  </si>
  <si>
    <t>WYKONANIE DOTACJI I WYDATKÓW ZADAŃ REALIZOWANYCH NA PODSTAWIE</t>
  </si>
  <si>
    <t xml:space="preserve">POROZUMIEŃ Z ORGANAMI ADMINISTRACJI RZĄDOWEJ </t>
  </si>
  <si>
    <t>TABELA nr 7</t>
  </si>
  <si>
    <t xml:space="preserve">ZADAŃ Z ZAKRESU ADMINISTRACJI RZĄDOWEJ </t>
  </si>
  <si>
    <t>TABELA nr 9</t>
  </si>
  <si>
    <t xml:space="preserve">WYKONANIE DOTACJI DLA PODMIOTÓW NIE ZALICZANYCH DO SEKTORA </t>
  </si>
  <si>
    <t>ZADAŃ MIASTA ZA I PÓŁROCZE 2015 ROKU</t>
  </si>
  <si>
    <t>dotacja dla niepublicznej szkoły podstawowej rozdz.80101, w tym dla:</t>
  </si>
  <si>
    <t>Prywatna Szkoła Podstawowa "Bajkolandia"</t>
  </si>
  <si>
    <t>Szkoła Podstawowa Towarzystwa Salezjańskiego</t>
  </si>
  <si>
    <t>dotacja dla niepublicznego przedszkola i punktów przedszkolnych rozdz. 80104, w tym dla:</t>
  </si>
  <si>
    <t>Przedszkole niepubliczne "Bajkolandia"</t>
  </si>
  <si>
    <t>Przedszkole niepubliczne z oddziałami dla Dzieci z Autyzmem "Pinokio"</t>
  </si>
  <si>
    <t>Przedszkole niepubliczne "Sportuś"</t>
  </si>
  <si>
    <t>Punkt przedszkolny "Bajkowa Kraina"</t>
  </si>
  <si>
    <t>Punkt przedszkolny "Mały Artysta"</t>
  </si>
  <si>
    <t>Punkt przedszkolny "Akademia Smyka"</t>
  </si>
  <si>
    <t>dotacja dla niepublicznego gimnazjum  rozdz.80110, w tym dla:</t>
  </si>
  <si>
    <t>Centrum Szkoleniowe "WIEDZA"</t>
  </si>
  <si>
    <t>Gimnazjum Towarzystwa Salezjańskiego</t>
  </si>
  <si>
    <t>dotacja dla niepublicznego przedszkola rozdz. 80149, w tym dla:</t>
  </si>
  <si>
    <t>prowadzenie Punktu Konsultacyjnego dla osób i rodzin dotkniętych problemem narkotykowym, w tym dla:</t>
  </si>
  <si>
    <t>Stowarzyszenia MONAR</t>
  </si>
  <si>
    <t>prowadzenie świetlic środowiskowych z dożywianiem, w tym dla:</t>
  </si>
  <si>
    <t>Towarzystwa Przyjaciół Dzieci (2 świetlice)</t>
  </si>
  <si>
    <t>Polskiego Czerwonego Krzyża (2 świetlice)</t>
  </si>
  <si>
    <t>Towarzystwa Inicjatyw Obywatelskich</t>
  </si>
  <si>
    <t>Stowarzyszenia "Teraz Młodzież"</t>
  </si>
  <si>
    <t>Konińskiego Stowarzyszenia Abstynentów "Szansa"</t>
  </si>
  <si>
    <t>Polskiego Towarzystwa Walki z Kalectwem</t>
  </si>
  <si>
    <t>Stowarzyszenia Aktywności Lokalnej "Młodzi - Aktywni" (2 świetlice)</t>
  </si>
  <si>
    <t>realizacja programu zapobiegania i przeciwdziałania przemocy w rodzinie "Bezpieczeństwo w rodzinie" i "Dzieciństwo bez przemocy" w ramach Niebieskich Kart, w tym dla:</t>
  </si>
  <si>
    <t>organizacja półkolonii letnich i zimowych z programem profilaktycznym, z dożywianiem i zajęciami sportowymi dla dzieci z rodzin dysfunkcyjnych, w tym dla:</t>
  </si>
  <si>
    <t>Towarzystwa Przyjaciół Dzieci (2 półkolonie zimowe)</t>
  </si>
  <si>
    <t>Towarzystwa Inicjatyw Obywatelskich (2 półkolonie zimowe)</t>
  </si>
  <si>
    <t>Stowarzyszenia Aktywności Lokalnej "Młodzi - Aktywni" (3 półkolonie zimowe)</t>
  </si>
  <si>
    <t>Polskiego Towarzystwa Walki z Kalectwem (półkolonie zimowe)</t>
  </si>
  <si>
    <t>Stowarzyszenia Teraz Młodzież (półkolonie zimowe)</t>
  </si>
  <si>
    <t>Towarzystwa Inicjatyw Obywatelskich (2 półkolonie letnie)</t>
  </si>
  <si>
    <t>Towarzystwa Przyjaciół Dzieci (3 półkolonie letnie)</t>
  </si>
  <si>
    <t>Polskiego Towarzystwa Walki z Kalectwem (półkolonie letnie)</t>
  </si>
  <si>
    <t>Stowarzyszenia Aktywności Lokalnej "Młodzi - Aktywni" (3 półkolonie letnie)</t>
  </si>
  <si>
    <t>organizacja kolonii socjoterapeutycznych dla dzieci i młodzieży z rodzin dysfunkcyjnych, w tym dla:</t>
  </si>
  <si>
    <t xml:space="preserve">Stowarzyszenia Aktywności Lokalnej "Młodzi - Aktywni" </t>
  </si>
  <si>
    <t>prowadzenie środowiskowych ognisk wychowawczych, w tym dla:</t>
  </si>
  <si>
    <t xml:space="preserve">Towarzystwa Przyjaciół Dzieci </t>
  </si>
  <si>
    <t>prowadzenie świetlic socjoterapeutycznych, w tym dla:</t>
  </si>
  <si>
    <t xml:space="preserve">Towarzystwa Inicjatyw Obywatelskich </t>
  </si>
  <si>
    <t>realizacja programu pomocy żywnościowej dla rodzin dysfunkcyjnych, w tym dla:</t>
  </si>
  <si>
    <t>Banku Żywności w Koninie</t>
  </si>
  <si>
    <t>olimpiada wiedzy nt. uzależnień, w tym dla:</t>
  </si>
  <si>
    <t>świadczenie usług opiekuńczych w domu podopiecznego na terenie miasta Konina, w tym dla:</t>
  </si>
  <si>
    <t>Zarządu Rejonowego Polskiego Czerwonego Krzyża</t>
  </si>
  <si>
    <t>prowadzenie noclegowni i schroniska dla bezdomnych, w tym dla:</t>
  </si>
  <si>
    <t>Zarządu Rejonowego Polskiego Czerwonego Krzyża w Koninie</t>
  </si>
  <si>
    <t>prowadzenie Ośrodka Rehabilitacyjno-Edukacyjno-Wychowawczego i Punktu Rehabilitacyjnego w Koninie, w tym dla:</t>
  </si>
  <si>
    <t>Polskiego Stowarzyszenia na Rzecz Osób z Upośledzeniem Umysłowym Koło w Koninie</t>
  </si>
  <si>
    <t>realizacja zadania pn. "Klub wsparcia rodziny z dzieckiem z niepełnosprawnością", w tym dla:</t>
  </si>
  <si>
    <t>Fundacji Otwarcie</t>
  </si>
  <si>
    <r>
      <t xml:space="preserve">dotacja celowa dla niepublicznego żłobka </t>
    </r>
    <r>
      <rPr>
        <sz val="9"/>
        <rFont val="Times New Roman"/>
        <family val="1"/>
      </rPr>
      <t>"Tuptuś"</t>
    </r>
  </si>
  <si>
    <r>
      <t xml:space="preserve">dotacja celowa dla 2 klubów dziecięcych, </t>
    </r>
    <r>
      <rPr>
        <sz val="9"/>
        <rFont val="Times New Roman"/>
        <family val="1"/>
      </rPr>
      <t>dla Fundacji Wiosna w Sercu na prowadzenie Klubów Dziecięcych Pszczółka i Tygrysek</t>
    </r>
  </si>
  <si>
    <r>
      <rPr>
        <b/>
        <sz val="9"/>
        <rFont val="Times New Roman"/>
        <family val="1"/>
      </rPr>
      <t>dotacja celowa dla niepublicznego Klubu Dziecięcego</t>
    </r>
    <r>
      <rPr>
        <sz val="9"/>
        <rFont val="Times New Roman"/>
        <family val="1"/>
      </rPr>
      <t xml:space="preserve"> Muzykolandia</t>
    </r>
  </si>
  <si>
    <t>Wspieranie realizacji zadań organizacji pozarządowych, w tym dla:</t>
  </si>
  <si>
    <t>Stowarzyszenia Centrum Promocji i Rozwoju Inicjatyw Obywatelskich</t>
  </si>
  <si>
    <t xml:space="preserve">Stowarzyszenia Koniński Kongres Kobiet </t>
  </si>
  <si>
    <r>
      <t xml:space="preserve">realizacja zadania pn.: "Ja też mam super wakacje" dla </t>
    </r>
    <r>
      <rPr>
        <sz val="9"/>
        <rFont val="Times New Roman"/>
        <family val="1"/>
      </rPr>
      <t>Stowarzyszenia Aktywności Lokalnej "Młodzi - Aktywni"</t>
    </r>
  </si>
  <si>
    <r>
      <t xml:space="preserve">działalność wspomagająca rozwój wspólnot i społeczności lokalnych, dla  </t>
    </r>
    <r>
      <rPr>
        <sz val="9"/>
        <rFont val="Times New Roman"/>
        <family val="1"/>
      </rPr>
      <t>Towarzystwa Samorządowego w Koninie</t>
    </r>
  </si>
  <si>
    <t xml:space="preserve">prowadzenie schroniska dla zwierząt, realizacja Programu opieki nad zwierzętami bezdomnymi oraz zapobieganie bezdomności zwierząt na terenie miasta Konina, w tym dla: </t>
  </si>
  <si>
    <t>Towarzystwa Opieki nad Zwierzętami, Zarząd Oddziału w Koninie</t>
  </si>
  <si>
    <r>
      <rPr>
        <b/>
        <sz val="9"/>
        <rFont val="Times New Roman"/>
        <family val="1"/>
      </rPr>
      <t>organizacja koncertów z cyklu Muzyka w Ratuszu - Prezydent Zaprasza</t>
    </r>
    <r>
      <rPr>
        <sz val="9"/>
        <rFont val="Times New Roman"/>
        <family val="1"/>
      </rPr>
      <t xml:space="preserve"> dla Konińskiego Towarzystwa Muzycznego</t>
    </r>
  </si>
  <si>
    <t>Konińskiego Klubu Szermierczego</t>
  </si>
  <si>
    <t>COPACABANA - pięściarstwo</t>
  </si>
  <si>
    <t>Aeroklub Koniński</t>
  </si>
  <si>
    <t>Konińskiego Ludowego Towarzystwa Cyklistów</t>
  </si>
  <si>
    <t>Konińskiego Klubu Piłkarstwa Kobiecego "Medyk"</t>
  </si>
  <si>
    <t>UKS Górnicza przy ZSG w Koninie</t>
  </si>
  <si>
    <t>Klubu Sportowego "Górnik"</t>
  </si>
  <si>
    <t>MKS MOS</t>
  </si>
  <si>
    <t>Klubu Bokserskiego "Zagłębie" Konin - pięściarstwo</t>
  </si>
  <si>
    <t>Cukrowniczego Klubu Sportowego "Sparta"</t>
  </si>
  <si>
    <t>Uczniowskiego Klubu Sportowego "Smecz" - tenis stołowy i szachy</t>
  </si>
  <si>
    <t>Konińskiego Klubu Tenisowego - tenis ziemny</t>
  </si>
  <si>
    <t>Stowarzyszenia Sportu, Rekreacji i Rehabilitacji "Start"</t>
  </si>
  <si>
    <t>Konińskiego Towarzystwa Piłki Siatkowej</t>
  </si>
  <si>
    <t>UKS Górnik</t>
  </si>
  <si>
    <t>Konińskiego Stowarzyszenia MUSTANG</t>
  </si>
  <si>
    <t>Konińskiego Towarzystwa Pływackiego ISKRA</t>
  </si>
  <si>
    <t>KS ORANJE Sport Konin</t>
  </si>
  <si>
    <t>Konińskiego Klubu Golfowego</t>
  </si>
  <si>
    <t>BASKET</t>
  </si>
  <si>
    <t>organizacja imprez sportowo-rekreacyjnych dla mieszkańców Konina, w tym dla:</t>
  </si>
  <si>
    <t>Cukrowniczego Klubu Sportowego SPARTA Konin</t>
  </si>
  <si>
    <t>Konińskiego Okręgowego Związku Żeglarskiego</t>
  </si>
  <si>
    <t>Konińskiego Towarzystwa Krzewienia Kultury Fizycznej</t>
  </si>
  <si>
    <t>UKS Smecz Konin - tenis stołowy</t>
  </si>
  <si>
    <t>KKS Centrum</t>
  </si>
  <si>
    <t>TKKF "Korty"</t>
  </si>
  <si>
    <t>Klubu Sportowego Copacabana</t>
  </si>
  <si>
    <t>KOKUSHIN</t>
  </si>
  <si>
    <t>Klubu Biegacza Aktywni Konin</t>
  </si>
  <si>
    <r>
      <t xml:space="preserve">organizacja imprez sportowych dla osób niepełnosprawnych dla </t>
    </r>
    <r>
      <rPr>
        <sz val="9"/>
        <rFont val="Times New Roman"/>
        <family val="1"/>
      </rPr>
      <t>Oddziału Regionalnego Olimpiady Specjalne Polska</t>
    </r>
  </si>
  <si>
    <t>dotacja dla niepublicznego liceum ogólnokształcącego rozdz. 80120, w tym dla:</t>
  </si>
  <si>
    <t>Centrum Nauki i Biznesu "Żak"</t>
  </si>
  <si>
    <t>Zakład Doskonalenia Zawodowego Centrum Kształcenia</t>
  </si>
  <si>
    <t>COSINUS</t>
  </si>
  <si>
    <t>Liceum Ogólnokształcące Centrum Szkoleniowe Wyższej szkoły Kadr Menadżerskich</t>
  </si>
  <si>
    <t>Liceum Ogólnokształcące dla Dorosłych Michał Lewandowski</t>
  </si>
  <si>
    <t>dotacja dla publicznego liceum ogólnokształcącego rozdz. 80120, w tym dla:</t>
  </si>
  <si>
    <t xml:space="preserve"> Liceum Ogólnokształcące w Konińskim Centrum Edukacyjnym</t>
  </si>
  <si>
    <t>dotacja dla niepublicznej szkoły zawodowej rozdz. 80130, w tym dla:</t>
  </si>
  <si>
    <t>Zespół Edukacji "WIEDZA"</t>
  </si>
  <si>
    <t>Technikum Uzupełniające Michał Lewandowski</t>
  </si>
  <si>
    <t>Niepubliczne Policealne Studium Zawodowe Michał Lewandowski</t>
  </si>
  <si>
    <t>Szkoła Policealna - Nadbałtyckie Centrum Edukacji "Oświata - Lingwista"</t>
  </si>
  <si>
    <t>Cech Rzemiosł Różnych</t>
  </si>
  <si>
    <t>Elitarne Studium Służb Ochrony "DELTA"</t>
  </si>
  <si>
    <t>dotacja dla publicznego liceum ogólnokształcącego rozdz. 80150, w tym dla:</t>
  </si>
  <si>
    <t>prowadzenie warsztatów terapii zajęciowej, rehabilitacja zawodowa i społeczna, w tym dla:</t>
  </si>
  <si>
    <t xml:space="preserve">Stowarzyszenia na Rzecz Pomocy Osobom Chorym Psychicznie </t>
  </si>
  <si>
    <t xml:space="preserve">Polskiego Stowarzyszenia na Rzecz Osób z Upośledzeniem Umysłowym </t>
  </si>
  <si>
    <t>Fundacji Mielnica</t>
  </si>
  <si>
    <r>
      <t xml:space="preserve">dotacja dla niepublicznego specjalnego ośrodka szkolno-wychowawczego rozdz. 85403, dla </t>
    </r>
    <r>
      <rPr>
        <sz val="9"/>
        <rFont val="Times New Roman"/>
        <family val="1"/>
      </rPr>
      <t>Polskiego Stowarzyszenia na Rzecz Osób z Upośledzeniem Umysłowym</t>
    </r>
  </si>
  <si>
    <r>
      <t xml:space="preserve">promocja turystyczna miasta Konina oraz udzielanie o nim informacji turystycznej dla </t>
    </r>
    <r>
      <rPr>
        <sz val="9"/>
        <rFont val="Times New Roman"/>
        <family val="1"/>
      </rPr>
      <t>LOT MARINA</t>
    </r>
  </si>
  <si>
    <r>
      <t xml:space="preserve">organizacja imprez turystycznych dla mieszkańców Konina dla </t>
    </r>
    <r>
      <rPr>
        <sz val="9"/>
        <rFont val="Times New Roman"/>
        <family val="1"/>
      </rPr>
      <t>PTTK</t>
    </r>
  </si>
  <si>
    <r>
      <t xml:space="preserve">prowadzenie placówki opiekuńczo - wychowawczej typu rodzinnego -  Rodzinny Dom Dziecka, dla </t>
    </r>
    <r>
      <rPr>
        <sz val="9"/>
        <rFont val="Times New Roman"/>
        <family val="1"/>
      </rPr>
      <t>Stowarzyszenia "Prom"</t>
    </r>
  </si>
  <si>
    <r>
      <t xml:space="preserve">na realizację programów korekcyjno-edukacyjnych dla sprawców przemocy w rodzinie, dla </t>
    </r>
    <r>
      <rPr>
        <sz val="9"/>
        <rFont val="Times New Roman"/>
        <family val="1"/>
      </rPr>
      <t>Towarzystwa Inicjatyw Obywatelskich</t>
    </r>
  </si>
  <si>
    <t xml:space="preserve">działalność na rzecz rozwoju gospodarczego wspierającego lokalny rynek pracy </t>
  </si>
  <si>
    <t>TABELA nr 10</t>
  </si>
  <si>
    <t xml:space="preserve">WYKONANIE DOTACJI DLA PODMIOTÓW ZALICZANYCH DO SEKTORA FINANSÓW </t>
  </si>
  <si>
    <t xml:space="preserve">PUBLICZNYCH NA CELE PUBLICZNE ZWIĄZANE Z REALIZACJĄ ZADAŃ MIASTA 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</si>
</sst>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"/>
    <numFmt numFmtId="166" formatCode="#,##0.0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00000"/>
    <numFmt numFmtId="178" formatCode="#,##0.00000000"/>
    <numFmt numFmtId="179" formatCode="#,##0.0000000"/>
    <numFmt numFmtId="180" formatCode="0.000000000"/>
    <numFmt numFmtId="181" formatCode="#,##0.00_ ;[Red]\-#,##0.00\ "/>
    <numFmt numFmtId="182" formatCode="0.0000000000"/>
    <numFmt numFmtId="183" formatCode="0.00000000000"/>
  </numFmts>
  <fonts count="9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i/>
      <sz val="14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12"/>
      <name val="Times New Roman"/>
      <family val="1"/>
    </font>
    <font>
      <sz val="9"/>
      <name val="Arial"/>
      <family val="0"/>
    </font>
    <font>
      <sz val="6"/>
      <name val="Times New Roman"/>
      <family val="1"/>
    </font>
    <font>
      <sz val="8"/>
      <color indexed="10"/>
      <name val="Times New Roman"/>
      <family val="1"/>
    </font>
    <font>
      <sz val="16"/>
      <name val="Times New Roman"/>
      <family val="1"/>
    </font>
    <font>
      <sz val="10"/>
      <name val="Arial CE"/>
      <family val="0"/>
    </font>
    <font>
      <b/>
      <sz val="14"/>
      <color indexed="10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  <font>
      <i/>
      <sz val="12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10"/>
      <name val="Times New Roman CE"/>
      <family val="0"/>
    </font>
    <font>
      <i/>
      <sz val="14"/>
      <name val="Times New Roman CE"/>
      <family val="0"/>
    </font>
    <font>
      <sz val="8"/>
      <name val="Arial CE"/>
      <family val="2"/>
    </font>
    <font>
      <sz val="8"/>
      <name val="Times New Roman CE"/>
      <family val="1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8"/>
      <name val="Times New Roman CE"/>
      <family val="1"/>
    </font>
    <font>
      <i/>
      <sz val="8"/>
      <name val="Times New Roman CE"/>
      <family val="1"/>
    </font>
    <font>
      <b/>
      <sz val="14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0"/>
    </font>
    <font>
      <sz val="9"/>
      <name val="Times New Roman CE"/>
      <family val="0"/>
    </font>
    <font>
      <b/>
      <sz val="12"/>
      <name val="Times New Roman CE"/>
      <family val="1"/>
    </font>
    <font>
      <i/>
      <sz val="12"/>
      <name val="Arial"/>
      <family val="2"/>
    </font>
    <font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i/>
      <sz val="13"/>
      <color indexed="10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i/>
      <sz val="6"/>
      <name val="Times New Roman"/>
      <family val="1"/>
    </font>
    <font>
      <b/>
      <sz val="7"/>
      <name val="Times New Roman"/>
      <family val="1"/>
    </font>
    <font>
      <sz val="11"/>
      <name val="Times New Roman CE"/>
      <family val="1"/>
    </font>
    <font>
      <sz val="7"/>
      <name val="Arial"/>
      <family val="0"/>
    </font>
    <font>
      <b/>
      <sz val="8"/>
      <name val="Arial"/>
      <family val="0"/>
    </font>
    <font>
      <sz val="9"/>
      <name val="Arial CE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087">
    <xf numFmtId="0" fontId="0" fillId="0" borderId="0" xfId="0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" fontId="15" fillId="0" borderId="12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4" fontId="15" fillId="0" borderId="13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4" fontId="15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 horizontal="left" vertical="center"/>
    </xf>
    <xf numFmtId="4" fontId="15" fillId="0" borderId="0" xfId="0" applyNumberFormat="1" applyFont="1" applyFill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vertical="center" wrapText="1"/>
    </xf>
    <xf numFmtId="4" fontId="16" fillId="0" borderId="11" xfId="0" applyNumberFormat="1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4" fontId="15" fillId="0" borderId="18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15" fillId="0" borderId="22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" fontId="15" fillId="0" borderId="0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vertical="center"/>
    </xf>
    <xf numFmtId="4" fontId="15" fillId="0" borderId="15" xfId="0" applyNumberFormat="1" applyFont="1" applyFill="1" applyBorder="1" applyAlignment="1">
      <alignment vertical="center"/>
    </xf>
    <xf numFmtId="4" fontId="15" fillId="0" borderId="23" xfId="0" applyNumberFormat="1" applyFont="1" applyFill="1" applyBorder="1" applyAlignment="1">
      <alignment vertical="center"/>
    </xf>
    <xf numFmtId="4" fontId="15" fillId="0" borderId="24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horizontal="righ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4" fontId="8" fillId="0" borderId="2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16" fillId="0" borderId="18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" fontId="23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Alignment="1">
      <alignment/>
    </xf>
    <xf numFmtId="0" fontId="3" fillId="0" borderId="12" xfId="0" applyFont="1" applyFill="1" applyBorder="1" applyAlignment="1">
      <alignment vertical="center" wrapText="1"/>
    </xf>
    <xf numFmtId="4" fontId="1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4" fontId="8" fillId="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4" fontId="16" fillId="0" borderId="18" xfId="0" applyNumberFormat="1" applyFont="1" applyFill="1" applyBorder="1" applyAlignment="1">
      <alignment horizontal="right" vertical="center" wrapText="1"/>
    </xf>
    <xf numFmtId="4" fontId="15" fillId="0" borderId="19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4" fontId="16" fillId="0" borderId="18" xfId="0" applyNumberFormat="1" applyFont="1" applyFill="1" applyBorder="1" applyAlignment="1">
      <alignment vertical="center" wrapText="1"/>
    </xf>
    <xf numFmtId="4" fontId="15" fillId="0" borderId="16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9" fontId="13" fillId="0" borderId="20" xfId="0" applyNumberFormat="1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4" fontId="16" fillId="0" borderId="15" xfId="0" applyNumberFormat="1" applyFont="1" applyFill="1" applyBorder="1" applyAlignment="1">
      <alignment vertical="center"/>
    </xf>
    <xf numFmtId="4" fontId="16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4" fontId="19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4" fontId="15" fillId="0" borderId="21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16" fillId="0" borderId="16" xfId="0" applyNumberFormat="1" applyFont="1" applyFill="1" applyBorder="1" applyAlignment="1">
      <alignment vertical="center"/>
    </xf>
    <xf numFmtId="4" fontId="16" fillId="0" borderId="16" xfId="0" applyNumberFormat="1" applyFont="1" applyFill="1" applyBorder="1" applyAlignment="1">
      <alignment vertical="center" wrapText="1"/>
    </xf>
    <xf numFmtId="4" fontId="15" fillId="0" borderId="19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vertical="center"/>
    </xf>
    <xf numFmtId="4" fontId="16" fillId="0" borderId="19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left" vertical="center" wrapText="1"/>
    </xf>
    <xf numFmtId="4" fontId="15" fillId="0" borderId="20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left" vertical="center"/>
    </xf>
    <xf numFmtId="49" fontId="24" fillId="0" borderId="12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" fontId="8" fillId="0" borderId="23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vertical="center"/>
    </xf>
    <xf numFmtId="0" fontId="17" fillId="0" borderId="0" xfId="0" applyFont="1" applyAlignment="1">
      <alignment/>
    </xf>
    <xf numFmtId="0" fontId="15" fillId="0" borderId="0" xfId="53" applyFont="1">
      <alignment/>
      <protection/>
    </xf>
    <xf numFmtId="0" fontId="15" fillId="0" borderId="0" xfId="0" applyFont="1" applyAlignment="1">
      <alignment vertical="center"/>
    </xf>
    <xf numFmtId="0" fontId="9" fillId="0" borderId="13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0" fontId="20" fillId="0" borderId="11" xfId="53" applyFont="1" applyFill="1" applyBorder="1" applyAlignment="1">
      <alignment vertical="center" wrapText="1"/>
      <protection/>
    </xf>
    <xf numFmtId="0" fontId="20" fillId="0" borderId="12" xfId="52" applyFont="1" applyFill="1" applyBorder="1" applyAlignment="1">
      <alignment vertical="center" wrapText="1"/>
      <protection/>
    </xf>
    <xf numFmtId="4" fontId="14" fillId="0" borderId="11" xfId="53" applyNumberFormat="1" applyFont="1" applyFill="1" applyBorder="1" applyAlignment="1">
      <alignment vertical="center"/>
      <protection/>
    </xf>
    <xf numFmtId="4" fontId="52" fillId="0" borderId="11" xfId="53" applyNumberFormat="1" applyFont="1" applyFill="1" applyBorder="1" applyAlignment="1">
      <alignment vertical="center"/>
      <protection/>
    </xf>
    <xf numFmtId="4" fontId="52" fillId="0" borderId="10" xfId="53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/>
    </xf>
    <xf numFmtId="0" fontId="53" fillId="0" borderId="0" xfId="0" applyFont="1" applyFill="1" applyAlignment="1">
      <alignment vertical="center"/>
    </xf>
    <xf numFmtId="0" fontId="3" fillId="0" borderId="18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4" fillId="0" borderId="12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1" fillId="0" borderId="22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vertical="center"/>
    </xf>
    <xf numFmtId="4" fontId="58" fillId="0" borderId="2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11" fillId="0" borderId="2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vertical="center"/>
    </xf>
    <xf numFmtId="4" fontId="58" fillId="0" borderId="23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/>
    </xf>
    <xf numFmtId="0" fontId="24" fillId="0" borderId="16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1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/>
    </xf>
    <xf numFmtId="0" fontId="56" fillId="0" borderId="16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/>
    </xf>
    <xf numFmtId="0" fontId="10" fillId="0" borderId="16" xfId="0" applyFont="1" applyFill="1" applyBorder="1" applyAlignment="1">
      <alignment horizontal="left" vertical="center"/>
    </xf>
    <xf numFmtId="4" fontId="19" fillId="0" borderId="11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/>
    </xf>
    <xf numFmtId="0" fontId="10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right" vertical="center" wrapText="1"/>
    </xf>
    <xf numFmtId="0" fontId="10" fillId="0" borderId="18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24" fillId="0" borderId="11" xfId="0" applyNumberFormat="1" applyFont="1" applyFill="1" applyBorder="1" applyAlignment="1">
      <alignment horizontal="right" vertical="center"/>
    </xf>
    <xf numFmtId="0" fontId="59" fillId="0" borderId="16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 wrapText="1"/>
    </xf>
    <xf numFmtId="4" fontId="56" fillId="0" borderId="14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left" vertical="center" wrapText="1"/>
    </xf>
    <xf numFmtId="4" fontId="24" fillId="0" borderId="14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4" fontId="56" fillId="0" borderId="11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13" fillId="0" borderId="20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4" fontId="24" fillId="0" borderId="19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4" fontId="24" fillId="0" borderId="18" xfId="0" applyNumberFormat="1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 wrapText="1"/>
    </xf>
    <xf numFmtId="0" fontId="10" fillId="0" borderId="19" xfId="54" applyFont="1" applyFill="1" applyBorder="1" applyAlignment="1">
      <alignment horizontal="left" vertical="center" wrapText="1"/>
      <protection/>
    </xf>
    <xf numFmtId="0" fontId="10" fillId="0" borderId="11" xfId="54" applyFont="1" applyFill="1" applyBorder="1" applyAlignment="1">
      <alignment horizontal="left" vertical="center" wrapText="1"/>
      <protection/>
    </xf>
    <xf numFmtId="0" fontId="10" fillId="0" borderId="18" xfId="54" applyFont="1" applyFill="1" applyBorder="1" applyAlignment="1">
      <alignment horizontal="left" vertical="center" wrapText="1"/>
      <protection/>
    </xf>
    <xf numFmtId="0" fontId="12" fillId="0" borderId="15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4" fontId="19" fillId="0" borderId="11" xfId="0" applyNumberFormat="1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4" fontId="56" fillId="0" borderId="10" xfId="0" applyNumberFormat="1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vertical="center" wrapText="1"/>
    </xf>
    <xf numFmtId="4" fontId="24" fillId="0" borderId="15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15" fillId="0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4" fontId="54" fillId="0" borderId="10" xfId="0" applyNumberFormat="1" applyFont="1" applyFill="1" applyBorder="1" applyAlignment="1">
      <alignment horizontal="right" vertical="center"/>
    </xf>
    <xf numFmtId="0" fontId="59" fillId="0" borderId="15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vertical="center"/>
    </xf>
    <xf numFmtId="0" fontId="59" fillId="0" borderId="20" xfId="0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vertical="center" wrapText="1"/>
    </xf>
    <xf numFmtId="4" fontId="54" fillId="0" borderId="11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6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45" fillId="0" borderId="0" xfId="0" applyFont="1" applyFill="1" applyAlignment="1">
      <alignment wrapText="1"/>
    </xf>
    <xf numFmtId="4" fontId="11" fillId="0" borderId="0" xfId="0" applyNumberFormat="1" applyFont="1" applyFill="1" applyAlignment="1">
      <alignment horizontal="right" vertical="center"/>
    </xf>
    <xf numFmtId="0" fontId="16" fillId="0" borderId="1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59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4" fontId="67" fillId="0" borderId="0" xfId="0" applyNumberFormat="1" applyFont="1" applyFill="1" applyAlignment="1">
      <alignment/>
    </xf>
    <xf numFmtId="4" fontId="6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 wrapText="1"/>
    </xf>
    <xf numFmtId="4" fontId="65" fillId="0" borderId="0" xfId="0" applyNumberFormat="1" applyFont="1" applyFill="1" applyBorder="1" applyAlignment="1">
      <alignment horizontal="right" vertical="center"/>
    </xf>
    <xf numFmtId="4" fontId="69" fillId="0" borderId="0" xfId="0" applyNumberFormat="1" applyFont="1" applyFill="1" applyBorder="1" applyAlignment="1">
      <alignment horizontal="right" vertical="center"/>
    </xf>
    <xf numFmtId="4" fontId="71" fillId="0" borderId="11" xfId="0" applyNumberFormat="1" applyFont="1" applyFill="1" applyBorder="1" applyAlignment="1">
      <alignment vertical="center" wrapText="1"/>
    </xf>
    <xf numFmtId="0" fontId="71" fillId="0" borderId="18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vertical="center" wrapText="1"/>
    </xf>
    <xf numFmtId="4" fontId="71" fillId="0" borderId="11" xfId="0" applyNumberFormat="1" applyFont="1" applyFill="1" applyBorder="1" applyAlignment="1">
      <alignment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left" vertical="center" wrapText="1"/>
    </xf>
    <xf numFmtId="4" fontId="72" fillId="0" borderId="11" xfId="0" applyNumberFormat="1" applyFont="1" applyFill="1" applyBorder="1" applyAlignment="1">
      <alignment vertical="center"/>
    </xf>
    <xf numFmtId="0" fontId="62" fillId="0" borderId="0" xfId="0" applyFont="1" applyFill="1" applyAlignment="1">
      <alignment/>
    </xf>
    <xf numFmtId="0" fontId="73" fillId="0" borderId="15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left" vertical="center" wrapText="1"/>
    </xf>
    <xf numFmtId="4" fontId="73" fillId="0" borderId="11" xfId="0" applyNumberFormat="1" applyFont="1" applyFill="1" applyBorder="1" applyAlignment="1">
      <alignment vertical="center"/>
    </xf>
    <xf numFmtId="4" fontId="73" fillId="0" borderId="10" xfId="0" applyNumberFormat="1" applyFont="1" applyFill="1" applyBorder="1" applyAlignment="1">
      <alignment vertical="center" wrapText="1"/>
    </xf>
    <xf numFmtId="0" fontId="66" fillId="0" borderId="0" xfId="0" applyFont="1" applyFill="1" applyAlignment="1">
      <alignment/>
    </xf>
    <xf numFmtId="0" fontId="72" fillId="0" borderId="15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left" vertical="center" wrapText="1"/>
    </xf>
    <xf numFmtId="4" fontId="72" fillId="0" borderId="11" xfId="0" applyNumberFormat="1" applyFont="1" applyFill="1" applyBorder="1" applyAlignment="1">
      <alignment vertical="center"/>
    </xf>
    <xf numFmtId="0" fontId="62" fillId="0" borderId="15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vertical="center" wrapText="1"/>
    </xf>
    <xf numFmtId="0" fontId="62" fillId="0" borderId="18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vertical="center" wrapText="1"/>
    </xf>
    <xf numFmtId="0" fontId="65" fillId="0" borderId="15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vertical="center" wrapText="1"/>
    </xf>
    <xf numFmtId="0" fontId="62" fillId="0" borderId="20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4" fontId="73" fillId="0" borderId="11" xfId="0" applyNumberFormat="1" applyFont="1" applyFill="1" applyBorder="1" applyAlignment="1">
      <alignment vertical="center"/>
    </xf>
    <xf numFmtId="0" fontId="72" fillId="0" borderId="15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4" fontId="15" fillId="0" borderId="2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/>
    </xf>
    <xf numFmtId="4" fontId="15" fillId="0" borderId="18" xfId="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15" fillId="0" borderId="1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/>
    </xf>
    <xf numFmtId="4" fontId="15" fillId="0" borderId="24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/>
    </xf>
    <xf numFmtId="4" fontId="20" fillId="0" borderId="0" xfId="0" applyNumberFormat="1" applyFont="1" applyFill="1" applyAlignment="1">
      <alignment/>
    </xf>
    <xf numFmtId="4" fontId="10" fillId="0" borderId="11" xfId="0" applyNumberFormat="1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4" fontId="16" fillId="0" borderId="12" xfId="0" applyNumberFormat="1" applyFont="1" applyFill="1" applyBorder="1" applyAlignment="1">
      <alignment vertical="center" wrapText="1"/>
    </xf>
    <xf numFmtId="4" fontId="15" fillId="0" borderId="12" xfId="0" applyNumberFormat="1" applyFont="1" applyFill="1" applyBorder="1" applyAlignment="1">
      <alignment vertical="center" wrapText="1"/>
    </xf>
    <xf numFmtId="4" fontId="16" fillId="0" borderId="15" xfId="0" applyNumberFormat="1" applyFont="1" applyFill="1" applyBorder="1" applyAlignment="1">
      <alignment vertical="center" wrapText="1"/>
    </xf>
    <xf numFmtId="4" fontId="8" fillId="0" borderId="23" xfId="0" applyNumberFormat="1" applyFont="1" applyFill="1" applyBorder="1" applyAlignment="1">
      <alignment vertical="center" wrapText="1"/>
    </xf>
    <xf numFmtId="4" fontId="15" fillId="0" borderId="23" xfId="0" applyNumberFormat="1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vertical="center" wrapText="1"/>
    </xf>
    <xf numFmtId="4" fontId="66" fillId="0" borderId="0" xfId="0" applyNumberFormat="1" applyFont="1" applyFill="1" applyAlignment="1">
      <alignment/>
    </xf>
    <xf numFmtId="0" fontId="10" fillId="0" borderId="18" xfId="0" applyFont="1" applyFill="1" applyBorder="1" applyAlignment="1">
      <alignment vertical="center" wrapText="1"/>
    </xf>
    <xf numFmtId="4" fontId="15" fillId="0" borderId="13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 wrapText="1"/>
    </xf>
    <xf numFmtId="4" fontId="76" fillId="0" borderId="0" xfId="0" applyNumberFormat="1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left" vertical="center"/>
    </xf>
    <xf numFmtId="4" fontId="15" fillId="0" borderId="17" xfId="0" applyNumberFormat="1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>
      <alignment horizontal="left" vertical="center" wrapText="1"/>
    </xf>
    <xf numFmtId="4" fontId="16" fillId="0" borderId="23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16" fillId="0" borderId="12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23" fillId="0" borderId="23" xfId="0" applyNumberFormat="1" applyFont="1" applyFill="1" applyBorder="1" applyAlignment="1">
      <alignment vertical="center"/>
    </xf>
    <xf numFmtId="4" fontId="16" fillId="0" borderId="24" xfId="0" applyNumberFormat="1" applyFont="1" applyFill="1" applyBorder="1" applyAlignment="1">
      <alignment horizontal="right" vertical="center" wrapText="1"/>
    </xf>
    <xf numFmtId="4" fontId="43" fillId="0" borderId="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4" fontId="16" fillId="0" borderId="17" xfId="0" applyNumberFormat="1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4" fontId="77" fillId="0" borderId="0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" fontId="16" fillId="0" borderId="11" xfId="0" applyNumberFormat="1" applyFont="1" applyFill="1" applyBorder="1" applyAlignment="1">
      <alignment vertical="center"/>
    </xf>
    <xf numFmtId="4" fontId="16" fillId="0" borderId="25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/>
    </xf>
    <xf numFmtId="4" fontId="8" fillId="0" borderId="25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4" fontId="15" fillId="0" borderId="11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25" xfId="0" applyNumberFormat="1" applyFont="1" applyFill="1" applyBorder="1" applyAlignment="1">
      <alignment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vertical="center"/>
    </xf>
    <xf numFmtId="2" fontId="11" fillId="0" borderId="11" xfId="0" applyNumberFormat="1" applyFont="1" applyFill="1" applyBorder="1" applyAlignment="1">
      <alignment vertical="center"/>
    </xf>
    <xf numFmtId="49" fontId="10" fillId="0" borderId="33" xfId="0" applyNumberFormat="1" applyFont="1" applyFill="1" applyBorder="1" applyAlignment="1">
      <alignment horizontal="center" vertical="center"/>
    </xf>
    <xf numFmtId="4" fontId="15" fillId="0" borderId="32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22" fillId="0" borderId="32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4" fontId="55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4" fontId="22" fillId="0" borderId="12" xfId="0" applyNumberFormat="1" applyFont="1" applyFill="1" applyBorder="1" applyAlignment="1">
      <alignment vertical="center" wrapText="1"/>
    </xf>
    <xf numFmtId="4" fontId="22" fillId="0" borderId="15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4" fontId="15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19" fillId="0" borderId="18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3" applyFont="1">
      <alignment/>
      <protection/>
    </xf>
    <xf numFmtId="0" fontId="19" fillId="0" borderId="0" xfId="53" applyFont="1">
      <alignment/>
      <protection/>
    </xf>
    <xf numFmtId="0" fontId="9" fillId="0" borderId="0" xfId="53" applyFont="1" applyAlignment="1">
      <alignment/>
      <protection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9" fillId="0" borderId="12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3" fillId="0" borderId="16" xfId="53" applyFont="1" applyBorder="1" applyAlignment="1">
      <alignment vertical="center"/>
      <protection/>
    </xf>
    <xf numFmtId="4" fontId="19" fillId="0" borderId="0" xfId="53" applyNumberFormat="1" applyFont="1" applyAlignment="1">
      <alignment vertical="center"/>
      <protection/>
    </xf>
    <xf numFmtId="0" fontId="15" fillId="0" borderId="0" xfId="53" applyFont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12" fillId="0" borderId="14" xfId="53" applyFont="1" applyBorder="1" applyAlignment="1">
      <alignment vertical="center" wrapText="1"/>
      <protection/>
    </xf>
    <xf numFmtId="4" fontId="10" fillId="0" borderId="24" xfId="0" applyNumberFormat="1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vertical="center" wrapText="1"/>
      <protection/>
    </xf>
    <xf numFmtId="4" fontId="10" fillId="0" borderId="11" xfId="0" applyNumberFormat="1" applyFont="1" applyFill="1" applyBorder="1" applyAlignment="1">
      <alignment horizontal="center" vertical="center" wrapText="1"/>
    </xf>
    <xf numFmtId="4" fontId="13" fillId="0" borderId="0" xfId="53" applyNumberFormat="1" applyFont="1" applyBorder="1" applyAlignment="1">
      <alignment vertical="center" wrapText="1"/>
      <protection/>
    </xf>
    <xf numFmtId="4" fontId="13" fillId="0" borderId="0" xfId="53" applyNumberFormat="1" applyFont="1" applyAlignment="1">
      <alignment vertical="center"/>
      <protection/>
    </xf>
    <xf numFmtId="4" fontId="18" fillId="0" borderId="0" xfId="53" applyNumberFormat="1" applyFont="1" applyAlignment="1">
      <alignment vertical="center"/>
      <protection/>
    </xf>
    <xf numFmtId="4" fontId="15" fillId="0" borderId="0" xfId="53" applyNumberFormat="1" applyFont="1">
      <alignment/>
      <protection/>
    </xf>
    <xf numFmtId="4" fontId="13" fillId="0" borderId="0" xfId="53" applyNumberFormat="1" applyFont="1" applyFill="1" applyBorder="1" applyAlignment="1">
      <alignment vertical="center"/>
      <protection/>
    </xf>
    <xf numFmtId="4" fontId="13" fillId="0" borderId="0" xfId="53" applyNumberFormat="1" applyFont="1" applyFill="1" applyAlignment="1">
      <alignment vertical="center"/>
      <protection/>
    </xf>
    <xf numFmtId="4" fontId="18" fillId="0" borderId="0" xfId="53" applyNumberFormat="1" applyFont="1" applyFill="1" applyAlignment="1">
      <alignment vertical="center"/>
      <protection/>
    </xf>
    <xf numFmtId="4" fontId="10" fillId="0" borderId="0" xfId="53" applyNumberFormat="1" applyFont="1" applyFill="1" applyAlignment="1">
      <alignment vertical="center"/>
      <protection/>
    </xf>
    <xf numFmtId="0" fontId="10" fillId="0" borderId="0" xfId="53" applyFont="1" applyFill="1">
      <alignment/>
      <protection/>
    </xf>
    <xf numFmtId="0" fontId="56" fillId="0" borderId="11" xfId="53" applyFont="1" applyFill="1" applyBorder="1" applyAlignment="1">
      <alignment vertical="center" wrapText="1"/>
      <protection/>
    </xf>
    <xf numFmtId="4" fontId="51" fillId="0" borderId="11" xfId="53" applyNumberFormat="1" applyFont="1" applyFill="1" applyBorder="1" applyAlignment="1">
      <alignment vertical="center"/>
      <protection/>
    </xf>
    <xf numFmtId="4" fontId="49" fillId="0" borderId="0" xfId="53" applyNumberFormat="1" applyFont="1" applyFill="1" applyBorder="1" applyAlignment="1">
      <alignment vertical="center"/>
      <protection/>
    </xf>
    <xf numFmtId="4" fontId="19" fillId="0" borderId="0" xfId="53" applyNumberFormat="1" applyFont="1" applyFill="1" applyAlignment="1">
      <alignment vertical="center"/>
      <protection/>
    </xf>
    <xf numFmtId="0" fontId="19" fillId="0" borderId="0" xfId="53" applyFont="1" applyFill="1">
      <alignment/>
      <protection/>
    </xf>
    <xf numFmtId="4" fontId="51" fillId="0" borderId="10" xfId="53" applyNumberFormat="1" applyFont="1" applyFill="1" applyBorder="1" applyAlignment="1">
      <alignment vertical="center"/>
      <protection/>
    </xf>
    <xf numFmtId="4" fontId="78" fillId="0" borderId="11" xfId="53" applyNumberFormat="1" applyFont="1" applyFill="1" applyBorder="1" applyAlignment="1">
      <alignment vertical="center"/>
      <protection/>
    </xf>
    <xf numFmtId="0" fontId="19" fillId="0" borderId="0" xfId="53" applyFont="1" applyFill="1" applyAlignment="1">
      <alignment vertical="center"/>
      <protection/>
    </xf>
    <xf numFmtId="4" fontId="18" fillId="0" borderId="0" xfId="53" applyNumberFormat="1" applyFont="1" applyFill="1" applyBorder="1" applyAlignment="1">
      <alignment vertical="center"/>
      <protection/>
    </xf>
    <xf numFmtId="4" fontId="3" fillId="0" borderId="0" xfId="53" applyNumberFormat="1" applyFont="1" applyFill="1" applyAlignment="1">
      <alignment vertical="center"/>
      <protection/>
    </xf>
    <xf numFmtId="4" fontId="15" fillId="0" borderId="0" xfId="53" applyNumberFormat="1" applyFont="1" applyFill="1" applyAlignment="1">
      <alignment vertical="center"/>
      <protection/>
    </xf>
    <xf numFmtId="0" fontId="15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19" fillId="0" borderId="11" xfId="53" applyFont="1" applyFill="1" applyBorder="1" applyAlignment="1">
      <alignment vertical="center" wrapText="1"/>
      <protection/>
    </xf>
    <xf numFmtId="3" fontId="10" fillId="0" borderId="11" xfId="53" applyNumberFormat="1" applyFont="1" applyFill="1" applyBorder="1" applyAlignment="1">
      <alignment vertical="center"/>
      <protection/>
    </xf>
    <xf numFmtId="0" fontId="3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 wrapText="1"/>
    </xf>
    <xf numFmtId="4" fontId="8" fillId="0" borderId="22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4" fontId="19" fillId="0" borderId="11" xfId="53" applyNumberFormat="1" applyFont="1" applyFill="1" applyBorder="1" applyAlignment="1">
      <alignment vertical="center"/>
      <protection/>
    </xf>
    <xf numFmtId="4" fontId="15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right" vertical="center"/>
    </xf>
    <xf numFmtId="4" fontId="16" fillId="0" borderId="11" xfId="0" applyNumberFormat="1" applyFont="1" applyFill="1" applyBorder="1" applyAlignment="1">
      <alignment horizontal="right" vertical="center"/>
    </xf>
    <xf numFmtId="4" fontId="64" fillId="0" borderId="0" xfId="0" applyNumberFormat="1" applyFont="1" applyFill="1" applyAlignment="1">
      <alignment horizontal="right" vertical="center"/>
    </xf>
    <xf numFmtId="0" fontId="83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 wrapText="1"/>
    </xf>
    <xf numFmtId="4" fontId="83" fillId="0" borderId="11" xfId="0" applyNumberFormat="1" applyFont="1" applyFill="1" applyBorder="1" applyAlignment="1">
      <alignment horizontal="center" vertical="center" wrapText="1"/>
    </xf>
    <xf numFmtId="4" fontId="65" fillId="0" borderId="0" xfId="0" applyNumberFormat="1" applyFont="1" applyFill="1" applyBorder="1" applyAlignment="1">
      <alignment horizontal="center" vertical="center" wrapText="1"/>
    </xf>
    <xf numFmtId="3" fontId="71" fillId="0" borderId="0" xfId="0" applyNumberFormat="1" applyFont="1" applyFill="1" applyBorder="1" applyAlignment="1">
      <alignment vertical="center" wrapText="1"/>
    </xf>
    <xf numFmtId="0" fontId="73" fillId="0" borderId="11" xfId="0" applyFont="1" applyFill="1" applyBorder="1" applyAlignment="1">
      <alignment horizontal="left" vertical="center" wrapText="1"/>
    </xf>
    <xf numFmtId="3" fontId="71" fillId="0" borderId="0" xfId="0" applyNumberFormat="1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4" fontId="65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/>
    </xf>
    <xf numFmtId="3" fontId="73" fillId="0" borderId="0" xfId="0" applyNumberFormat="1" applyFont="1" applyFill="1" applyBorder="1" applyAlignment="1">
      <alignment vertical="center"/>
    </xf>
    <xf numFmtId="0" fontId="72" fillId="0" borderId="21" xfId="0" applyFont="1" applyFill="1" applyBorder="1" applyAlignment="1">
      <alignment horizontal="center" vertical="center"/>
    </xf>
    <xf numFmtId="4" fontId="73" fillId="0" borderId="10" xfId="0" applyNumberFormat="1" applyFont="1" applyFill="1" applyBorder="1" applyAlignment="1">
      <alignment vertical="center"/>
    </xf>
    <xf numFmtId="3" fontId="69" fillId="0" borderId="0" xfId="0" applyNumberFormat="1" applyFont="1" applyFill="1" applyBorder="1" applyAlignment="1">
      <alignment vertical="center"/>
    </xf>
    <xf numFmtId="0" fontId="73" fillId="0" borderId="10" xfId="0" applyFont="1" applyFill="1" applyBorder="1" applyAlignment="1">
      <alignment horizontal="center" vertical="center"/>
    </xf>
    <xf numFmtId="3" fontId="65" fillId="0" borderId="0" xfId="0" applyNumberFormat="1" applyFont="1" applyFill="1" applyBorder="1" applyAlignment="1">
      <alignment vertical="center"/>
    </xf>
    <xf numFmtId="4" fontId="73" fillId="0" borderId="11" xfId="0" applyNumberFormat="1" applyFont="1" applyFill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left" vertical="center" wrapText="1"/>
    </xf>
    <xf numFmtId="4" fontId="54" fillId="0" borderId="11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 wrapText="1"/>
    </xf>
    <xf numFmtId="4" fontId="59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4" fontId="15" fillId="0" borderId="1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" fontId="15" fillId="0" borderId="18" xfId="0" applyNumberFormat="1" applyFont="1" applyFill="1" applyBorder="1" applyAlignment="1">
      <alignment horizontal="right" vertical="center"/>
    </xf>
    <xf numFmtId="0" fontId="56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4" fontId="50" fillId="0" borderId="11" xfId="0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/>
    </xf>
    <xf numFmtId="4" fontId="16" fillId="0" borderId="11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4" fontId="15" fillId="0" borderId="11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vertical="center"/>
    </xf>
    <xf numFmtId="4" fontId="19" fillId="0" borderId="19" xfId="0" applyNumberFormat="1" applyFont="1" applyFill="1" applyBorder="1" applyAlignment="1">
      <alignment vertical="center"/>
    </xf>
    <xf numFmtId="4" fontId="24" fillId="0" borderId="19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9" xfId="54" applyFont="1" applyFill="1" applyBorder="1" applyAlignment="1">
      <alignment horizontal="left" vertical="center" wrapText="1"/>
      <protection/>
    </xf>
    <xf numFmtId="0" fontId="12" fillId="0" borderId="11" xfId="54" applyFont="1" applyFill="1" applyBorder="1" applyAlignment="1">
      <alignment horizontal="left" vertical="center" wrapText="1"/>
      <protection/>
    </xf>
    <xf numFmtId="0" fontId="12" fillId="0" borderId="18" xfId="54" applyFont="1" applyFill="1" applyBorder="1" applyAlignment="1">
      <alignment horizontal="left" vertical="center" wrapText="1"/>
      <protection/>
    </xf>
    <xf numFmtId="0" fontId="12" fillId="0" borderId="16" xfId="0" applyFont="1" applyFill="1" applyBorder="1" applyAlignment="1">
      <alignment horizontal="left" vertical="center" wrapText="1"/>
    </xf>
    <xf numFmtId="49" fontId="12" fillId="0" borderId="11" xfId="52" applyNumberFormat="1" applyFont="1" applyFill="1" applyBorder="1" applyAlignment="1">
      <alignment horizontal="left" vertical="center" wrapText="1"/>
      <protection/>
    </xf>
    <xf numFmtId="4" fontId="19" fillId="0" borderId="1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 wrapText="1"/>
    </xf>
    <xf numFmtId="4" fontId="15" fillId="0" borderId="18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 wrapText="1"/>
    </xf>
    <xf numFmtId="4" fontId="19" fillId="0" borderId="24" xfId="0" applyNumberFormat="1" applyFont="1" applyFill="1" applyBorder="1" applyAlignment="1">
      <alignment vertical="center"/>
    </xf>
    <xf numFmtId="4" fontId="24" fillId="0" borderId="24" xfId="0" applyNumberFormat="1" applyFont="1" applyFill="1" applyBorder="1" applyAlignment="1">
      <alignment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49" fontId="10" fillId="0" borderId="0" xfId="52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 horizontal="left"/>
    </xf>
    <xf numFmtId="0" fontId="15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right" vertical="center"/>
    </xf>
    <xf numFmtId="0" fontId="47" fillId="0" borderId="1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54" fillId="0" borderId="15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15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4" fontId="16" fillId="0" borderId="24" xfId="0" applyNumberFormat="1" applyFont="1" applyFill="1" applyBorder="1" applyAlignment="1">
      <alignment vertical="center"/>
    </xf>
    <xf numFmtId="4" fontId="76" fillId="0" borderId="11" xfId="0" applyNumberFormat="1" applyFont="1" applyFill="1" applyBorder="1" applyAlignment="1">
      <alignment vertical="center"/>
    </xf>
    <xf numFmtId="4" fontId="77" fillId="0" borderId="11" xfId="0" applyNumberFormat="1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6" fillId="0" borderId="12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8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4" fontId="7" fillId="20" borderId="11" xfId="0" applyNumberFormat="1" applyFont="1" applyFill="1" applyBorder="1" applyAlignment="1">
      <alignment horizontal="right" vertical="center"/>
    </xf>
    <xf numFmtId="4" fontId="7" fillId="20" borderId="11" xfId="0" applyNumberFormat="1" applyFont="1" applyFill="1" applyBorder="1" applyAlignment="1">
      <alignment/>
    </xf>
    <xf numFmtId="0" fontId="7" fillId="20" borderId="11" xfId="0" applyFont="1" applyFill="1" applyBorder="1" applyAlignment="1">
      <alignment horizontal="right" vertical="center"/>
    </xf>
    <xf numFmtId="4" fontId="3" fillId="2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4" fontId="21" fillId="20" borderId="11" xfId="0" applyNumberFormat="1" applyFont="1" applyFill="1" applyBorder="1" applyAlignment="1">
      <alignment/>
    </xf>
    <xf numFmtId="0" fontId="21" fillId="24" borderId="11" xfId="0" applyFont="1" applyFill="1" applyBorder="1" applyAlignment="1">
      <alignment horizontal="center" vertical="center"/>
    </xf>
    <xf numFmtId="4" fontId="7" fillId="24" borderId="11" xfId="0" applyNumberFormat="1" applyFont="1" applyFill="1" applyBorder="1" applyAlignment="1">
      <alignment horizontal="right" vertical="center"/>
    </xf>
    <xf numFmtId="4" fontId="7" fillId="24" borderId="11" xfId="0" applyNumberFormat="1" applyFont="1" applyFill="1" applyBorder="1" applyAlignment="1">
      <alignment/>
    </xf>
    <xf numFmtId="4" fontId="3" fillId="24" borderId="11" xfId="0" applyNumberFormat="1" applyFont="1" applyFill="1" applyBorder="1" applyAlignment="1">
      <alignment/>
    </xf>
    <xf numFmtId="4" fontId="7" fillId="20" borderId="11" xfId="0" applyNumberFormat="1" applyFont="1" applyFill="1" applyBorder="1" applyAlignment="1">
      <alignment horizontal="right" vertical="center" wrapText="1"/>
    </xf>
    <xf numFmtId="0" fontId="7" fillId="20" borderId="11" xfId="0" applyFont="1" applyFill="1" applyBorder="1" applyAlignment="1">
      <alignment horizontal="center" vertical="center" wrapText="1"/>
    </xf>
    <xf numFmtId="4" fontId="7" fillId="25" borderId="11" xfId="0" applyNumberFormat="1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81" fillId="0" borderId="0" xfId="0" applyFont="1" applyFill="1" applyBorder="1" applyAlignment="1">
      <alignment/>
    </xf>
    <xf numFmtId="4" fontId="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15" fillId="0" borderId="12" xfId="0" applyFont="1" applyFill="1" applyBorder="1" applyAlignment="1">
      <alignment/>
    </xf>
    <xf numFmtId="4" fontId="20" fillId="0" borderId="16" xfId="0" applyNumberFormat="1" applyFont="1" applyFill="1" applyBorder="1" applyAlignment="1">
      <alignment vertical="center"/>
    </xf>
    <xf numFmtId="4" fontId="19" fillId="0" borderId="16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6" fillId="0" borderId="23" xfId="0" applyFont="1" applyFill="1" applyBorder="1" applyAlignment="1">
      <alignment horizontal="center" vertical="center"/>
    </xf>
    <xf numFmtId="0" fontId="10" fillId="0" borderId="16" xfId="54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4" fontId="19" fillId="0" borderId="15" xfId="0" applyNumberFormat="1" applyFont="1" applyFill="1" applyBorder="1" applyAlignment="1">
      <alignment vertical="center"/>
    </xf>
    <xf numFmtId="4" fontId="15" fillId="0" borderId="15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10" fillId="0" borderId="0" xfId="0" applyNumberFormat="1" applyFont="1" applyFill="1" applyAlignment="1">
      <alignment wrapText="1"/>
    </xf>
    <xf numFmtId="1" fontId="3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5" fillId="0" borderId="24" xfId="0" applyFont="1" applyFill="1" applyBorder="1" applyAlignment="1">
      <alignment horizontal="center" vertical="center" wrapText="1"/>
    </xf>
    <xf numFmtId="1" fontId="15" fillId="0" borderId="24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right" vertical="center" wrapText="1"/>
    </xf>
    <xf numFmtId="0" fontId="15" fillId="0" borderId="23" xfId="0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86" fillId="0" borderId="0" xfId="0" applyFont="1" applyFill="1" applyAlignment="1">
      <alignment/>
    </xf>
    <xf numFmtId="4" fontId="10" fillId="0" borderId="11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/>
    </xf>
    <xf numFmtId="0" fontId="12" fillId="0" borderId="12" xfId="0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/>
    </xf>
    <xf numFmtId="0" fontId="15" fillId="0" borderId="21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vertical="center" wrapText="1"/>
    </xf>
    <xf numFmtId="4" fontId="12" fillId="0" borderId="23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10" fillId="0" borderId="11" xfId="52" applyFont="1" applyFill="1" applyBorder="1" applyAlignment="1">
      <alignment vertical="center" wrapText="1"/>
      <protection/>
    </xf>
    <xf numFmtId="4" fontId="10" fillId="0" borderId="13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4" fontId="10" fillId="0" borderId="23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4" fontId="10" fillId="0" borderId="12" xfId="52" applyNumberFormat="1" applyFont="1" applyFill="1" applyBorder="1" applyAlignment="1">
      <alignment vertical="center"/>
      <protection/>
    </xf>
    <xf numFmtId="4" fontId="10" fillId="0" borderId="11" xfId="52" applyNumberFormat="1" applyFont="1" applyFill="1" applyBorder="1" applyAlignment="1">
      <alignment vertical="center"/>
      <protection/>
    </xf>
    <xf numFmtId="4" fontId="6" fillId="0" borderId="12" xfId="52" applyNumberFormat="1" applyFont="1" applyFill="1" applyBorder="1" applyAlignment="1">
      <alignment vertical="center"/>
      <protection/>
    </xf>
    <xf numFmtId="4" fontId="6" fillId="0" borderId="11" xfId="52" applyNumberFormat="1" applyFont="1" applyFill="1" applyBorder="1" applyAlignment="1">
      <alignment vertical="center"/>
      <protection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4" fontId="44" fillId="0" borderId="12" xfId="0" applyNumberFormat="1" applyFont="1" applyFill="1" applyBorder="1" applyAlignment="1">
      <alignment vertical="center" wrapText="1"/>
    </xf>
    <xf numFmtId="0" fontId="10" fillId="0" borderId="12" xfId="52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wrapText="1"/>
    </xf>
    <xf numFmtId="4" fontId="10" fillId="0" borderId="13" xfId="52" applyNumberFormat="1" applyFont="1" applyFill="1" applyBorder="1" applyAlignment="1">
      <alignment vertical="center"/>
      <protection/>
    </xf>
    <xf numFmtId="4" fontId="0" fillId="0" borderId="0" xfId="0" applyNumberFormat="1" applyFill="1" applyAlignment="1">
      <alignment/>
    </xf>
    <xf numFmtId="0" fontId="10" fillId="0" borderId="23" xfId="52" applyFont="1" applyFill="1" applyBorder="1" applyAlignment="1">
      <alignment vertical="center" wrapText="1"/>
      <protection/>
    </xf>
    <xf numFmtId="0" fontId="12" fillId="0" borderId="12" xfId="52" applyFont="1" applyFill="1" applyBorder="1" applyAlignment="1">
      <alignment vertical="center" wrapText="1"/>
      <protection/>
    </xf>
    <xf numFmtId="4" fontId="12" fillId="0" borderId="12" xfId="52" applyNumberFormat="1" applyFont="1" applyFill="1" applyBorder="1" applyAlignment="1">
      <alignment vertical="center" wrapText="1"/>
      <protection/>
    </xf>
    <xf numFmtId="4" fontId="12" fillId="0" borderId="11" xfId="52" applyNumberFormat="1" applyFont="1" applyFill="1" applyBorder="1" applyAlignment="1">
      <alignment vertical="center" wrapText="1"/>
      <protection/>
    </xf>
    <xf numFmtId="0" fontId="88" fillId="0" borderId="0" xfId="0" applyFont="1" applyFill="1" applyAlignment="1">
      <alignment/>
    </xf>
    <xf numFmtId="0" fontId="88" fillId="0" borderId="0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4" fontId="6" fillId="0" borderId="12" xfId="52" applyNumberFormat="1" applyFont="1" applyFill="1" applyBorder="1" applyAlignment="1">
      <alignment vertical="center" wrapText="1"/>
      <protection/>
    </xf>
    <xf numFmtId="49" fontId="15" fillId="0" borderId="1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4" fontId="6" fillId="0" borderId="11" xfId="52" applyNumberFormat="1" applyFont="1" applyFill="1" applyBorder="1" applyAlignment="1">
      <alignment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0" fontId="87" fillId="0" borderId="0" xfId="0" applyFont="1" applyFill="1" applyAlignment="1">
      <alignment/>
    </xf>
    <xf numFmtId="4" fontId="12" fillId="0" borderId="12" xfId="52" applyNumberFormat="1" applyFont="1" applyFill="1" applyBorder="1" applyAlignment="1">
      <alignment vertical="center"/>
      <protection/>
    </xf>
    <xf numFmtId="0" fontId="22" fillId="0" borderId="2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89" fillId="0" borderId="1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49" fontId="10" fillId="0" borderId="16" xfId="52" applyNumberFormat="1" applyFont="1" applyFill="1" applyBorder="1" applyAlignment="1">
      <alignment horizontal="left" vertical="center" wrapText="1"/>
      <protection/>
    </xf>
    <xf numFmtId="4" fontId="10" fillId="0" borderId="0" xfId="0" applyNumberFormat="1" applyFont="1" applyFill="1" applyAlignment="1">
      <alignment vertical="center"/>
    </xf>
    <xf numFmtId="0" fontId="12" fillId="0" borderId="11" xfId="52" applyFont="1" applyFill="1" applyBorder="1" applyAlignment="1">
      <alignment vertical="center" wrapText="1"/>
      <protection/>
    </xf>
    <xf numFmtId="0" fontId="88" fillId="0" borderId="0" xfId="0" applyFont="1" applyFill="1" applyAlignment="1">
      <alignment vertical="center"/>
    </xf>
    <xf numFmtId="0" fontId="88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7" fillId="0" borderId="0" xfId="0" applyFont="1" applyFill="1" applyAlignment="1">
      <alignment vertical="center"/>
    </xf>
    <xf numFmtId="0" fontId="87" fillId="0" borderId="0" xfId="0" applyFont="1" applyFill="1" applyBorder="1" applyAlignment="1">
      <alignment vertical="center"/>
    </xf>
    <xf numFmtId="4" fontId="10" fillId="0" borderId="12" xfId="52" applyNumberFormat="1" applyFont="1" applyFill="1" applyBorder="1" applyAlignment="1">
      <alignment vertical="center" wrapText="1"/>
      <protection/>
    </xf>
    <xf numFmtId="4" fontId="10" fillId="0" borderId="11" xfId="52" applyNumberFormat="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horizontal="center" vertical="center"/>
    </xf>
    <xf numFmtId="0" fontId="87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77" fillId="0" borderId="0" xfId="0" applyNumberFormat="1" applyFont="1" applyFill="1" applyAlignment="1">
      <alignment vertical="center"/>
    </xf>
    <xf numFmtId="4" fontId="44" fillId="0" borderId="0" xfId="0" applyNumberFormat="1" applyFont="1" applyFill="1" applyAlignment="1">
      <alignment/>
    </xf>
    <xf numFmtId="4" fontId="60" fillId="0" borderId="0" xfId="0" applyNumberFormat="1" applyFont="1" applyFill="1" applyBorder="1" applyAlignment="1">
      <alignment vertical="center"/>
    </xf>
    <xf numFmtId="4" fontId="9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1" xfId="52" applyFont="1" applyFill="1" applyBorder="1" applyAlignment="1">
      <alignment vertical="center" wrapText="1"/>
      <protection/>
    </xf>
    <xf numFmtId="4" fontId="3" fillId="0" borderId="11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86" fillId="0" borderId="22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6" fillId="0" borderId="23" xfId="52" applyFont="1" applyFill="1" applyBorder="1" applyAlignment="1">
      <alignment vertical="center" wrapText="1"/>
      <protection/>
    </xf>
    <xf numFmtId="4" fontId="6" fillId="0" borderId="23" xfId="52" applyNumberFormat="1" applyFont="1" applyFill="1" applyBorder="1" applyAlignment="1">
      <alignment vertical="center" wrapText="1"/>
      <protection/>
    </xf>
    <xf numFmtId="4" fontId="6" fillId="0" borderId="10" xfId="52" applyNumberFormat="1" applyFont="1" applyFill="1" applyBorder="1" applyAlignment="1">
      <alignment vertical="center" wrapText="1"/>
      <protection/>
    </xf>
    <xf numFmtId="0" fontId="88" fillId="0" borderId="22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12" fillId="0" borderId="10" xfId="52" applyFont="1" applyFill="1" applyBorder="1" applyAlignment="1">
      <alignment vertical="center" wrapText="1"/>
      <protection/>
    </xf>
    <xf numFmtId="4" fontId="12" fillId="0" borderId="23" xfId="52" applyNumberFormat="1" applyFont="1" applyFill="1" applyBorder="1" applyAlignment="1">
      <alignment vertical="center" wrapText="1"/>
      <protection/>
    </xf>
    <xf numFmtId="4" fontId="12" fillId="0" borderId="10" xfId="52" applyNumberFormat="1" applyFont="1" applyFill="1" applyBorder="1" applyAlignment="1">
      <alignment vertical="center" wrapText="1"/>
      <protection/>
    </xf>
    <xf numFmtId="4" fontId="12" fillId="0" borderId="1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87" fillId="0" borderId="2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8" xfId="52" applyFont="1" applyFill="1" applyBorder="1" applyAlignment="1">
      <alignment vertical="center" wrapText="1"/>
      <protection/>
    </xf>
    <xf numFmtId="0" fontId="70" fillId="0" borderId="12" xfId="0" applyFont="1" applyFill="1" applyBorder="1" applyAlignment="1">
      <alignment horizontal="left" vertical="center"/>
    </xf>
    <xf numFmtId="0" fontId="70" fillId="0" borderId="13" xfId="0" applyFont="1" applyFill="1" applyBorder="1" applyAlignment="1">
      <alignment horizontal="left" vertical="center"/>
    </xf>
    <xf numFmtId="0" fontId="70" fillId="0" borderId="16" xfId="0" applyFont="1" applyFill="1" applyBorder="1" applyAlignment="1">
      <alignment horizontal="left" vertical="center"/>
    </xf>
    <xf numFmtId="0" fontId="70" fillId="0" borderId="22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horizontal="left" vertical="center"/>
    </xf>
    <xf numFmtId="0" fontId="74" fillId="0" borderId="13" xfId="0" applyFont="1" applyFill="1" applyBorder="1" applyAlignment="1">
      <alignment horizontal="left" vertical="center"/>
    </xf>
    <xf numFmtId="0" fontId="74" fillId="0" borderId="16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0" fillId="0" borderId="24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center" wrapText="1"/>
    </xf>
    <xf numFmtId="0" fontId="80" fillId="0" borderId="23" xfId="0" applyFont="1" applyFill="1" applyBorder="1" applyAlignment="1">
      <alignment horizontal="left" vertical="center" wrapText="1"/>
    </xf>
    <xf numFmtId="0" fontId="80" fillId="0" borderId="22" xfId="0" applyFont="1" applyFill="1" applyBorder="1" applyAlignment="1">
      <alignment horizontal="left" vertical="center" wrapText="1"/>
    </xf>
    <xf numFmtId="0" fontId="16" fillId="20" borderId="11" xfId="0" applyFont="1" applyFill="1" applyBorder="1" applyAlignment="1">
      <alignment horizontal="center" vertical="center"/>
    </xf>
    <xf numFmtId="0" fontId="10" fillId="20" borderId="11" xfId="0" applyFont="1" applyFill="1" applyBorder="1" applyAlignment="1">
      <alignment horizontal="center" vertical="center" wrapText="1"/>
    </xf>
    <xf numFmtId="0" fontId="82" fillId="2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0" fontId="82" fillId="24" borderId="11" xfId="0" applyFont="1" applyFill="1" applyBorder="1" applyAlignment="1">
      <alignment horizontal="center" vertical="center"/>
    </xf>
    <xf numFmtId="0" fontId="82" fillId="20" borderId="11" xfId="0" applyFont="1" applyFill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Tabela nr 7" xfId="53"/>
    <cellStyle name="Normalny_tabela nr 8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6"/>
  <sheetViews>
    <sheetView zoomScale="130" zoomScaleNormal="130" workbookViewId="0" topLeftCell="A1">
      <selection activeCell="B7" sqref="B7"/>
    </sheetView>
  </sheetViews>
  <sheetFormatPr defaultColWidth="9.140625" defaultRowHeight="12.75"/>
  <cols>
    <col min="1" max="1" width="3.8515625" style="134" customWidth="1"/>
    <col min="2" max="2" width="5.8515625" style="85" customWidth="1"/>
    <col min="3" max="3" width="4.57421875" style="134" customWidth="1"/>
    <col min="4" max="4" width="30.28125" style="57" customWidth="1"/>
    <col min="5" max="5" width="13.00390625" style="50" customWidth="1"/>
    <col min="6" max="6" width="12.57421875" style="50" customWidth="1"/>
    <col min="7" max="7" width="13.28125" style="50" customWidth="1"/>
    <col min="8" max="8" width="12.140625" style="50" customWidth="1"/>
    <col min="9" max="9" width="5.8515625" style="152" customWidth="1"/>
    <col min="10" max="10" width="13.57421875" style="37" customWidth="1"/>
    <col min="11" max="11" width="10.421875" style="37" bestFit="1" customWidth="1"/>
    <col min="12" max="16384" width="9.140625" style="37" customWidth="1"/>
  </cols>
  <sheetData>
    <row r="1" spans="5:8" ht="18" customHeight="1">
      <c r="E1" s="164"/>
      <c r="F1" s="216" t="s">
        <v>695</v>
      </c>
      <c r="G1" s="164"/>
      <c r="H1" s="40"/>
    </row>
    <row r="2" spans="5:8" ht="18" customHeight="1">
      <c r="E2" s="164"/>
      <c r="F2" s="40"/>
      <c r="G2" s="164"/>
      <c r="H2" s="40"/>
    </row>
    <row r="3" spans="5:8" ht="16.5" customHeight="1">
      <c r="E3" s="164"/>
      <c r="F3" s="40"/>
      <c r="G3" s="164"/>
      <c r="H3" s="40"/>
    </row>
    <row r="5" spans="2:4" ht="18.75">
      <c r="B5" s="114" t="s">
        <v>304</v>
      </c>
      <c r="C5" s="135"/>
      <c r="D5" s="193"/>
    </row>
    <row r="6" spans="1:22" ht="18.75">
      <c r="A6" s="85"/>
      <c r="B6" s="114" t="s">
        <v>72</v>
      </c>
      <c r="C6" s="114"/>
      <c r="D6" s="193"/>
      <c r="I6" s="545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2:4" ht="18.75">
      <c r="B7" s="114"/>
      <c r="C7" s="135"/>
      <c r="D7" s="193"/>
    </row>
    <row r="8" spans="1:8" ht="12.75">
      <c r="A8" s="136"/>
      <c r="B8" s="116"/>
      <c r="C8" s="136"/>
      <c r="D8" s="168"/>
      <c r="F8" s="227" t="s">
        <v>202</v>
      </c>
      <c r="H8" s="227" t="s">
        <v>202</v>
      </c>
    </row>
    <row r="9" spans="1:9" ht="27" customHeight="1">
      <c r="A9" s="1034" t="s">
        <v>203</v>
      </c>
      <c r="B9" s="971" t="s">
        <v>204</v>
      </c>
      <c r="C9" s="1034" t="s">
        <v>320</v>
      </c>
      <c r="D9" s="913" t="s">
        <v>321</v>
      </c>
      <c r="E9" s="546" t="s">
        <v>696</v>
      </c>
      <c r="F9" s="544"/>
      <c r="G9" s="1032" t="s">
        <v>697</v>
      </c>
      <c r="H9" s="1033"/>
      <c r="I9" s="270"/>
    </row>
    <row r="10" spans="1:9" ht="13.5" customHeight="1">
      <c r="A10" s="1035"/>
      <c r="B10" s="972"/>
      <c r="C10" s="1035"/>
      <c r="D10" s="883"/>
      <c r="E10" s="117" t="s">
        <v>201</v>
      </c>
      <c r="F10" s="236" t="s">
        <v>173</v>
      </c>
      <c r="G10" s="117" t="s">
        <v>201</v>
      </c>
      <c r="H10" s="547" t="s">
        <v>173</v>
      </c>
      <c r="I10" s="81" t="s">
        <v>681</v>
      </c>
    </row>
    <row r="11" spans="1:9" ht="36" customHeight="1">
      <c r="A11" s="970"/>
      <c r="B11" s="912"/>
      <c r="C11" s="970"/>
      <c r="D11" s="884"/>
      <c r="E11" s="226" t="s">
        <v>322</v>
      </c>
      <c r="F11" s="240" t="s">
        <v>323</v>
      </c>
      <c r="G11" s="226" t="s">
        <v>322</v>
      </c>
      <c r="H11" s="548" t="s">
        <v>323</v>
      </c>
      <c r="I11" s="86" t="s">
        <v>682</v>
      </c>
    </row>
    <row r="12" spans="1:9" ht="23.25" customHeight="1">
      <c r="A12" s="182" t="s">
        <v>347</v>
      </c>
      <c r="B12" s="4"/>
      <c r="C12" s="138"/>
      <c r="D12" s="195"/>
      <c r="E12" s="41"/>
      <c r="F12" s="41"/>
      <c r="G12" s="41"/>
      <c r="H12" s="41"/>
      <c r="I12" s="640"/>
    </row>
    <row r="13" spans="1:9" s="54" customFormat="1" ht="23.25" customHeight="1">
      <c r="A13" s="576" t="s">
        <v>698</v>
      </c>
      <c r="B13" s="577"/>
      <c r="C13" s="578"/>
      <c r="D13" s="579" t="s">
        <v>318</v>
      </c>
      <c r="E13" s="580">
        <f aca="true" t="shared" si="0" ref="E13:H14">E14</f>
        <v>63828.86</v>
      </c>
      <c r="F13" s="580">
        <f t="shared" si="0"/>
        <v>63828.86</v>
      </c>
      <c r="G13" s="580">
        <f t="shared" si="0"/>
        <v>63817.63</v>
      </c>
      <c r="H13" s="581">
        <f t="shared" si="0"/>
        <v>63817.63</v>
      </c>
      <c r="I13" s="582">
        <f>G13/E13*100</f>
        <v>99.98240607775229</v>
      </c>
    </row>
    <row r="14" spans="1:9" s="53" customFormat="1" ht="18" customHeight="1">
      <c r="A14" s="583"/>
      <c r="B14" s="584" t="s">
        <v>699</v>
      </c>
      <c r="C14" s="585"/>
      <c r="D14" s="586" t="s">
        <v>250</v>
      </c>
      <c r="E14" s="587">
        <f t="shared" si="0"/>
        <v>63828.86</v>
      </c>
      <c r="F14" s="587">
        <f t="shared" si="0"/>
        <v>63828.86</v>
      </c>
      <c r="G14" s="587">
        <f t="shared" si="0"/>
        <v>63817.63</v>
      </c>
      <c r="H14" s="588">
        <f t="shared" si="0"/>
        <v>63817.63</v>
      </c>
      <c r="I14" s="589">
        <f>G14/E14*100</f>
        <v>99.98240607775229</v>
      </c>
    </row>
    <row r="15" spans="1:9" ht="60.75" customHeight="1">
      <c r="A15" s="590"/>
      <c r="B15" s="591"/>
      <c r="C15" s="592">
        <v>2010</v>
      </c>
      <c r="D15" s="593" t="s">
        <v>241</v>
      </c>
      <c r="E15" s="594">
        <v>63828.86</v>
      </c>
      <c r="F15" s="595">
        <v>63828.86</v>
      </c>
      <c r="G15" s="594">
        <v>63817.63</v>
      </c>
      <c r="H15" s="596">
        <v>63817.63</v>
      </c>
      <c r="I15" s="589">
        <f>G15/E15*100</f>
        <v>99.98240607775229</v>
      </c>
    </row>
    <row r="16" spans="1:9" ht="19.5" customHeight="1">
      <c r="A16" s="141">
        <v>600</v>
      </c>
      <c r="B16" s="6"/>
      <c r="C16" s="141"/>
      <c r="D16" s="196" t="s">
        <v>210</v>
      </c>
      <c r="E16" s="126">
        <f>E17+E20</f>
        <v>1327383.63</v>
      </c>
      <c r="F16" s="228"/>
      <c r="G16" s="126">
        <f>G17+G20</f>
        <v>679265.87</v>
      </c>
      <c r="H16" s="228"/>
      <c r="I16" s="641">
        <f>G16/E16*100</f>
        <v>51.17328966909137</v>
      </c>
    </row>
    <row r="17" spans="1:9" s="53" customFormat="1" ht="22.5" customHeight="1">
      <c r="A17" s="185"/>
      <c r="B17" s="23">
        <v>60004</v>
      </c>
      <c r="C17" s="139"/>
      <c r="D17" s="197" t="s">
        <v>212</v>
      </c>
      <c r="E17" s="242">
        <f>SUM(E18:E19)</f>
        <v>1277383.63</v>
      </c>
      <c r="F17" s="167"/>
      <c r="G17" s="242">
        <f>SUM(G18:G19)</f>
        <v>630865.87</v>
      </c>
      <c r="H17" s="167"/>
      <c r="I17" s="514">
        <f aca="true" t="shared" si="1" ref="I17:I91">G17/E17*100</f>
        <v>49.38734575767188</v>
      </c>
    </row>
    <row r="18" spans="1:9" s="53" customFormat="1" ht="22.5" customHeight="1">
      <c r="A18" s="185"/>
      <c r="B18" s="29"/>
      <c r="C18" s="140" t="s">
        <v>240</v>
      </c>
      <c r="D18" s="163" t="s">
        <v>264</v>
      </c>
      <c r="E18" s="534"/>
      <c r="F18" s="127"/>
      <c r="G18" s="534">
        <v>73.57</v>
      </c>
      <c r="H18" s="233"/>
      <c r="I18" s="514"/>
    </row>
    <row r="19" spans="1:10" ht="51" customHeight="1">
      <c r="A19" s="186"/>
      <c r="B19" s="9"/>
      <c r="C19" s="140">
        <v>2310</v>
      </c>
      <c r="D19" s="163" t="s">
        <v>629</v>
      </c>
      <c r="E19" s="26">
        <v>1277383.63</v>
      </c>
      <c r="F19" s="127"/>
      <c r="G19" s="26">
        <v>630792.3</v>
      </c>
      <c r="H19" s="127"/>
      <c r="I19" s="514">
        <f t="shared" si="1"/>
        <v>49.38158632892455</v>
      </c>
      <c r="J19" s="50"/>
    </row>
    <row r="20" spans="1:9" s="53" customFormat="1" ht="18.75" customHeight="1">
      <c r="A20" s="185"/>
      <c r="B20" s="24">
        <v>60095</v>
      </c>
      <c r="C20" s="143"/>
      <c r="D20" s="197" t="s">
        <v>250</v>
      </c>
      <c r="E20" s="28">
        <f>E21</f>
        <v>50000</v>
      </c>
      <c r="F20" s="233"/>
      <c r="G20" s="28">
        <f>G21</f>
        <v>48400</v>
      </c>
      <c r="H20" s="233"/>
      <c r="I20" s="514">
        <f t="shared" si="1"/>
        <v>96.8</v>
      </c>
    </row>
    <row r="21" spans="1:9" ht="18.75" customHeight="1">
      <c r="A21" s="186"/>
      <c r="B21" s="9"/>
      <c r="C21" s="137" t="s">
        <v>218</v>
      </c>
      <c r="D21" s="163" t="s">
        <v>192</v>
      </c>
      <c r="E21" s="26">
        <v>50000</v>
      </c>
      <c r="F21" s="127"/>
      <c r="G21" s="26">
        <v>48400</v>
      </c>
      <c r="H21" s="127"/>
      <c r="I21" s="514">
        <f t="shared" si="1"/>
        <v>96.8</v>
      </c>
    </row>
    <row r="22" spans="1:9" ht="20.25" customHeight="1">
      <c r="A22" s="131">
        <v>700</v>
      </c>
      <c r="B22" s="11"/>
      <c r="C22" s="131"/>
      <c r="D22" s="171" t="s">
        <v>277</v>
      </c>
      <c r="E22" s="84">
        <f>E23+E32</f>
        <v>18148500</v>
      </c>
      <c r="F22" s="127"/>
      <c r="G22" s="84">
        <f>G23+G32</f>
        <v>9454344.42</v>
      </c>
      <c r="H22" s="127"/>
      <c r="I22" s="641">
        <f t="shared" si="1"/>
        <v>52.09435721960492</v>
      </c>
    </row>
    <row r="23" spans="1:9" s="53" customFormat="1" ht="25.5" customHeight="1">
      <c r="A23" s="185"/>
      <c r="B23" s="23">
        <v>70005</v>
      </c>
      <c r="C23" s="139"/>
      <c r="D23" s="197" t="s">
        <v>249</v>
      </c>
      <c r="E23" s="28">
        <f>SUM(E24:E31)</f>
        <v>18097000</v>
      </c>
      <c r="F23" s="233"/>
      <c r="G23" s="28">
        <f>SUM(G24:G31)</f>
        <v>9426555.44</v>
      </c>
      <c r="H23" s="233"/>
      <c r="I23" s="514">
        <f t="shared" si="1"/>
        <v>52.08905033983533</v>
      </c>
    </row>
    <row r="24" spans="1:9" ht="37.5" customHeight="1">
      <c r="A24" s="186"/>
      <c r="B24" s="9"/>
      <c r="C24" s="140" t="s">
        <v>354</v>
      </c>
      <c r="D24" s="163" t="s">
        <v>142</v>
      </c>
      <c r="E24" s="26">
        <v>1650000</v>
      </c>
      <c r="F24" s="127"/>
      <c r="G24" s="26">
        <v>1635599.17</v>
      </c>
      <c r="H24" s="127"/>
      <c r="I24" s="514">
        <f t="shared" si="1"/>
        <v>99.12722242424242</v>
      </c>
    </row>
    <row r="25" spans="1:9" ht="21" customHeight="1">
      <c r="A25" s="186"/>
      <c r="B25" s="9"/>
      <c r="C25" s="140" t="s">
        <v>244</v>
      </c>
      <c r="D25" s="163" t="s">
        <v>630</v>
      </c>
      <c r="E25" s="26"/>
      <c r="F25" s="127"/>
      <c r="G25" s="26">
        <v>6870.39</v>
      </c>
      <c r="H25" s="127"/>
      <c r="I25" s="514"/>
    </row>
    <row r="26" spans="1:9" ht="21" customHeight="1">
      <c r="A26" s="186"/>
      <c r="B26" s="9"/>
      <c r="C26" s="140" t="s">
        <v>349</v>
      </c>
      <c r="D26" s="163" t="s">
        <v>350</v>
      </c>
      <c r="E26" s="26">
        <f>50000+135000</f>
        <v>185000</v>
      </c>
      <c r="F26" s="127"/>
      <c r="G26" s="26">
        <v>108138.6</v>
      </c>
      <c r="H26" s="127"/>
      <c r="I26" s="514">
        <f t="shared" si="1"/>
        <v>58.453297297297304</v>
      </c>
    </row>
    <row r="27" spans="1:9" ht="67.5" customHeight="1">
      <c r="A27" s="186"/>
      <c r="B27" s="9"/>
      <c r="C27" s="140" t="s">
        <v>355</v>
      </c>
      <c r="D27" s="163" t="s">
        <v>232</v>
      </c>
      <c r="E27" s="26">
        <f>8400000+455000+296000+1215400+1000000</f>
        <v>11366400</v>
      </c>
      <c r="F27" s="127"/>
      <c r="G27" s="26">
        <v>5317311.58</v>
      </c>
      <c r="H27" s="127"/>
      <c r="I27" s="514">
        <f t="shared" si="1"/>
        <v>46.78096477336712</v>
      </c>
    </row>
    <row r="28" spans="1:9" ht="36" customHeight="1">
      <c r="A28" s="186"/>
      <c r="B28" s="9"/>
      <c r="C28" s="140" t="s">
        <v>214</v>
      </c>
      <c r="D28" s="163" t="s">
        <v>215</v>
      </c>
      <c r="E28" s="26">
        <v>150000</v>
      </c>
      <c r="F28" s="88"/>
      <c r="G28" s="26">
        <v>142115.39</v>
      </c>
      <c r="H28" s="88"/>
      <c r="I28" s="514">
        <f t="shared" si="1"/>
        <v>94.74359333333334</v>
      </c>
    </row>
    <row r="29" spans="1:9" ht="38.25" customHeight="1">
      <c r="A29" s="186"/>
      <c r="B29" s="9"/>
      <c r="C29" s="142" t="s">
        <v>216</v>
      </c>
      <c r="D29" s="173" t="s">
        <v>217</v>
      </c>
      <c r="E29" s="128">
        <v>3980000</v>
      </c>
      <c r="F29" s="127"/>
      <c r="G29" s="128">
        <v>1424829.71</v>
      </c>
      <c r="H29" s="127"/>
      <c r="I29" s="645">
        <f t="shared" si="1"/>
        <v>35.79974145728643</v>
      </c>
    </row>
    <row r="30" spans="1:9" ht="18" customHeight="1">
      <c r="A30" s="186"/>
      <c r="B30" s="9"/>
      <c r="C30" s="140" t="s">
        <v>240</v>
      </c>
      <c r="D30" s="163" t="s">
        <v>264</v>
      </c>
      <c r="E30" s="26">
        <f>168000+14500+1400+15000+40000</f>
        <v>238900</v>
      </c>
      <c r="F30" s="127"/>
      <c r="G30" s="26">
        <v>151547.36</v>
      </c>
      <c r="H30" s="127"/>
      <c r="I30" s="514">
        <f t="shared" si="1"/>
        <v>63.435479280033476</v>
      </c>
    </row>
    <row r="31" spans="1:9" ht="21" customHeight="1">
      <c r="A31" s="186"/>
      <c r="B31" s="9"/>
      <c r="C31" s="140" t="s">
        <v>218</v>
      </c>
      <c r="D31" s="163" t="s">
        <v>192</v>
      </c>
      <c r="E31" s="26">
        <v>526700</v>
      </c>
      <c r="F31" s="127"/>
      <c r="G31" s="26">
        <v>640143.24</v>
      </c>
      <c r="H31" s="127"/>
      <c r="I31" s="514">
        <f t="shared" si="1"/>
        <v>121.53849250047466</v>
      </c>
    </row>
    <row r="32" spans="1:9" s="53" customFormat="1" ht="24.75" customHeight="1">
      <c r="A32" s="185"/>
      <c r="B32" s="24">
        <v>70095</v>
      </c>
      <c r="C32" s="139"/>
      <c r="D32" s="197" t="s">
        <v>250</v>
      </c>
      <c r="E32" s="28">
        <f>SUM(E33:E35)</f>
        <v>51500</v>
      </c>
      <c r="F32" s="233"/>
      <c r="G32" s="28">
        <f>SUM(G33:G35)</f>
        <v>27788.98</v>
      </c>
      <c r="H32" s="233"/>
      <c r="I32" s="514">
        <f t="shared" si="1"/>
        <v>53.959184466019416</v>
      </c>
    </row>
    <row r="33" spans="1:9" s="53" customFormat="1" ht="21" customHeight="1">
      <c r="A33" s="185"/>
      <c r="B33" s="29"/>
      <c r="C33" s="140" t="s">
        <v>349</v>
      </c>
      <c r="D33" s="163" t="s">
        <v>350</v>
      </c>
      <c r="E33" s="26">
        <v>31000</v>
      </c>
      <c r="F33" s="233"/>
      <c r="G33" s="26">
        <v>17263.57</v>
      </c>
      <c r="H33" s="233"/>
      <c r="I33" s="514">
        <f t="shared" si="1"/>
        <v>55.68893548387097</v>
      </c>
    </row>
    <row r="34" spans="1:9" s="53" customFormat="1" ht="20.25" customHeight="1">
      <c r="A34" s="185"/>
      <c r="B34" s="29"/>
      <c r="C34" s="140" t="s">
        <v>240</v>
      </c>
      <c r="D34" s="163" t="s">
        <v>264</v>
      </c>
      <c r="E34" s="26">
        <v>5500</v>
      </c>
      <c r="F34" s="233"/>
      <c r="G34" s="26">
        <v>1991.55</v>
      </c>
      <c r="H34" s="233"/>
      <c r="I34" s="514">
        <f t="shared" si="1"/>
        <v>36.21</v>
      </c>
    </row>
    <row r="35" spans="1:9" s="53" customFormat="1" ht="17.25" customHeight="1">
      <c r="A35" s="185"/>
      <c r="B35" s="29"/>
      <c r="C35" s="137" t="s">
        <v>218</v>
      </c>
      <c r="D35" s="163" t="s">
        <v>192</v>
      </c>
      <c r="E35" s="26">
        <v>15000</v>
      </c>
      <c r="F35" s="121"/>
      <c r="G35" s="26">
        <v>8533.86</v>
      </c>
      <c r="H35" s="121"/>
      <c r="I35" s="514">
        <f t="shared" si="1"/>
        <v>56.892399999999995</v>
      </c>
    </row>
    <row r="36" spans="1:10" s="53" customFormat="1" ht="17.25" customHeight="1">
      <c r="A36" s="621">
        <v>710</v>
      </c>
      <c r="B36" s="621"/>
      <c r="C36" s="577"/>
      <c r="D36" s="622" t="s">
        <v>559</v>
      </c>
      <c r="E36" s="580">
        <f>E37</f>
        <v>0</v>
      </c>
      <c r="F36" s="623"/>
      <c r="G36" s="580">
        <f>G37</f>
        <v>2410.8</v>
      </c>
      <c r="H36" s="624"/>
      <c r="I36" s="589"/>
      <c r="J36" s="159"/>
    </row>
    <row r="37" spans="1:10" s="53" customFormat="1" ht="25.5" customHeight="1">
      <c r="A37" s="612"/>
      <c r="B37" s="625">
        <v>71014</v>
      </c>
      <c r="C37" s="604"/>
      <c r="D37" s="609" t="s">
        <v>561</v>
      </c>
      <c r="E37" s="587"/>
      <c r="F37" s="614"/>
      <c r="G37" s="587">
        <f>G38</f>
        <v>2410.8</v>
      </c>
      <c r="H37" s="155"/>
      <c r="I37" s="589"/>
      <c r="J37" s="159"/>
    </row>
    <row r="38" spans="1:10" s="53" customFormat="1" ht="17.25" customHeight="1">
      <c r="A38" s="612"/>
      <c r="B38" s="29"/>
      <c r="C38" s="592" t="s">
        <v>349</v>
      </c>
      <c r="D38" s="593" t="s">
        <v>350</v>
      </c>
      <c r="E38" s="594"/>
      <c r="F38" s="614"/>
      <c r="G38" s="594">
        <v>2410.8</v>
      </c>
      <c r="H38" s="155"/>
      <c r="I38" s="589"/>
      <c r="J38" s="159"/>
    </row>
    <row r="39" spans="1:9" s="53" customFormat="1" ht="17.25" customHeight="1">
      <c r="A39" s="185"/>
      <c r="B39" s="29"/>
      <c r="C39" s="137"/>
      <c r="D39" s="163"/>
      <c r="E39" s="26"/>
      <c r="F39" s="121"/>
      <c r="G39" s="26"/>
      <c r="H39" s="121"/>
      <c r="I39" s="514"/>
    </row>
    <row r="40" spans="1:9" ht="27" customHeight="1">
      <c r="A40" s="131">
        <v>750</v>
      </c>
      <c r="B40" s="11"/>
      <c r="C40" s="131"/>
      <c r="D40" s="171" t="s">
        <v>251</v>
      </c>
      <c r="E40" s="33">
        <f>E41+E44</f>
        <v>1539126</v>
      </c>
      <c r="F40" s="126">
        <f>F41+F44</f>
        <v>641554</v>
      </c>
      <c r="G40" s="33">
        <f>G41+G44</f>
        <v>707309.0800000001</v>
      </c>
      <c r="H40" s="126">
        <f>H41+H44</f>
        <v>274826</v>
      </c>
      <c r="I40" s="641">
        <f t="shared" si="1"/>
        <v>45.95524213092366</v>
      </c>
    </row>
    <row r="41" spans="1:9" s="53" customFormat="1" ht="21" customHeight="1">
      <c r="A41" s="185"/>
      <c r="B41" s="24">
        <v>75011</v>
      </c>
      <c r="C41" s="139"/>
      <c r="D41" s="197" t="s">
        <v>348</v>
      </c>
      <c r="E41" s="91">
        <f>SUM(E42:E43)</f>
        <v>641554</v>
      </c>
      <c r="F41" s="91">
        <f>SUM(F42:F43)</f>
        <v>641554</v>
      </c>
      <c r="G41" s="91">
        <f>SUM(G42:G43)</f>
        <v>274914.35</v>
      </c>
      <c r="H41" s="91">
        <f>SUM(H42:H43)</f>
        <v>274826</v>
      </c>
      <c r="I41" s="514">
        <f t="shared" si="1"/>
        <v>42.85131882896841</v>
      </c>
    </row>
    <row r="42" spans="1:9" ht="47.25" customHeight="1">
      <c r="A42" s="186"/>
      <c r="B42" s="9"/>
      <c r="C42" s="140">
        <v>2010</v>
      </c>
      <c r="D42" s="170" t="s">
        <v>241</v>
      </c>
      <c r="E42" s="52">
        <v>641554</v>
      </c>
      <c r="F42" s="52">
        <v>641554</v>
      </c>
      <c r="G42" s="52">
        <v>274826</v>
      </c>
      <c r="H42" s="52">
        <v>274826</v>
      </c>
      <c r="I42" s="514">
        <f t="shared" si="1"/>
        <v>42.83754757978284</v>
      </c>
    </row>
    <row r="43" spans="1:9" ht="45.75" customHeight="1">
      <c r="A43" s="186"/>
      <c r="B43" s="9"/>
      <c r="C43" s="140">
        <v>2360</v>
      </c>
      <c r="D43" s="163" t="s">
        <v>243</v>
      </c>
      <c r="E43" s="52"/>
      <c r="F43" s="52"/>
      <c r="G43" s="52">
        <v>88.35</v>
      </c>
      <c r="H43" s="52"/>
      <c r="I43" s="514"/>
    </row>
    <row r="44" spans="1:9" s="53" customFormat="1" ht="25.5" customHeight="1">
      <c r="A44" s="185"/>
      <c r="B44" s="23">
        <v>75023</v>
      </c>
      <c r="C44" s="139"/>
      <c r="D44" s="175" t="s">
        <v>308</v>
      </c>
      <c r="E44" s="91">
        <f>SUM(E45:E49)</f>
        <v>897572</v>
      </c>
      <c r="F44" s="91"/>
      <c r="G44" s="91">
        <f>SUM(G45:G49)</f>
        <v>432394.73000000004</v>
      </c>
      <c r="H44" s="91"/>
      <c r="I44" s="514">
        <f t="shared" si="1"/>
        <v>48.17382115306628</v>
      </c>
    </row>
    <row r="45" spans="1:9" ht="19.5" customHeight="1">
      <c r="A45" s="186"/>
      <c r="B45" s="9"/>
      <c r="C45" s="140" t="s">
        <v>349</v>
      </c>
      <c r="D45" s="170" t="s">
        <v>350</v>
      </c>
      <c r="E45" s="52">
        <f>13000+1522</f>
        <v>14522</v>
      </c>
      <c r="F45" s="127"/>
      <c r="G45" s="52">
        <v>29564.03</v>
      </c>
      <c r="H45" s="127"/>
      <c r="I45" s="514">
        <f t="shared" si="1"/>
        <v>203.58098058118713</v>
      </c>
    </row>
    <row r="46" spans="1:9" ht="68.25" customHeight="1">
      <c r="A46" s="186"/>
      <c r="B46" s="9"/>
      <c r="C46" s="140" t="s">
        <v>355</v>
      </c>
      <c r="D46" s="170" t="s">
        <v>232</v>
      </c>
      <c r="E46" s="52">
        <v>318150</v>
      </c>
      <c r="F46" s="127"/>
      <c r="G46" s="52">
        <v>186689.64</v>
      </c>
      <c r="H46" s="127"/>
      <c r="I46" s="514">
        <f t="shared" si="1"/>
        <v>58.67975483262612</v>
      </c>
    </row>
    <row r="47" spans="1:9" ht="21.75" customHeight="1">
      <c r="A47" s="186"/>
      <c r="B47" s="9"/>
      <c r="C47" s="140" t="s">
        <v>352</v>
      </c>
      <c r="D47" s="170" t="s">
        <v>353</v>
      </c>
      <c r="E47" s="52">
        <v>563900</v>
      </c>
      <c r="F47" s="127"/>
      <c r="G47" s="52">
        <v>207919.79</v>
      </c>
      <c r="H47" s="127"/>
      <c r="I47" s="514">
        <f t="shared" si="1"/>
        <v>36.87174853697464</v>
      </c>
    </row>
    <row r="48" spans="1:9" ht="21.75" customHeight="1">
      <c r="A48" s="186"/>
      <c r="B48" s="9"/>
      <c r="C48" s="140" t="s">
        <v>240</v>
      </c>
      <c r="D48" s="170" t="s">
        <v>264</v>
      </c>
      <c r="E48" s="52">
        <v>500</v>
      </c>
      <c r="F48" s="127"/>
      <c r="G48" s="52">
        <v>628</v>
      </c>
      <c r="H48" s="127"/>
      <c r="I48" s="514">
        <f t="shared" si="1"/>
        <v>125.6</v>
      </c>
    </row>
    <row r="49" spans="1:9" ht="21.75" customHeight="1">
      <c r="A49" s="186"/>
      <c r="B49" s="9"/>
      <c r="C49" s="140" t="s">
        <v>218</v>
      </c>
      <c r="D49" s="170" t="s">
        <v>219</v>
      </c>
      <c r="E49" s="52">
        <v>500</v>
      </c>
      <c r="F49" s="127"/>
      <c r="G49" s="52">
        <v>7593.27</v>
      </c>
      <c r="H49" s="127"/>
      <c r="I49" s="514"/>
    </row>
    <row r="50" spans="1:9" ht="33.75" customHeight="1">
      <c r="A50" s="131">
        <v>751</v>
      </c>
      <c r="B50" s="11"/>
      <c r="C50" s="131"/>
      <c r="D50" s="171" t="s">
        <v>309</v>
      </c>
      <c r="E50" s="65">
        <f>E51+E53</f>
        <v>252510</v>
      </c>
      <c r="F50" s="65">
        <f>F51+F53</f>
        <v>252510</v>
      </c>
      <c r="G50" s="65">
        <f>G51+G53</f>
        <v>241760.64</v>
      </c>
      <c r="H50" s="65">
        <f>H51+H53</f>
        <v>241760.64</v>
      </c>
      <c r="I50" s="514">
        <f t="shared" si="1"/>
        <v>95.74299631697755</v>
      </c>
    </row>
    <row r="51" spans="1:9" s="53" customFormat="1" ht="30.75" customHeight="1">
      <c r="A51" s="185"/>
      <c r="B51" s="24">
        <v>75101</v>
      </c>
      <c r="C51" s="139"/>
      <c r="D51" s="197" t="s">
        <v>310</v>
      </c>
      <c r="E51" s="92">
        <f>E52</f>
        <v>13500</v>
      </c>
      <c r="F51" s="231">
        <f>F52</f>
        <v>13500</v>
      </c>
      <c r="G51" s="92">
        <f>G52</f>
        <v>6750</v>
      </c>
      <c r="H51" s="231">
        <f>H52</f>
        <v>6750</v>
      </c>
      <c r="I51" s="514">
        <f t="shared" si="1"/>
        <v>50</v>
      </c>
    </row>
    <row r="52" spans="1:9" ht="56.25" customHeight="1">
      <c r="A52" s="186"/>
      <c r="B52" s="9"/>
      <c r="C52" s="140">
        <v>2010</v>
      </c>
      <c r="D52" s="163" t="s">
        <v>241</v>
      </c>
      <c r="E52" s="52">
        <v>13500</v>
      </c>
      <c r="F52" s="73">
        <v>13500</v>
      </c>
      <c r="G52" s="52">
        <v>6750</v>
      </c>
      <c r="H52" s="73">
        <v>6750</v>
      </c>
      <c r="I52" s="514">
        <f t="shared" si="1"/>
        <v>50</v>
      </c>
    </row>
    <row r="53" spans="1:9" s="53" customFormat="1" ht="29.25" customHeight="1">
      <c r="A53" s="185"/>
      <c r="B53" s="24">
        <v>75107</v>
      </c>
      <c r="C53" s="143"/>
      <c r="D53" s="197" t="s">
        <v>685</v>
      </c>
      <c r="E53" s="28">
        <f>E54</f>
        <v>239010</v>
      </c>
      <c r="F53" s="28">
        <f>F54</f>
        <v>239010</v>
      </c>
      <c r="G53" s="28">
        <f>G54</f>
        <v>235010.64</v>
      </c>
      <c r="H53" s="28">
        <f>H54</f>
        <v>235010.64</v>
      </c>
      <c r="I53" s="514">
        <f t="shared" si="1"/>
        <v>98.32669762771434</v>
      </c>
    </row>
    <row r="54" spans="1:9" ht="51" customHeight="1">
      <c r="A54" s="186"/>
      <c r="B54" s="9"/>
      <c r="C54" s="140">
        <v>2010</v>
      </c>
      <c r="D54" s="163" t="s">
        <v>241</v>
      </c>
      <c r="E54" s="26">
        <v>239010</v>
      </c>
      <c r="F54" s="73">
        <v>239010</v>
      </c>
      <c r="G54" s="26">
        <v>235010.64</v>
      </c>
      <c r="H54" s="73">
        <v>235010.64</v>
      </c>
      <c r="I54" s="514">
        <f t="shared" si="1"/>
        <v>98.32669762771434</v>
      </c>
    </row>
    <row r="55" spans="1:9" ht="25.5" customHeight="1">
      <c r="A55" s="187">
        <v>754</v>
      </c>
      <c r="B55" s="59"/>
      <c r="C55" s="18"/>
      <c r="D55" s="174" t="s">
        <v>252</v>
      </c>
      <c r="E55" s="84">
        <f>E56</f>
        <v>501600</v>
      </c>
      <c r="F55" s="73"/>
      <c r="G55" s="84">
        <f>G56</f>
        <v>165327.84</v>
      </c>
      <c r="H55" s="73"/>
      <c r="I55" s="641">
        <f t="shared" si="1"/>
        <v>32.960095693779905</v>
      </c>
    </row>
    <row r="56" spans="1:9" s="53" customFormat="1" ht="21.75" customHeight="1">
      <c r="A56" s="185"/>
      <c r="B56" s="95">
        <v>75416</v>
      </c>
      <c r="C56" s="139"/>
      <c r="D56" s="197" t="s">
        <v>343</v>
      </c>
      <c r="E56" s="28">
        <f>E57+E58</f>
        <v>501600</v>
      </c>
      <c r="F56" s="233"/>
      <c r="G56" s="28">
        <f>G57+G58</f>
        <v>165327.84</v>
      </c>
      <c r="H56" s="233"/>
      <c r="I56" s="514">
        <f t="shared" si="1"/>
        <v>32.960095693779905</v>
      </c>
    </row>
    <row r="57" spans="1:9" ht="29.25" customHeight="1">
      <c r="A57" s="186"/>
      <c r="B57" s="9"/>
      <c r="C57" s="140" t="s">
        <v>244</v>
      </c>
      <c r="D57" s="163" t="s">
        <v>630</v>
      </c>
      <c r="E57" s="26">
        <v>500000</v>
      </c>
      <c r="F57" s="127"/>
      <c r="G57" s="26">
        <v>163793.34</v>
      </c>
      <c r="H57" s="127"/>
      <c r="I57" s="514">
        <f t="shared" si="1"/>
        <v>32.758668</v>
      </c>
    </row>
    <row r="58" spans="1:9" ht="29.25" customHeight="1">
      <c r="A58" s="186"/>
      <c r="B58" s="9"/>
      <c r="C58" s="140" t="s">
        <v>349</v>
      </c>
      <c r="D58" s="163" t="s">
        <v>350</v>
      </c>
      <c r="E58" s="26">
        <v>1600</v>
      </c>
      <c r="F58" s="127"/>
      <c r="G58" s="26">
        <v>1534.5</v>
      </c>
      <c r="H58" s="127"/>
      <c r="I58" s="514">
        <f t="shared" si="1"/>
        <v>95.90625</v>
      </c>
    </row>
    <row r="59" spans="1:9" ht="46.5" customHeight="1">
      <c r="A59" s="131">
        <v>756</v>
      </c>
      <c r="B59" s="11"/>
      <c r="C59" s="131"/>
      <c r="D59" s="171" t="s">
        <v>199</v>
      </c>
      <c r="E59" s="84">
        <f>E60+E63+E72+E84+E92</f>
        <v>145809566</v>
      </c>
      <c r="F59" s="127"/>
      <c r="G59" s="84">
        <f>G60+G63+G72+G84+G92</f>
        <v>67556324.78</v>
      </c>
      <c r="H59" s="127"/>
      <c r="I59" s="641">
        <f t="shared" si="1"/>
        <v>46.33188797777507</v>
      </c>
    </row>
    <row r="60" spans="1:9" s="53" customFormat="1" ht="28.5" customHeight="1">
      <c r="A60" s="185"/>
      <c r="B60" s="24">
        <v>75601</v>
      </c>
      <c r="C60" s="139"/>
      <c r="D60" s="197" t="s">
        <v>631</v>
      </c>
      <c r="E60" s="28">
        <f>SUM(E61:E62)</f>
        <v>196500</v>
      </c>
      <c r="F60" s="233"/>
      <c r="G60" s="28">
        <f>SUM(G61:G62)</f>
        <v>81873.55</v>
      </c>
      <c r="H60" s="233"/>
      <c r="I60" s="514">
        <f t="shared" si="1"/>
        <v>41.665928753180665</v>
      </c>
    </row>
    <row r="61" spans="1:9" ht="39" customHeight="1">
      <c r="A61" s="186"/>
      <c r="B61" s="9"/>
      <c r="C61" s="140" t="s">
        <v>632</v>
      </c>
      <c r="D61" s="163" t="s">
        <v>633</v>
      </c>
      <c r="E61" s="26">
        <v>194000</v>
      </c>
      <c r="F61" s="127"/>
      <c r="G61" s="26">
        <v>80977.6</v>
      </c>
      <c r="H61" s="127"/>
      <c r="I61" s="514">
        <f t="shared" si="1"/>
        <v>41.741030927835055</v>
      </c>
    </row>
    <row r="62" spans="1:9" ht="24.75" customHeight="1">
      <c r="A62" s="186"/>
      <c r="B62" s="9"/>
      <c r="C62" s="140" t="s">
        <v>233</v>
      </c>
      <c r="D62" s="163" t="s">
        <v>239</v>
      </c>
      <c r="E62" s="128">
        <v>2500</v>
      </c>
      <c r="F62" s="127"/>
      <c r="G62" s="128">
        <v>895.95</v>
      </c>
      <c r="H62" s="127"/>
      <c r="I62" s="514">
        <f t="shared" si="1"/>
        <v>35.838</v>
      </c>
    </row>
    <row r="63" spans="1:11" s="53" customFormat="1" ht="49.5" customHeight="1">
      <c r="A63" s="185"/>
      <c r="B63" s="23">
        <v>75615</v>
      </c>
      <c r="C63" s="139"/>
      <c r="D63" s="197" t="s">
        <v>110</v>
      </c>
      <c r="E63" s="28">
        <f>SUM(E64:E71)</f>
        <v>59494923</v>
      </c>
      <c r="F63" s="233"/>
      <c r="G63" s="28">
        <f>SUM(G64:G71)</f>
        <v>27735750.279999997</v>
      </c>
      <c r="H63" s="233"/>
      <c r="I63" s="514">
        <f t="shared" si="1"/>
        <v>46.61868421949214</v>
      </c>
      <c r="K63" s="632"/>
    </row>
    <row r="64" spans="1:9" ht="15.75" customHeight="1">
      <c r="A64" s="186"/>
      <c r="B64" s="9"/>
      <c r="C64" s="140" t="s">
        <v>111</v>
      </c>
      <c r="D64" s="163" t="s">
        <v>272</v>
      </c>
      <c r="E64" s="26">
        <f>404500+57000000</f>
        <v>57404500</v>
      </c>
      <c r="F64" s="127"/>
      <c r="G64" s="26">
        <v>26928298.24</v>
      </c>
      <c r="H64" s="127"/>
      <c r="I64" s="514">
        <f t="shared" si="1"/>
        <v>46.909733975559405</v>
      </c>
    </row>
    <row r="65" spans="1:9" ht="16.5" customHeight="1">
      <c r="A65" s="186"/>
      <c r="B65" s="9"/>
      <c r="C65" s="140" t="s">
        <v>112</v>
      </c>
      <c r="D65" s="163" t="s">
        <v>113</v>
      </c>
      <c r="E65" s="26">
        <v>47000</v>
      </c>
      <c r="F65" s="127"/>
      <c r="G65" s="26">
        <v>45764.4</v>
      </c>
      <c r="H65" s="127"/>
      <c r="I65" s="514">
        <f t="shared" si="1"/>
        <v>97.37106382978725</v>
      </c>
    </row>
    <row r="66" spans="1:9" ht="15.75" customHeight="1">
      <c r="A66" s="186"/>
      <c r="B66" s="9"/>
      <c r="C66" s="140" t="s">
        <v>114</v>
      </c>
      <c r="D66" s="163" t="s">
        <v>115</v>
      </c>
      <c r="E66" s="26">
        <v>6600</v>
      </c>
      <c r="F66" s="127"/>
      <c r="G66" s="26">
        <v>4747</v>
      </c>
      <c r="H66" s="127"/>
      <c r="I66" s="514">
        <f t="shared" si="1"/>
        <v>71.92424242424242</v>
      </c>
    </row>
    <row r="67" spans="1:9" ht="18.75" customHeight="1">
      <c r="A67" s="186"/>
      <c r="B67" s="9"/>
      <c r="C67" s="140" t="s">
        <v>116</v>
      </c>
      <c r="D67" s="163" t="s">
        <v>117</v>
      </c>
      <c r="E67" s="26">
        <v>730000</v>
      </c>
      <c r="F67" s="127"/>
      <c r="G67" s="26">
        <v>266971.39</v>
      </c>
      <c r="H67" s="127"/>
      <c r="I67" s="514">
        <f t="shared" si="1"/>
        <v>36.57142328767124</v>
      </c>
    </row>
    <row r="68" spans="1:9" ht="21" customHeight="1">
      <c r="A68" s="186"/>
      <c r="B68" s="9"/>
      <c r="C68" s="140" t="s">
        <v>118</v>
      </c>
      <c r="D68" s="163" t="s">
        <v>119</v>
      </c>
      <c r="E68" s="26">
        <v>700000</v>
      </c>
      <c r="F68" s="127"/>
      <c r="G68" s="26">
        <v>344842</v>
      </c>
      <c r="H68" s="127"/>
      <c r="I68" s="514">
        <f t="shared" si="1"/>
        <v>49.26314285714285</v>
      </c>
    </row>
    <row r="69" spans="1:9" ht="18" customHeight="1">
      <c r="A69" s="186"/>
      <c r="B69" s="9"/>
      <c r="C69" s="140" t="s">
        <v>349</v>
      </c>
      <c r="D69" s="163" t="s">
        <v>350</v>
      </c>
      <c r="E69" s="26">
        <v>1700</v>
      </c>
      <c r="F69" s="127"/>
      <c r="G69" s="26">
        <v>1367.3</v>
      </c>
      <c r="H69" s="127"/>
      <c r="I69" s="514">
        <f t="shared" si="1"/>
        <v>80.42941176470589</v>
      </c>
    </row>
    <row r="70" spans="1:9" ht="23.25" customHeight="1">
      <c r="A70" s="186"/>
      <c r="B70" s="9"/>
      <c r="C70" s="140" t="s">
        <v>233</v>
      </c>
      <c r="D70" s="163" t="s">
        <v>239</v>
      </c>
      <c r="E70" s="26">
        <v>400000</v>
      </c>
      <c r="F70" s="127"/>
      <c r="G70" s="26">
        <v>37738.95</v>
      </c>
      <c r="H70" s="127"/>
      <c r="I70" s="514">
        <f t="shared" si="1"/>
        <v>9.434737499999999</v>
      </c>
    </row>
    <row r="71" spans="1:9" ht="26.25" customHeight="1">
      <c r="A71" s="186"/>
      <c r="B71" s="9"/>
      <c r="C71" s="140">
        <v>2680</v>
      </c>
      <c r="D71" s="163" t="s">
        <v>120</v>
      </c>
      <c r="E71" s="26">
        <f>203752+1371</f>
        <v>205123</v>
      </c>
      <c r="F71" s="127"/>
      <c r="G71" s="26">
        <v>106021</v>
      </c>
      <c r="H71" s="127"/>
      <c r="I71" s="514">
        <f t="shared" si="1"/>
        <v>51.68654904618205</v>
      </c>
    </row>
    <row r="72" spans="1:9" s="53" customFormat="1" ht="48.75" customHeight="1">
      <c r="A72" s="185"/>
      <c r="B72" s="24">
        <v>75616</v>
      </c>
      <c r="C72" s="139"/>
      <c r="D72" s="197" t="s">
        <v>131</v>
      </c>
      <c r="E72" s="28">
        <f>SUM(E73:E83)</f>
        <v>16222100</v>
      </c>
      <c r="F72" s="121"/>
      <c r="G72" s="28">
        <f>SUM(G73:G83)</f>
        <v>8238409.839999999</v>
      </c>
      <c r="H72" s="121"/>
      <c r="I72" s="514">
        <f t="shared" si="1"/>
        <v>50.78510081925274</v>
      </c>
    </row>
    <row r="73" spans="1:9" ht="18" customHeight="1">
      <c r="A73" s="186"/>
      <c r="B73" s="9"/>
      <c r="C73" s="142" t="s">
        <v>111</v>
      </c>
      <c r="D73" s="173" t="s">
        <v>272</v>
      </c>
      <c r="E73" s="128">
        <v>10200000</v>
      </c>
      <c r="F73" s="127"/>
      <c r="G73" s="128">
        <v>5867217.68</v>
      </c>
      <c r="H73" s="127"/>
      <c r="I73" s="645">
        <f t="shared" si="1"/>
        <v>57.52174196078431</v>
      </c>
    </row>
    <row r="74" spans="1:9" ht="18" customHeight="1">
      <c r="A74" s="186"/>
      <c r="B74" s="9"/>
      <c r="C74" s="140" t="s">
        <v>112</v>
      </c>
      <c r="D74" s="163" t="s">
        <v>113</v>
      </c>
      <c r="E74" s="26">
        <v>185000</v>
      </c>
      <c r="F74" s="127"/>
      <c r="G74" s="26">
        <v>94635.13</v>
      </c>
      <c r="H74" s="127"/>
      <c r="I74" s="514">
        <f t="shared" si="1"/>
        <v>51.15412432432432</v>
      </c>
    </row>
    <row r="75" spans="1:9" ht="18.75" customHeight="1">
      <c r="A75" s="186"/>
      <c r="B75" s="9"/>
      <c r="C75" s="140" t="s">
        <v>114</v>
      </c>
      <c r="D75" s="163" t="s">
        <v>115</v>
      </c>
      <c r="E75" s="26">
        <v>1100</v>
      </c>
      <c r="F75" s="127"/>
      <c r="G75" s="26">
        <v>654.21</v>
      </c>
      <c r="H75" s="127"/>
      <c r="I75" s="514">
        <f t="shared" si="1"/>
        <v>59.47363636363636</v>
      </c>
    </row>
    <row r="76" spans="1:9" ht="16.5" customHeight="1">
      <c r="A76" s="186"/>
      <c r="B76" s="9"/>
      <c r="C76" s="140" t="s">
        <v>116</v>
      </c>
      <c r="D76" s="163" t="s">
        <v>117</v>
      </c>
      <c r="E76" s="26">
        <v>650000</v>
      </c>
      <c r="F76" s="127"/>
      <c r="G76" s="26">
        <v>362094.56</v>
      </c>
      <c r="H76" s="127"/>
      <c r="I76" s="514">
        <f t="shared" si="1"/>
        <v>55.70685538461538</v>
      </c>
    </row>
    <row r="77" spans="1:9" ht="16.5" customHeight="1">
      <c r="A77" s="186"/>
      <c r="B77" s="9"/>
      <c r="C77" s="140" t="s">
        <v>246</v>
      </c>
      <c r="D77" s="163" t="s">
        <v>150</v>
      </c>
      <c r="E77" s="26">
        <v>350000</v>
      </c>
      <c r="F77" s="127"/>
      <c r="G77" s="26">
        <v>149743.53</v>
      </c>
      <c r="H77" s="127"/>
      <c r="I77" s="514">
        <f t="shared" si="1"/>
        <v>42.78386571428571</v>
      </c>
    </row>
    <row r="78" spans="1:9" ht="16.5" customHeight="1">
      <c r="A78" s="186"/>
      <c r="B78" s="9"/>
      <c r="C78" s="140" t="s">
        <v>550</v>
      </c>
      <c r="D78" s="163" t="s">
        <v>551</v>
      </c>
      <c r="E78" s="26">
        <v>50000</v>
      </c>
      <c r="F78" s="127"/>
      <c r="G78" s="26">
        <v>32190</v>
      </c>
      <c r="H78" s="127"/>
      <c r="I78" s="514">
        <f t="shared" si="1"/>
        <v>64.38000000000001</v>
      </c>
    </row>
    <row r="79" spans="1:9" ht="16.5" customHeight="1">
      <c r="A79" s="186"/>
      <c r="B79" s="9"/>
      <c r="C79" s="140" t="s">
        <v>151</v>
      </c>
      <c r="D79" s="163" t="s">
        <v>152</v>
      </c>
      <c r="E79" s="26">
        <f>206000+680000</f>
        <v>886000</v>
      </c>
      <c r="F79" s="127"/>
      <c r="G79" s="26">
        <v>358812</v>
      </c>
      <c r="H79" s="127"/>
      <c r="I79" s="514">
        <f t="shared" si="1"/>
        <v>40.497968397291196</v>
      </c>
    </row>
    <row r="80" spans="1:9" ht="18.75" customHeight="1">
      <c r="A80" s="186"/>
      <c r="B80" s="9"/>
      <c r="C80" s="140" t="s">
        <v>118</v>
      </c>
      <c r="D80" s="163" t="s">
        <v>119</v>
      </c>
      <c r="E80" s="26">
        <v>3800000</v>
      </c>
      <c r="F80" s="127"/>
      <c r="G80" s="26">
        <v>1304113.62</v>
      </c>
      <c r="H80" s="127"/>
      <c r="I80" s="514">
        <f t="shared" si="1"/>
        <v>34.318779473684216</v>
      </c>
    </row>
    <row r="81" spans="1:9" ht="27" customHeight="1">
      <c r="A81" s="186"/>
      <c r="B81" s="9"/>
      <c r="C81" s="140" t="s">
        <v>244</v>
      </c>
      <c r="D81" s="163" t="s">
        <v>630</v>
      </c>
      <c r="E81" s="26">
        <v>0</v>
      </c>
      <c r="F81" s="127"/>
      <c r="G81" s="26">
        <v>750</v>
      </c>
      <c r="H81" s="127"/>
      <c r="I81" s="514"/>
    </row>
    <row r="82" spans="1:9" ht="18" customHeight="1">
      <c r="A82" s="186"/>
      <c r="B82" s="9"/>
      <c r="C82" s="140" t="s">
        <v>349</v>
      </c>
      <c r="D82" s="163" t="s">
        <v>350</v>
      </c>
      <c r="E82" s="26">
        <v>20000</v>
      </c>
      <c r="F82" s="127"/>
      <c r="G82" s="26">
        <v>21998.02</v>
      </c>
      <c r="H82" s="127"/>
      <c r="I82" s="514">
        <f t="shared" si="1"/>
        <v>109.9901</v>
      </c>
    </row>
    <row r="83" spans="1:9" ht="24" customHeight="1">
      <c r="A83" s="186"/>
      <c r="B83" s="9"/>
      <c r="C83" s="140" t="s">
        <v>233</v>
      </c>
      <c r="D83" s="163" t="s">
        <v>239</v>
      </c>
      <c r="E83" s="26">
        <v>80000</v>
      </c>
      <c r="F83" s="127"/>
      <c r="G83" s="26">
        <v>46201.09</v>
      </c>
      <c r="H83" s="127"/>
      <c r="I83" s="514">
        <f t="shared" si="1"/>
        <v>57.75136249999999</v>
      </c>
    </row>
    <row r="84" spans="1:10" s="53" customFormat="1" ht="38.25" customHeight="1">
      <c r="A84" s="185"/>
      <c r="B84" s="23">
        <v>75618</v>
      </c>
      <c r="C84" s="139" t="s">
        <v>201</v>
      </c>
      <c r="D84" s="197" t="s">
        <v>163</v>
      </c>
      <c r="E84" s="28">
        <f>SUM(E85:E91)</f>
        <v>3965500</v>
      </c>
      <c r="F84" s="233"/>
      <c r="G84" s="28">
        <f>SUM(G85:G91)</f>
        <v>2030683.51</v>
      </c>
      <c r="H84" s="233"/>
      <c r="I84" s="514">
        <f t="shared" si="1"/>
        <v>51.20876333375362</v>
      </c>
      <c r="J84" s="632"/>
    </row>
    <row r="85" spans="1:9" ht="20.25" customHeight="1">
      <c r="A85" s="186"/>
      <c r="B85" s="9"/>
      <c r="C85" s="140" t="s">
        <v>164</v>
      </c>
      <c r="D85" s="163" t="s">
        <v>165</v>
      </c>
      <c r="E85" s="26">
        <v>1850000</v>
      </c>
      <c r="F85" s="127"/>
      <c r="G85" s="26">
        <v>554523.76</v>
      </c>
      <c r="H85" s="127"/>
      <c r="I85" s="514">
        <f t="shared" si="1"/>
        <v>29.974257297297296</v>
      </c>
    </row>
    <row r="86" spans="1:9" ht="26.25" customHeight="1">
      <c r="A86" s="186"/>
      <c r="B86" s="9"/>
      <c r="C86" s="137" t="s">
        <v>166</v>
      </c>
      <c r="D86" s="198" t="s">
        <v>108</v>
      </c>
      <c r="E86" s="26">
        <v>1751000</v>
      </c>
      <c r="F86" s="127"/>
      <c r="G86" s="26">
        <v>1211125.02</v>
      </c>
      <c r="H86" s="127"/>
      <c r="I86" s="514">
        <f t="shared" si="1"/>
        <v>69.16761964591662</v>
      </c>
    </row>
    <row r="87" spans="1:9" ht="38.25" customHeight="1">
      <c r="A87" s="186"/>
      <c r="B87" s="9"/>
      <c r="C87" s="140" t="s">
        <v>167</v>
      </c>
      <c r="D87" s="163" t="s">
        <v>169</v>
      </c>
      <c r="E87" s="26">
        <f>14000000+150000+200000-14000000</f>
        <v>350000</v>
      </c>
      <c r="F87" s="127"/>
      <c r="G87" s="26">
        <f>765865.2-518270.48</f>
        <v>247594.71999999997</v>
      </c>
      <c r="H87" s="127"/>
      <c r="I87" s="514">
        <f t="shared" si="1"/>
        <v>70.74134857142856</v>
      </c>
    </row>
    <row r="88" spans="1:9" ht="31.5" customHeight="1">
      <c r="A88" s="186"/>
      <c r="B88" s="9"/>
      <c r="C88" s="140" t="s">
        <v>363</v>
      </c>
      <c r="D88" s="163" t="s">
        <v>262</v>
      </c>
      <c r="E88" s="26">
        <v>0</v>
      </c>
      <c r="F88" s="127"/>
      <c r="G88" s="26">
        <v>17091.4</v>
      </c>
      <c r="H88" s="127"/>
      <c r="I88" s="514"/>
    </row>
    <row r="89" spans="1:9" ht="21.75" customHeight="1">
      <c r="A89" s="186"/>
      <c r="B89" s="9"/>
      <c r="C89" s="140" t="s">
        <v>349</v>
      </c>
      <c r="D89" s="163" t="s">
        <v>350</v>
      </c>
      <c r="E89" s="26">
        <v>10000</v>
      </c>
      <c r="F89" s="127"/>
      <c r="G89" s="26">
        <v>208.8</v>
      </c>
      <c r="H89" s="127"/>
      <c r="I89" s="514">
        <f t="shared" si="1"/>
        <v>2.088</v>
      </c>
    </row>
    <row r="90" spans="1:9" ht="26.25" customHeight="1">
      <c r="A90" s="186"/>
      <c r="B90" s="9"/>
      <c r="C90" s="140" t="s">
        <v>233</v>
      </c>
      <c r="D90" s="163" t="s">
        <v>239</v>
      </c>
      <c r="E90" s="26">
        <v>3500</v>
      </c>
      <c r="F90" s="127"/>
      <c r="G90" s="26">
        <v>0</v>
      </c>
      <c r="H90" s="127"/>
      <c r="I90" s="514"/>
    </row>
    <row r="91" spans="1:9" ht="19.5" customHeight="1">
      <c r="A91" s="186"/>
      <c r="B91" s="9"/>
      <c r="C91" s="137" t="s">
        <v>240</v>
      </c>
      <c r="D91" s="163" t="s">
        <v>264</v>
      </c>
      <c r="E91" s="26">
        <v>1000</v>
      </c>
      <c r="F91" s="127"/>
      <c r="G91" s="26">
        <f>473.55-333.74</f>
        <v>139.81</v>
      </c>
      <c r="H91" s="127"/>
      <c r="I91" s="514">
        <f t="shared" si="1"/>
        <v>13.980999999999998</v>
      </c>
    </row>
    <row r="92" spans="1:9" s="53" customFormat="1" ht="27.75" customHeight="1">
      <c r="A92" s="185"/>
      <c r="B92" s="23">
        <v>75621</v>
      </c>
      <c r="C92" s="139"/>
      <c r="D92" s="197" t="s">
        <v>170</v>
      </c>
      <c r="E92" s="28">
        <f>SUM(E93:E94)</f>
        <v>65930543</v>
      </c>
      <c r="F92" s="233"/>
      <c r="G92" s="28">
        <f>SUM(G93:G94)</f>
        <v>29469607.6</v>
      </c>
      <c r="H92" s="233"/>
      <c r="I92" s="514">
        <f aca="true" t="shared" si="2" ref="I92:I183">G92/E92*100</f>
        <v>44.69795979080591</v>
      </c>
    </row>
    <row r="93" spans="1:9" ht="21.75" customHeight="1">
      <c r="A93" s="186"/>
      <c r="B93" s="9"/>
      <c r="C93" s="140" t="s">
        <v>171</v>
      </c>
      <c r="D93" s="163" t="s">
        <v>356</v>
      </c>
      <c r="E93" s="26">
        <v>62530543</v>
      </c>
      <c r="F93" s="127"/>
      <c r="G93" s="26">
        <v>28052583</v>
      </c>
      <c r="H93" s="127"/>
      <c r="I93" s="514">
        <f t="shared" si="2"/>
        <v>44.86220917672185</v>
      </c>
    </row>
    <row r="94" spans="1:9" ht="20.25" customHeight="1">
      <c r="A94" s="186"/>
      <c r="B94" s="9"/>
      <c r="C94" s="140" t="s">
        <v>357</v>
      </c>
      <c r="D94" s="163" t="s">
        <v>358</v>
      </c>
      <c r="E94" s="26">
        <v>3400000</v>
      </c>
      <c r="F94" s="127"/>
      <c r="G94" s="26">
        <v>1417024.6</v>
      </c>
      <c r="H94" s="127"/>
      <c r="I94" s="514">
        <f t="shared" si="2"/>
        <v>41.67719411764706</v>
      </c>
    </row>
    <row r="95" spans="1:9" ht="21" customHeight="1">
      <c r="A95" s="131">
        <v>758</v>
      </c>
      <c r="B95" s="11"/>
      <c r="C95" s="131"/>
      <c r="D95" s="171" t="s">
        <v>253</v>
      </c>
      <c r="E95" s="84">
        <f>E96+E98+E104+E106+E108</f>
        <v>56457776.78</v>
      </c>
      <c r="F95" s="127"/>
      <c r="G95" s="84">
        <f>G96+G98+G104+G106+G108</f>
        <v>34784245.60999999</v>
      </c>
      <c r="H95" s="127"/>
      <c r="I95" s="641">
        <f t="shared" si="2"/>
        <v>61.61107927707526</v>
      </c>
    </row>
    <row r="96" spans="1:9" s="53" customFormat="1" ht="29.25" customHeight="1">
      <c r="A96" s="185"/>
      <c r="B96" s="23">
        <v>75801</v>
      </c>
      <c r="C96" s="139"/>
      <c r="D96" s="197" t="s">
        <v>359</v>
      </c>
      <c r="E96" s="28">
        <f>E97</f>
        <v>47022207</v>
      </c>
      <c r="F96" s="233"/>
      <c r="G96" s="28">
        <f>G97</f>
        <v>28936744</v>
      </c>
      <c r="H96" s="233"/>
      <c r="I96" s="514">
        <f t="shared" si="2"/>
        <v>61.53846415588278</v>
      </c>
    </row>
    <row r="97" spans="1:9" ht="22.5" customHeight="1">
      <c r="A97" s="186"/>
      <c r="B97" s="9"/>
      <c r="C97" s="140">
        <v>2920</v>
      </c>
      <c r="D97" s="163" t="s">
        <v>360</v>
      </c>
      <c r="E97" s="241">
        <v>47022207</v>
      </c>
      <c r="F97" s="127"/>
      <c r="G97" s="241">
        <f>67999976-39063232</f>
        <v>28936744</v>
      </c>
      <c r="H97" s="127"/>
      <c r="I97" s="514">
        <f t="shared" si="2"/>
        <v>61.53846415588278</v>
      </c>
    </row>
    <row r="98" spans="1:9" s="53" customFormat="1" ht="21" customHeight="1">
      <c r="A98" s="185"/>
      <c r="B98" s="23">
        <v>75814</v>
      </c>
      <c r="C98" s="139"/>
      <c r="D98" s="197" t="s">
        <v>195</v>
      </c>
      <c r="E98" s="28">
        <f>SUM(E99:E103)</f>
        <v>8640162.780000001</v>
      </c>
      <c r="F98" s="233"/>
      <c r="G98" s="28">
        <f>SUM(G99:G103)</f>
        <v>5442820.62</v>
      </c>
      <c r="H98" s="233"/>
      <c r="I98" s="514">
        <f t="shared" si="2"/>
        <v>62.99442219536516</v>
      </c>
    </row>
    <row r="99" spans="1:9" ht="20.25" customHeight="1">
      <c r="A99" s="186"/>
      <c r="B99" s="9"/>
      <c r="C99" s="140" t="s">
        <v>240</v>
      </c>
      <c r="D99" s="163" t="s">
        <v>264</v>
      </c>
      <c r="E99" s="26">
        <v>900000</v>
      </c>
      <c r="F99" s="127"/>
      <c r="G99" s="26">
        <v>118322.87</v>
      </c>
      <c r="H99" s="127"/>
      <c r="I99" s="514">
        <f t="shared" si="2"/>
        <v>13.146985555555554</v>
      </c>
    </row>
    <row r="100" spans="1:9" ht="19.5" customHeight="1">
      <c r="A100" s="186"/>
      <c r="B100" s="9"/>
      <c r="C100" s="140" t="s">
        <v>218</v>
      </c>
      <c r="D100" s="163" t="s">
        <v>219</v>
      </c>
      <c r="E100" s="26">
        <v>2585274.36</v>
      </c>
      <c r="F100" s="88"/>
      <c r="G100" s="26">
        <v>140446.95</v>
      </c>
      <c r="H100" s="88"/>
      <c r="I100" s="514">
        <f t="shared" si="2"/>
        <v>5.432574281980656</v>
      </c>
    </row>
    <row r="101" spans="1:9" ht="57.75" customHeight="1">
      <c r="A101" s="186"/>
      <c r="B101" s="9"/>
      <c r="C101" s="866">
        <v>2910</v>
      </c>
      <c r="D101" s="867" t="s">
        <v>700</v>
      </c>
      <c r="E101" s="128">
        <v>5892.78</v>
      </c>
      <c r="F101" s="127"/>
      <c r="G101" s="128">
        <v>36209.16</v>
      </c>
      <c r="H101" s="127"/>
      <c r="I101" s="645">
        <f t="shared" si="2"/>
        <v>614.4665166525817</v>
      </c>
    </row>
    <row r="102" spans="1:9" ht="51" customHeight="1">
      <c r="A102" s="186"/>
      <c r="B102" s="9"/>
      <c r="C102" s="597" t="s">
        <v>701</v>
      </c>
      <c r="D102" s="593" t="s">
        <v>702</v>
      </c>
      <c r="E102" s="26">
        <v>91649.7</v>
      </c>
      <c r="F102" s="127"/>
      <c r="G102" s="26">
        <v>86999.7</v>
      </c>
      <c r="H102" s="127"/>
      <c r="I102" s="514">
        <f t="shared" si="2"/>
        <v>94.92633363775332</v>
      </c>
    </row>
    <row r="103" spans="1:9" ht="48" customHeight="1">
      <c r="A103" s="186"/>
      <c r="B103" s="9"/>
      <c r="C103" s="597">
        <v>6680</v>
      </c>
      <c r="D103" s="593" t="s">
        <v>702</v>
      </c>
      <c r="E103" s="26">
        <v>5057345.94</v>
      </c>
      <c r="F103" s="127"/>
      <c r="G103" s="26">
        <v>5060841.94</v>
      </c>
      <c r="H103" s="127"/>
      <c r="I103" s="514">
        <f t="shared" si="2"/>
        <v>100.06912716751981</v>
      </c>
    </row>
    <row r="104" spans="1:10" s="53" customFormat="1" ht="23.25" customHeight="1">
      <c r="A104" s="612"/>
      <c r="B104" s="604">
        <v>75815</v>
      </c>
      <c r="C104" s="613"/>
      <c r="D104" s="605" t="s">
        <v>279</v>
      </c>
      <c r="E104" s="587"/>
      <c r="F104" s="614"/>
      <c r="G104" s="587">
        <f>G105</f>
        <v>-1372.13</v>
      </c>
      <c r="H104" s="155"/>
      <c r="I104" s="615"/>
      <c r="J104" s="159"/>
    </row>
    <row r="105" spans="1:10" ht="24.75" customHeight="1">
      <c r="A105" s="616"/>
      <c r="B105" s="9"/>
      <c r="C105" s="592" t="s">
        <v>280</v>
      </c>
      <c r="D105" s="593" t="s">
        <v>279</v>
      </c>
      <c r="E105" s="594"/>
      <c r="F105" s="617"/>
      <c r="G105" s="594">
        <v>-1372.13</v>
      </c>
      <c r="H105" s="55"/>
      <c r="I105" s="589"/>
      <c r="J105" s="157"/>
    </row>
    <row r="106" spans="1:10" s="53" customFormat="1" ht="27.75" customHeight="1">
      <c r="A106" s="612"/>
      <c r="B106" s="604">
        <v>75816</v>
      </c>
      <c r="C106" s="613"/>
      <c r="D106" s="605" t="s">
        <v>281</v>
      </c>
      <c r="E106" s="587"/>
      <c r="F106" s="614"/>
      <c r="G106" s="587">
        <f>G107</f>
        <v>8349.12</v>
      </c>
      <c r="H106" s="155"/>
      <c r="I106" s="615"/>
      <c r="J106" s="159"/>
    </row>
    <row r="107" spans="1:10" ht="23.25" customHeight="1">
      <c r="A107" s="616"/>
      <c r="B107" s="9"/>
      <c r="C107" s="597" t="s">
        <v>282</v>
      </c>
      <c r="D107" s="593" t="s">
        <v>283</v>
      </c>
      <c r="E107" s="594"/>
      <c r="F107" s="617"/>
      <c r="G107" s="594">
        <v>8349.12</v>
      </c>
      <c r="H107" s="55"/>
      <c r="I107" s="589"/>
      <c r="J107" s="157"/>
    </row>
    <row r="108" spans="1:9" s="53" customFormat="1" ht="23.25" customHeight="1">
      <c r="A108" s="185"/>
      <c r="B108" s="23">
        <v>75831</v>
      </c>
      <c r="C108" s="143"/>
      <c r="D108" s="197" t="s">
        <v>361</v>
      </c>
      <c r="E108" s="28">
        <f>E109</f>
        <v>795407</v>
      </c>
      <c r="F108" s="233"/>
      <c r="G108" s="28">
        <f>G109</f>
        <v>397704</v>
      </c>
      <c r="H108" s="233"/>
      <c r="I108" s="514">
        <f t="shared" si="2"/>
        <v>50.000062860900144</v>
      </c>
    </row>
    <row r="109" spans="1:9" ht="22.5" customHeight="1">
      <c r="A109" s="186"/>
      <c r="B109" s="9"/>
      <c r="C109" s="140">
        <v>2920</v>
      </c>
      <c r="D109" s="163" t="s">
        <v>360</v>
      </c>
      <c r="E109" s="128">
        <v>795407</v>
      </c>
      <c r="F109" s="127"/>
      <c r="G109" s="128">
        <v>397704</v>
      </c>
      <c r="H109" s="127"/>
      <c r="I109" s="514">
        <f t="shared" si="2"/>
        <v>50.000062860900144</v>
      </c>
    </row>
    <row r="110" spans="1:9" ht="20.25" customHeight="1">
      <c r="A110" s="131">
        <v>801</v>
      </c>
      <c r="B110" s="14"/>
      <c r="C110" s="131"/>
      <c r="D110" s="171" t="s">
        <v>255</v>
      </c>
      <c r="E110" s="84">
        <f>E111+E119+E122+E128+E135+E139+E141</f>
        <v>10353106.66</v>
      </c>
      <c r="F110" s="84">
        <f>F111+F119+F122+F128+F135+F139+F141</f>
        <v>516200.95</v>
      </c>
      <c r="G110" s="84">
        <f>G111+G119+G122+G128+G135+G139+G141</f>
        <v>5726710.34</v>
      </c>
      <c r="H110" s="84">
        <f>H111+H119+H122+H128+H135+H139+H141</f>
        <v>516200.95</v>
      </c>
      <c r="I110" s="641">
        <f t="shared" si="2"/>
        <v>55.31393163489344</v>
      </c>
    </row>
    <row r="111" spans="1:9" s="53" customFormat="1" ht="21" customHeight="1">
      <c r="A111" s="185"/>
      <c r="B111" s="24">
        <v>80101</v>
      </c>
      <c r="C111" s="133"/>
      <c r="D111" s="197" t="s">
        <v>256</v>
      </c>
      <c r="E111" s="248">
        <f>SUM(E112:E118)</f>
        <v>622897.4299999999</v>
      </c>
      <c r="F111" s="248">
        <f>SUM(F112:F118)</f>
        <v>278024.43</v>
      </c>
      <c r="G111" s="248">
        <f>SUM(G112:G118)</f>
        <v>484630.12</v>
      </c>
      <c r="H111" s="248">
        <f>SUM(H112:H118)</f>
        <v>278024.43</v>
      </c>
      <c r="I111" s="514">
        <f t="shared" si="2"/>
        <v>77.80255571129906</v>
      </c>
    </row>
    <row r="112" spans="1:9" s="53" customFormat="1" ht="21" customHeight="1">
      <c r="A112" s="188"/>
      <c r="B112" s="32"/>
      <c r="C112" s="140" t="s">
        <v>349</v>
      </c>
      <c r="D112" s="163" t="s">
        <v>350</v>
      </c>
      <c r="E112" s="128">
        <v>676</v>
      </c>
      <c r="F112" s="127"/>
      <c r="G112" s="128">
        <v>918</v>
      </c>
      <c r="H112" s="127"/>
      <c r="I112" s="514">
        <f t="shared" si="2"/>
        <v>135.79881656804733</v>
      </c>
    </row>
    <row r="113" spans="1:9" ht="66" customHeight="1">
      <c r="A113" s="189"/>
      <c r="B113" s="7"/>
      <c r="C113" s="140" t="s">
        <v>355</v>
      </c>
      <c r="D113" s="163" t="s">
        <v>232</v>
      </c>
      <c r="E113" s="26">
        <v>307602</v>
      </c>
      <c r="F113" s="127"/>
      <c r="G113" s="128">
        <v>186216.28</v>
      </c>
      <c r="H113" s="127"/>
      <c r="I113" s="514">
        <f t="shared" si="2"/>
        <v>60.5380589202931</v>
      </c>
    </row>
    <row r="114" spans="1:9" ht="21.75" customHeight="1">
      <c r="A114" s="189"/>
      <c r="B114" s="7"/>
      <c r="C114" s="140" t="s">
        <v>544</v>
      </c>
      <c r="D114" s="163" t="s">
        <v>100</v>
      </c>
      <c r="E114" s="26">
        <v>20000</v>
      </c>
      <c r="F114" s="127"/>
      <c r="G114" s="26">
        <v>0</v>
      </c>
      <c r="H114" s="127"/>
      <c r="I114" s="514">
        <f t="shared" si="2"/>
        <v>0</v>
      </c>
    </row>
    <row r="115" spans="1:9" ht="23.25" customHeight="1">
      <c r="A115" s="189"/>
      <c r="B115" s="7"/>
      <c r="C115" s="140" t="s">
        <v>240</v>
      </c>
      <c r="D115" s="163" t="s">
        <v>264</v>
      </c>
      <c r="E115" s="129"/>
      <c r="F115" s="127"/>
      <c r="G115" s="129">
        <v>28.56</v>
      </c>
      <c r="H115" s="127"/>
      <c r="I115" s="514"/>
    </row>
    <row r="116" spans="1:9" ht="21.75" customHeight="1">
      <c r="A116" s="189"/>
      <c r="B116" s="7"/>
      <c r="C116" s="592" t="s">
        <v>617</v>
      </c>
      <c r="D116" s="598" t="s">
        <v>618</v>
      </c>
      <c r="E116" s="129">
        <v>4000</v>
      </c>
      <c r="F116" s="127"/>
      <c r="G116" s="129">
        <v>4000</v>
      </c>
      <c r="H116" s="127"/>
      <c r="I116" s="514">
        <f t="shared" si="2"/>
        <v>100</v>
      </c>
    </row>
    <row r="117" spans="1:9" ht="18.75" customHeight="1">
      <c r="A117" s="189"/>
      <c r="B117" s="7"/>
      <c r="C117" s="140" t="s">
        <v>218</v>
      </c>
      <c r="D117" s="163" t="s">
        <v>219</v>
      </c>
      <c r="E117" s="129">
        <v>12595</v>
      </c>
      <c r="F117" s="127"/>
      <c r="G117" s="129">
        <v>15442.85</v>
      </c>
      <c r="H117" s="127"/>
      <c r="I117" s="514">
        <f t="shared" si="2"/>
        <v>122.61095672886067</v>
      </c>
    </row>
    <row r="118" spans="1:9" ht="53.25" customHeight="1">
      <c r="A118" s="189"/>
      <c r="B118" s="7"/>
      <c r="C118" s="140">
        <v>2010</v>
      </c>
      <c r="D118" s="170" t="s">
        <v>241</v>
      </c>
      <c r="E118" s="129">
        <v>278024.43</v>
      </c>
      <c r="F118" s="52">
        <v>278024.43</v>
      </c>
      <c r="G118" s="52">
        <v>278024.43</v>
      </c>
      <c r="H118" s="52">
        <v>278024.43</v>
      </c>
      <c r="I118" s="514">
        <f t="shared" si="2"/>
        <v>100</v>
      </c>
    </row>
    <row r="119" spans="1:9" s="53" customFormat="1" ht="24.75" customHeight="1">
      <c r="A119" s="188"/>
      <c r="B119" s="46">
        <v>80103</v>
      </c>
      <c r="C119" s="36"/>
      <c r="D119" s="175" t="s">
        <v>229</v>
      </c>
      <c r="E119" s="91">
        <f>SUM(E120:E121)</f>
        <v>44644</v>
      </c>
      <c r="F119" s="233"/>
      <c r="G119" s="91">
        <f>SUM(G120:G121)</f>
        <v>23826</v>
      </c>
      <c r="H119" s="233"/>
      <c r="I119" s="514">
        <f t="shared" si="2"/>
        <v>53.368873756831825</v>
      </c>
    </row>
    <row r="120" spans="1:9" ht="19.5" customHeight="1">
      <c r="A120" s="189"/>
      <c r="B120" s="7"/>
      <c r="C120" s="144" t="s">
        <v>352</v>
      </c>
      <c r="D120" s="163" t="s">
        <v>353</v>
      </c>
      <c r="E120" s="26">
        <v>5590</v>
      </c>
      <c r="F120" s="127"/>
      <c r="G120" s="26">
        <v>4297</v>
      </c>
      <c r="H120" s="127"/>
      <c r="I120" s="514">
        <f t="shared" si="2"/>
        <v>76.86940966010734</v>
      </c>
    </row>
    <row r="121" spans="1:9" ht="32.25" customHeight="1">
      <c r="A121" s="189"/>
      <c r="B121" s="7"/>
      <c r="C121" s="140">
        <v>2030</v>
      </c>
      <c r="D121" s="163" t="s">
        <v>141</v>
      </c>
      <c r="E121" s="26">
        <v>39054</v>
      </c>
      <c r="F121" s="88"/>
      <c r="G121" s="26">
        <v>19529</v>
      </c>
      <c r="H121" s="88"/>
      <c r="I121" s="514">
        <f t="shared" si="2"/>
        <v>50.00512111435448</v>
      </c>
    </row>
    <row r="122" spans="1:9" s="53" customFormat="1" ht="21.75" customHeight="1">
      <c r="A122" s="188"/>
      <c r="B122" s="24">
        <v>80104</v>
      </c>
      <c r="C122" s="868"/>
      <c r="D122" s="201" t="s">
        <v>362</v>
      </c>
      <c r="E122" s="248">
        <f>SUM(E123:E127)</f>
        <v>7452258</v>
      </c>
      <c r="F122" s="233"/>
      <c r="G122" s="248">
        <f>SUM(G123:G127)</f>
        <v>3914338.59</v>
      </c>
      <c r="H122" s="233"/>
      <c r="I122" s="645">
        <f t="shared" si="2"/>
        <v>52.525537763185326</v>
      </c>
    </row>
    <row r="123" spans="1:9" ht="63.75" customHeight="1">
      <c r="A123" s="189"/>
      <c r="B123" s="7"/>
      <c r="C123" s="140" t="s">
        <v>355</v>
      </c>
      <c r="D123" s="163" t="s">
        <v>232</v>
      </c>
      <c r="E123" s="26">
        <v>178713</v>
      </c>
      <c r="F123" s="127"/>
      <c r="G123" s="26">
        <v>99929.35</v>
      </c>
      <c r="H123" s="127"/>
      <c r="I123" s="514">
        <f t="shared" si="2"/>
        <v>55.916105711392014</v>
      </c>
    </row>
    <row r="124" spans="1:9" ht="18.75" customHeight="1">
      <c r="A124" s="189"/>
      <c r="B124" s="7"/>
      <c r="C124" s="144" t="s">
        <v>352</v>
      </c>
      <c r="D124" s="163" t="s">
        <v>353</v>
      </c>
      <c r="E124" s="26">
        <v>2891016</v>
      </c>
      <c r="F124" s="127"/>
      <c r="G124" s="26">
        <v>1589308.96</v>
      </c>
      <c r="H124" s="127"/>
      <c r="I124" s="514">
        <f t="shared" si="2"/>
        <v>54.97406309754079</v>
      </c>
    </row>
    <row r="125" spans="1:9" ht="18.75" customHeight="1">
      <c r="A125" s="189"/>
      <c r="B125" s="7"/>
      <c r="C125" s="144" t="s">
        <v>240</v>
      </c>
      <c r="D125" s="163" t="s">
        <v>264</v>
      </c>
      <c r="E125" s="26">
        <v>3193</v>
      </c>
      <c r="F125" s="127"/>
      <c r="G125" s="26">
        <v>840.7</v>
      </c>
      <c r="H125" s="127"/>
      <c r="I125" s="514">
        <f t="shared" si="2"/>
        <v>26.329470717193864</v>
      </c>
    </row>
    <row r="126" spans="1:9" ht="18.75" customHeight="1">
      <c r="A126" s="189"/>
      <c r="B126" s="7"/>
      <c r="C126" s="145" t="s">
        <v>218</v>
      </c>
      <c r="D126" s="163" t="s">
        <v>219</v>
      </c>
      <c r="E126" s="26">
        <v>843806</v>
      </c>
      <c r="F126" s="127"/>
      <c r="G126" s="26">
        <v>456492.58</v>
      </c>
      <c r="H126" s="127"/>
      <c r="I126" s="514">
        <f t="shared" si="2"/>
        <v>54.0992337101182</v>
      </c>
    </row>
    <row r="127" spans="1:9" ht="39" customHeight="1">
      <c r="A127" s="189"/>
      <c r="B127" s="7"/>
      <c r="C127" s="140">
        <v>2030</v>
      </c>
      <c r="D127" s="163" t="s">
        <v>141</v>
      </c>
      <c r="E127" s="26">
        <v>3535530</v>
      </c>
      <c r="F127" s="127"/>
      <c r="G127" s="26">
        <v>1767767</v>
      </c>
      <c r="H127" s="127"/>
      <c r="I127" s="514">
        <f t="shared" si="2"/>
        <v>50.00005656860499</v>
      </c>
    </row>
    <row r="128" spans="1:9" s="53" customFormat="1" ht="21" customHeight="1">
      <c r="A128" s="188"/>
      <c r="B128" s="24">
        <v>80110</v>
      </c>
      <c r="C128" s="133"/>
      <c r="D128" s="197" t="s">
        <v>257</v>
      </c>
      <c r="E128" s="28">
        <f>SUM(E129:E134)</f>
        <v>252288.13</v>
      </c>
      <c r="F128" s="28">
        <f>SUM(F129:F134)</f>
        <v>223319.13</v>
      </c>
      <c r="G128" s="28">
        <f>SUM(G129:G134)</f>
        <v>243648.66</v>
      </c>
      <c r="H128" s="28">
        <f>SUM(H129:H134)</f>
        <v>223319.13</v>
      </c>
      <c r="I128" s="514">
        <f t="shared" si="2"/>
        <v>96.57555430768781</v>
      </c>
    </row>
    <row r="129" spans="1:9" s="53" customFormat="1" ht="21" customHeight="1">
      <c r="A129" s="188"/>
      <c r="B129" s="32"/>
      <c r="C129" s="140" t="s">
        <v>349</v>
      </c>
      <c r="D129" s="163" t="s">
        <v>350</v>
      </c>
      <c r="E129" s="26">
        <v>520</v>
      </c>
      <c r="F129" s="233"/>
      <c r="G129" s="26">
        <v>720.6</v>
      </c>
      <c r="H129" s="233"/>
      <c r="I129" s="514">
        <f t="shared" si="2"/>
        <v>138.5769230769231</v>
      </c>
    </row>
    <row r="130" spans="1:9" ht="63.75" customHeight="1">
      <c r="A130" s="189"/>
      <c r="B130" s="7"/>
      <c r="C130" s="140" t="s">
        <v>355</v>
      </c>
      <c r="D130" s="163" t="s">
        <v>232</v>
      </c>
      <c r="E130" s="26">
        <v>21736</v>
      </c>
      <c r="F130" s="127"/>
      <c r="G130" s="26">
        <v>13596.08</v>
      </c>
      <c r="H130" s="127"/>
      <c r="I130" s="514">
        <f t="shared" si="2"/>
        <v>62.55097534044902</v>
      </c>
    </row>
    <row r="131" spans="1:9" ht="22.5" customHeight="1">
      <c r="A131" s="189"/>
      <c r="B131" s="7"/>
      <c r="C131" s="144" t="s">
        <v>240</v>
      </c>
      <c r="D131" s="163" t="s">
        <v>264</v>
      </c>
      <c r="E131" s="26"/>
      <c r="F131" s="127"/>
      <c r="G131" s="26">
        <v>0.47</v>
      </c>
      <c r="H131" s="127"/>
      <c r="I131" s="514"/>
    </row>
    <row r="132" spans="1:9" ht="27.75" customHeight="1">
      <c r="A132" s="189"/>
      <c r="B132" s="7"/>
      <c r="C132" s="142" t="s">
        <v>617</v>
      </c>
      <c r="D132" s="163" t="s">
        <v>618</v>
      </c>
      <c r="E132" s="26">
        <v>2000</v>
      </c>
      <c r="F132" s="127"/>
      <c r="G132" s="26">
        <v>0</v>
      </c>
      <c r="H132" s="127"/>
      <c r="I132" s="514">
        <f t="shared" si="2"/>
        <v>0</v>
      </c>
    </row>
    <row r="133" spans="1:9" ht="21" customHeight="1">
      <c r="A133" s="189"/>
      <c r="B133" s="7"/>
      <c r="C133" s="145" t="s">
        <v>218</v>
      </c>
      <c r="D133" s="163" t="s">
        <v>219</v>
      </c>
      <c r="E133" s="129">
        <v>4713</v>
      </c>
      <c r="F133" s="127"/>
      <c r="G133" s="129">
        <v>6012.38</v>
      </c>
      <c r="H133" s="127"/>
      <c r="I133" s="514">
        <f t="shared" si="2"/>
        <v>127.57012518565669</v>
      </c>
    </row>
    <row r="134" spans="1:9" ht="53.25" customHeight="1">
      <c r="A134" s="189"/>
      <c r="B134" s="7"/>
      <c r="C134" s="140">
        <v>2010</v>
      </c>
      <c r="D134" s="170" t="s">
        <v>241</v>
      </c>
      <c r="E134" s="26">
        <v>223319.13</v>
      </c>
      <c r="F134" s="26">
        <v>223319.13</v>
      </c>
      <c r="G134" s="26">
        <v>223319.13</v>
      </c>
      <c r="H134" s="26">
        <v>223319.13</v>
      </c>
      <c r="I134" s="514">
        <f t="shared" si="2"/>
        <v>100</v>
      </c>
    </row>
    <row r="135" spans="1:9" s="53" customFormat="1" ht="21" customHeight="1">
      <c r="A135" s="188"/>
      <c r="B135" s="24">
        <v>80148</v>
      </c>
      <c r="C135" s="146"/>
      <c r="D135" s="175" t="s">
        <v>198</v>
      </c>
      <c r="E135" s="248">
        <f>SUM(E136:E138)</f>
        <v>1850498</v>
      </c>
      <c r="F135" s="233"/>
      <c r="G135" s="248">
        <f>SUM(G136:G138)</f>
        <v>946681.4700000001</v>
      </c>
      <c r="H135" s="233"/>
      <c r="I135" s="514">
        <f t="shared" si="2"/>
        <v>51.1582001169415</v>
      </c>
    </row>
    <row r="136" spans="1:9" ht="18.75" customHeight="1">
      <c r="A136" s="189"/>
      <c r="B136" s="7"/>
      <c r="C136" s="144" t="s">
        <v>352</v>
      </c>
      <c r="D136" s="163" t="s">
        <v>353</v>
      </c>
      <c r="E136" s="26">
        <v>1602070</v>
      </c>
      <c r="F136" s="127"/>
      <c r="G136" s="26">
        <v>831083.25</v>
      </c>
      <c r="H136" s="127"/>
      <c r="I136" s="514">
        <f t="shared" si="2"/>
        <v>51.87558908162565</v>
      </c>
    </row>
    <row r="137" spans="1:9" ht="18.75" customHeight="1">
      <c r="A137" s="189"/>
      <c r="B137" s="7"/>
      <c r="C137" s="144" t="s">
        <v>240</v>
      </c>
      <c r="D137" s="163" t="s">
        <v>264</v>
      </c>
      <c r="E137" s="26"/>
      <c r="F137" s="127"/>
      <c r="G137" s="26">
        <v>42.42</v>
      </c>
      <c r="H137" s="127"/>
      <c r="I137" s="514"/>
    </row>
    <row r="138" spans="1:9" ht="16.5" customHeight="1">
      <c r="A138" s="189"/>
      <c r="B138" s="7"/>
      <c r="C138" s="145" t="s">
        <v>218</v>
      </c>
      <c r="D138" s="163" t="s">
        <v>219</v>
      </c>
      <c r="E138" s="26">
        <v>248428</v>
      </c>
      <c r="F138" s="127"/>
      <c r="G138" s="26">
        <v>115555.8</v>
      </c>
      <c r="H138" s="127"/>
      <c r="I138" s="514">
        <f t="shared" si="2"/>
        <v>46.514805094433804</v>
      </c>
    </row>
    <row r="139" spans="1:9" ht="74.25" customHeight="1">
      <c r="A139" s="189"/>
      <c r="B139" s="24">
        <v>80150</v>
      </c>
      <c r="C139" s="24"/>
      <c r="D139" s="175" t="s">
        <v>287</v>
      </c>
      <c r="E139" s="28">
        <f>E140</f>
        <v>14857.39</v>
      </c>
      <c r="F139" s="28">
        <f>F140</f>
        <v>14857.39</v>
      </c>
      <c r="G139" s="28">
        <f>G140</f>
        <v>14857.39</v>
      </c>
      <c r="H139" s="28">
        <f>H140</f>
        <v>14857.39</v>
      </c>
      <c r="I139" s="514">
        <f t="shared" si="2"/>
        <v>100</v>
      </c>
    </row>
    <row r="140" spans="1:9" ht="51" customHeight="1">
      <c r="A140" s="189"/>
      <c r="B140" s="7"/>
      <c r="C140" s="140">
        <v>2010</v>
      </c>
      <c r="D140" s="170" t="s">
        <v>241</v>
      </c>
      <c r="E140" s="26">
        <v>14857.39</v>
      </c>
      <c r="F140" s="52">
        <v>14857.39</v>
      </c>
      <c r="G140" s="52">
        <v>14857.39</v>
      </c>
      <c r="H140" s="52">
        <v>14857.39</v>
      </c>
      <c r="I140" s="514">
        <f t="shared" si="2"/>
        <v>100</v>
      </c>
    </row>
    <row r="141" spans="1:9" ht="24" customHeight="1">
      <c r="A141" s="189"/>
      <c r="B141" s="2">
        <v>80195</v>
      </c>
      <c r="C141" s="140"/>
      <c r="D141" s="163" t="s">
        <v>250</v>
      </c>
      <c r="E141" s="26">
        <f>SUM(E142:E144)</f>
        <v>115663.70999999999</v>
      </c>
      <c r="F141" s="52"/>
      <c r="G141" s="26">
        <f>SUM(G142:G144)</f>
        <v>98728.11</v>
      </c>
      <c r="H141" s="52"/>
      <c r="I141" s="514">
        <f t="shared" si="2"/>
        <v>85.35789661251573</v>
      </c>
    </row>
    <row r="142" spans="1:9" ht="75" customHeight="1">
      <c r="A142" s="189"/>
      <c r="B142" s="13"/>
      <c r="C142" s="866">
        <v>2007</v>
      </c>
      <c r="D142" s="867" t="s">
        <v>703</v>
      </c>
      <c r="E142" s="128">
        <v>93090.73</v>
      </c>
      <c r="F142" s="127"/>
      <c r="G142" s="128">
        <v>93090.73</v>
      </c>
      <c r="H142" s="127"/>
      <c r="I142" s="645">
        <f t="shared" si="2"/>
        <v>100</v>
      </c>
    </row>
    <row r="143" spans="1:9" ht="68.25" customHeight="1">
      <c r="A143" s="189"/>
      <c r="B143" s="7"/>
      <c r="C143" s="597">
        <v>2009</v>
      </c>
      <c r="D143" s="593" t="s">
        <v>703</v>
      </c>
      <c r="E143" s="26">
        <v>5637.38</v>
      </c>
      <c r="F143" s="127"/>
      <c r="G143" s="26">
        <v>5637.38</v>
      </c>
      <c r="H143" s="127"/>
      <c r="I143" s="514">
        <f t="shared" si="2"/>
        <v>100</v>
      </c>
    </row>
    <row r="144" spans="1:9" ht="46.5" customHeight="1">
      <c r="A144" s="189"/>
      <c r="B144" s="1"/>
      <c r="C144" s="144">
        <v>2701</v>
      </c>
      <c r="D144" s="163" t="s">
        <v>366</v>
      </c>
      <c r="E144" s="26">
        <v>16935.6</v>
      </c>
      <c r="F144" s="127"/>
      <c r="G144" s="26">
        <v>0</v>
      </c>
      <c r="H144" s="127"/>
      <c r="I144" s="514"/>
    </row>
    <row r="145" spans="1:9" ht="20.25" customHeight="1">
      <c r="A145" s="131">
        <v>851</v>
      </c>
      <c r="B145" s="6"/>
      <c r="C145" s="131"/>
      <c r="D145" s="174" t="s">
        <v>200</v>
      </c>
      <c r="E145" s="84">
        <f>E146+E149</f>
        <v>374350</v>
      </c>
      <c r="F145" s="127"/>
      <c r="G145" s="84">
        <f>G146+G149</f>
        <v>307918.70999999996</v>
      </c>
      <c r="H145" s="127"/>
      <c r="I145" s="641">
        <f t="shared" si="2"/>
        <v>82.25422999866434</v>
      </c>
    </row>
    <row r="146" spans="1:9" ht="20.25" customHeight="1">
      <c r="A146" s="192"/>
      <c r="B146" s="600">
        <v>85154</v>
      </c>
      <c r="C146" s="53"/>
      <c r="D146" s="601" t="s">
        <v>704</v>
      </c>
      <c r="E146" s="248">
        <f>SUM(E147:E148)</f>
        <v>43000</v>
      </c>
      <c r="F146" s="233"/>
      <c r="G146" s="248">
        <f>SUM(G147:G148)</f>
        <v>33000</v>
      </c>
      <c r="H146" s="233"/>
      <c r="I146" s="514">
        <f t="shared" si="2"/>
        <v>76.74418604651163</v>
      </c>
    </row>
    <row r="147" spans="1:9" ht="48" customHeight="1">
      <c r="A147" s="192"/>
      <c r="B147" s="602"/>
      <c r="C147" s="603">
        <v>2310</v>
      </c>
      <c r="D147" s="593" t="s">
        <v>629</v>
      </c>
      <c r="E147" s="128">
        <v>10000</v>
      </c>
      <c r="F147" s="127"/>
      <c r="G147" s="128">
        <v>0</v>
      </c>
      <c r="H147" s="127"/>
      <c r="I147" s="514"/>
    </row>
    <row r="148" spans="1:9" ht="52.5" customHeight="1">
      <c r="A148" s="192"/>
      <c r="B148" s="599"/>
      <c r="C148" s="145">
        <v>2710</v>
      </c>
      <c r="D148" s="199" t="s">
        <v>191</v>
      </c>
      <c r="E148" s="128">
        <v>33000</v>
      </c>
      <c r="F148" s="127"/>
      <c r="G148" s="128">
        <v>33000</v>
      </c>
      <c r="H148" s="127"/>
      <c r="I148" s="514">
        <f t="shared" si="2"/>
        <v>100</v>
      </c>
    </row>
    <row r="149" spans="1:9" s="53" customFormat="1" ht="21.75" customHeight="1">
      <c r="A149" s="185"/>
      <c r="B149" s="27">
        <v>85158</v>
      </c>
      <c r="C149" s="139"/>
      <c r="D149" s="197" t="s">
        <v>271</v>
      </c>
      <c r="E149" s="248">
        <f>SUM(E150:E153)</f>
        <v>331350</v>
      </c>
      <c r="F149" s="233"/>
      <c r="G149" s="248">
        <f>SUM(G150:G153)</f>
        <v>274918.70999999996</v>
      </c>
      <c r="H149" s="233"/>
      <c r="I149" s="514">
        <f t="shared" si="2"/>
        <v>82.96928021729289</v>
      </c>
    </row>
    <row r="150" spans="1:9" ht="18.75" customHeight="1">
      <c r="A150" s="186"/>
      <c r="B150" s="15"/>
      <c r="C150" s="144" t="s">
        <v>352</v>
      </c>
      <c r="D150" s="163" t="s">
        <v>353</v>
      </c>
      <c r="E150" s="26">
        <v>226600</v>
      </c>
      <c r="F150" s="127"/>
      <c r="G150" s="26">
        <v>172866.25</v>
      </c>
      <c r="H150" s="127"/>
      <c r="I150" s="514">
        <f t="shared" si="2"/>
        <v>76.28695939982347</v>
      </c>
    </row>
    <row r="151" spans="1:9" ht="17.25" customHeight="1">
      <c r="A151" s="186"/>
      <c r="B151" s="17"/>
      <c r="C151" s="144" t="s">
        <v>240</v>
      </c>
      <c r="D151" s="163" t="s">
        <v>264</v>
      </c>
      <c r="E151" s="26">
        <v>20</v>
      </c>
      <c r="F151" s="127"/>
      <c r="G151" s="26">
        <v>0</v>
      </c>
      <c r="H151" s="127"/>
      <c r="I151" s="514">
        <f t="shared" si="2"/>
        <v>0</v>
      </c>
    </row>
    <row r="152" spans="1:9" ht="18.75" customHeight="1">
      <c r="A152" s="186"/>
      <c r="B152" s="17"/>
      <c r="C152" s="145" t="s">
        <v>218</v>
      </c>
      <c r="D152" s="163" t="s">
        <v>219</v>
      </c>
      <c r="E152" s="26">
        <v>7730</v>
      </c>
      <c r="F152" s="127"/>
      <c r="G152" s="26">
        <v>4297.46</v>
      </c>
      <c r="H152" s="127"/>
      <c r="I152" s="514">
        <f t="shared" si="2"/>
        <v>55.59456662354463</v>
      </c>
    </row>
    <row r="153" spans="1:9" ht="47.25" customHeight="1">
      <c r="A153" s="186"/>
      <c r="B153" s="17"/>
      <c r="C153" s="145">
        <v>2710</v>
      </c>
      <c r="D153" s="199" t="s">
        <v>191</v>
      </c>
      <c r="E153" s="26">
        <v>97000</v>
      </c>
      <c r="F153" s="88"/>
      <c r="G153" s="26">
        <v>97755</v>
      </c>
      <c r="H153" s="88"/>
      <c r="I153" s="514">
        <f t="shared" si="2"/>
        <v>100.77835051546391</v>
      </c>
    </row>
    <row r="154" spans="1:9" ht="22.5" customHeight="1">
      <c r="A154" s="131">
        <v>852</v>
      </c>
      <c r="B154" s="11"/>
      <c r="C154" s="131"/>
      <c r="D154" s="171" t="s">
        <v>306</v>
      </c>
      <c r="E154" s="33">
        <f>E155+E159+E162+E165+E168+E171+E173+E175+E179+E181+E186</f>
        <v>29814800</v>
      </c>
      <c r="F154" s="33">
        <f>F155+F159+F162+F165+F168+F171+F173+F175+F179+F181+F186</f>
        <v>20570478</v>
      </c>
      <c r="G154" s="33">
        <f>G155+G159+G162+G165+G168+G171+G173+G175+G179+G181+G186</f>
        <v>17806569.959999997</v>
      </c>
      <c r="H154" s="33">
        <f>H155+H159+H162+H165+H168+H171+H173+H175+H179+H181+H186</f>
        <v>11641412</v>
      </c>
      <c r="I154" s="641">
        <f t="shared" si="2"/>
        <v>59.723928921206905</v>
      </c>
    </row>
    <row r="155" spans="1:9" s="53" customFormat="1" ht="22.5" customHeight="1">
      <c r="A155" s="185"/>
      <c r="B155" s="27">
        <v>85202</v>
      </c>
      <c r="C155" s="139"/>
      <c r="D155" s="197" t="s">
        <v>600</v>
      </c>
      <c r="E155" s="91">
        <f>SUM(E156:E158)</f>
        <v>345000</v>
      </c>
      <c r="F155" s="232"/>
      <c r="G155" s="91">
        <f>SUM(G156:G158)</f>
        <v>175107.73</v>
      </c>
      <c r="H155" s="232"/>
      <c r="I155" s="514">
        <f t="shared" si="2"/>
        <v>50.75586376811595</v>
      </c>
    </row>
    <row r="156" spans="1:9" s="53" customFormat="1" ht="22.5" customHeight="1">
      <c r="A156" s="188"/>
      <c r="B156" s="31"/>
      <c r="C156" s="140" t="s">
        <v>349</v>
      </c>
      <c r="D156" s="163" t="s">
        <v>350</v>
      </c>
      <c r="E156" s="91"/>
      <c r="F156" s="232"/>
      <c r="G156" s="91">
        <v>69.6</v>
      </c>
      <c r="H156" s="232"/>
      <c r="I156" s="514"/>
    </row>
    <row r="157" spans="1:9" ht="22.5" customHeight="1">
      <c r="A157" s="191"/>
      <c r="B157" s="51"/>
      <c r="C157" s="144" t="s">
        <v>352</v>
      </c>
      <c r="D157" s="163" t="s">
        <v>353</v>
      </c>
      <c r="E157" s="52">
        <v>345000</v>
      </c>
      <c r="F157" s="181"/>
      <c r="G157" s="52">
        <v>174590.26</v>
      </c>
      <c r="H157" s="181"/>
      <c r="I157" s="514">
        <f t="shared" si="2"/>
        <v>50.60587246376812</v>
      </c>
    </row>
    <row r="158" spans="1:9" ht="22.5" customHeight="1">
      <c r="A158" s="191"/>
      <c r="B158" s="5"/>
      <c r="C158" s="144" t="s">
        <v>240</v>
      </c>
      <c r="D158" s="163" t="s">
        <v>264</v>
      </c>
      <c r="E158" s="52"/>
      <c r="F158" s="181"/>
      <c r="G158" s="52">
        <v>447.87</v>
      </c>
      <c r="H158" s="181"/>
      <c r="I158" s="514"/>
    </row>
    <row r="159" spans="1:9" s="53" customFormat="1" ht="22.5" customHeight="1">
      <c r="A159" s="185"/>
      <c r="B159" s="24">
        <v>85203</v>
      </c>
      <c r="C159" s="139"/>
      <c r="D159" s="197" t="s">
        <v>351</v>
      </c>
      <c r="E159" s="91">
        <f>SUM(E160:E161)</f>
        <v>258950</v>
      </c>
      <c r="F159" s="232">
        <f>SUM(F160:F161)</f>
        <v>258900</v>
      </c>
      <c r="G159" s="91">
        <f>SUM(G160:G161)</f>
        <v>149858.84</v>
      </c>
      <c r="H159" s="232">
        <f>SUM(H160:H161)</f>
        <v>149809</v>
      </c>
      <c r="I159" s="514">
        <f t="shared" si="2"/>
        <v>57.87172813284418</v>
      </c>
    </row>
    <row r="160" spans="1:9" ht="57" customHeight="1">
      <c r="A160" s="189"/>
      <c r="B160" s="13"/>
      <c r="C160" s="144">
        <v>2010</v>
      </c>
      <c r="D160" s="163" t="s">
        <v>241</v>
      </c>
      <c r="E160" s="52">
        <v>258900</v>
      </c>
      <c r="F160" s="181">
        <v>258900</v>
      </c>
      <c r="G160" s="52">
        <v>149809</v>
      </c>
      <c r="H160" s="181">
        <v>149809</v>
      </c>
      <c r="I160" s="514">
        <f t="shared" si="2"/>
        <v>57.8636539204326</v>
      </c>
    </row>
    <row r="161" spans="1:9" ht="52.5" customHeight="1">
      <c r="A161" s="189"/>
      <c r="B161" s="1"/>
      <c r="C161" s="140">
        <v>2360</v>
      </c>
      <c r="D161" s="163" t="s">
        <v>243</v>
      </c>
      <c r="E161" s="52">
        <v>50</v>
      </c>
      <c r="F161" s="181"/>
      <c r="G161" s="52">
        <v>49.84</v>
      </c>
      <c r="H161" s="181"/>
      <c r="I161" s="514">
        <f t="shared" si="2"/>
        <v>99.68</v>
      </c>
    </row>
    <row r="162" spans="1:9" s="53" customFormat="1" ht="49.5" customHeight="1">
      <c r="A162" s="185"/>
      <c r="B162" s="24">
        <v>85212</v>
      </c>
      <c r="C162" s="139"/>
      <c r="D162" s="197" t="s">
        <v>109</v>
      </c>
      <c r="E162" s="91">
        <f>SUM(E163:E164)</f>
        <v>19997145</v>
      </c>
      <c r="F162" s="232">
        <f>SUM(F163:F164)</f>
        <v>19751425</v>
      </c>
      <c r="G162" s="91">
        <f>SUM(G163:G164)</f>
        <v>11284949.78</v>
      </c>
      <c r="H162" s="639">
        <f>SUM(H163:H164)</f>
        <v>11180000</v>
      </c>
      <c r="I162" s="514">
        <f t="shared" si="2"/>
        <v>56.43280468286848</v>
      </c>
    </row>
    <row r="163" spans="1:9" ht="58.5" customHeight="1">
      <c r="A163" s="189"/>
      <c r="B163" s="7"/>
      <c r="C163" s="144">
        <v>2010</v>
      </c>
      <c r="D163" s="163" t="s">
        <v>241</v>
      </c>
      <c r="E163" s="52">
        <v>19751425</v>
      </c>
      <c r="F163" s="181">
        <v>19751425</v>
      </c>
      <c r="G163" s="52">
        <v>11180000</v>
      </c>
      <c r="H163" s="181">
        <v>11180000</v>
      </c>
      <c r="I163" s="514">
        <f t="shared" si="2"/>
        <v>56.60351088592343</v>
      </c>
    </row>
    <row r="164" spans="1:9" ht="50.25" customHeight="1">
      <c r="A164" s="189"/>
      <c r="B164" s="7"/>
      <c r="C164" s="140">
        <v>2360</v>
      </c>
      <c r="D164" s="163" t="s">
        <v>243</v>
      </c>
      <c r="E164" s="52">
        <f>184290+61430</f>
        <v>245720</v>
      </c>
      <c r="F164" s="181"/>
      <c r="G164" s="52">
        <v>104949.78</v>
      </c>
      <c r="H164" s="181"/>
      <c r="I164" s="514">
        <f t="shared" si="2"/>
        <v>42.711126485430576</v>
      </c>
    </row>
    <row r="165" spans="1:9" s="53" customFormat="1" ht="69.75" customHeight="1">
      <c r="A165" s="185"/>
      <c r="B165" s="24">
        <v>85213</v>
      </c>
      <c r="C165" s="139"/>
      <c r="D165" s="197" t="s">
        <v>149</v>
      </c>
      <c r="E165" s="91">
        <f>SUM(E166:E167)</f>
        <v>321219</v>
      </c>
      <c r="F165" s="91">
        <f>SUM(F166:F167)</f>
        <v>187000</v>
      </c>
      <c r="G165" s="91">
        <f>SUM(G166:G167)</f>
        <v>196500</v>
      </c>
      <c r="H165" s="91">
        <f>SUM(H166:H167)</f>
        <v>97000</v>
      </c>
      <c r="I165" s="514">
        <f t="shared" si="2"/>
        <v>61.17321827164645</v>
      </c>
    </row>
    <row r="166" spans="1:9" ht="49.5" customHeight="1">
      <c r="A166" s="186"/>
      <c r="B166" s="9"/>
      <c r="C166" s="140">
        <v>2010</v>
      </c>
      <c r="D166" s="163" t="s">
        <v>241</v>
      </c>
      <c r="E166" s="52">
        <v>187000</v>
      </c>
      <c r="F166" s="181">
        <v>187000</v>
      </c>
      <c r="G166" s="52">
        <v>97000</v>
      </c>
      <c r="H166" s="181">
        <v>97000</v>
      </c>
      <c r="I166" s="514">
        <f t="shared" si="2"/>
        <v>51.87165775401069</v>
      </c>
    </row>
    <row r="167" spans="1:9" ht="37.5" customHeight="1">
      <c r="A167" s="186"/>
      <c r="B167" s="9"/>
      <c r="C167" s="140">
        <v>2030</v>
      </c>
      <c r="D167" s="163" t="s">
        <v>141</v>
      </c>
      <c r="E167" s="52">
        <v>134219</v>
      </c>
      <c r="F167" s="181"/>
      <c r="G167" s="52">
        <v>99500</v>
      </c>
      <c r="H167" s="181"/>
      <c r="I167" s="514">
        <f t="shared" si="2"/>
        <v>74.13257437471596</v>
      </c>
    </row>
    <row r="168" spans="1:9" s="53" customFormat="1" ht="33.75" customHeight="1">
      <c r="A168" s="185"/>
      <c r="B168" s="23">
        <v>85214</v>
      </c>
      <c r="C168" s="139"/>
      <c r="D168" s="197" t="s">
        <v>273</v>
      </c>
      <c r="E168" s="91">
        <f>SUM(E169:E170)</f>
        <v>3665500</v>
      </c>
      <c r="F168" s="229"/>
      <c r="G168" s="91">
        <f>SUM(G169:G170)</f>
        <v>2375100</v>
      </c>
      <c r="H168" s="229"/>
      <c r="I168" s="514">
        <f t="shared" si="2"/>
        <v>64.79607147728824</v>
      </c>
    </row>
    <row r="169" spans="1:9" ht="21" customHeight="1">
      <c r="A169" s="186"/>
      <c r="B169" s="9"/>
      <c r="C169" s="140" t="s">
        <v>218</v>
      </c>
      <c r="D169" s="163" t="s">
        <v>219</v>
      </c>
      <c r="E169" s="52">
        <v>500</v>
      </c>
      <c r="F169" s="127"/>
      <c r="G169" s="52">
        <v>100</v>
      </c>
      <c r="H169" s="127"/>
      <c r="I169" s="514">
        <f t="shared" si="2"/>
        <v>20</v>
      </c>
    </row>
    <row r="170" spans="1:9" ht="34.5" customHeight="1">
      <c r="A170" s="186"/>
      <c r="B170" s="9"/>
      <c r="C170" s="140">
        <v>2030</v>
      </c>
      <c r="D170" s="163" t="s">
        <v>141</v>
      </c>
      <c r="E170" s="52">
        <v>3665000</v>
      </c>
      <c r="F170" s="88"/>
      <c r="G170" s="52">
        <v>2375000</v>
      </c>
      <c r="H170" s="88"/>
      <c r="I170" s="514">
        <f t="shared" si="2"/>
        <v>64.80218281036835</v>
      </c>
    </row>
    <row r="171" spans="1:9" ht="24" customHeight="1">
      <c r="A171" s="186"/>
      <c r="B171" s="604">
        <v>85215</v>
      </c>
      <c r="C171" s="585"/>
      <c r="D171" s="605" t="s">
        <v>548</v>
      </c>
      <c r="E171" s="28">
        <f>E172</f>
        <v>31000</v>
      </c>
      <c r="F171" s="28">
        <f>F172</f>
        <v>31000</v>
      </c>
      <c r="G171" s="28">
        <f>G172</f>
        <v>31000</v>
      </c>
      <c r="H171" s="28">
        <f>H172</f>
        <v>31000</v>
      </c>
      <c r="I171" s="514">
        <f t="shared" si="2"/>
        <v>100</v>
      </c>
    </row>
    <row r="172" spans="1:9" ht="52.5" customHeight="1">
      <c r="A172" s="186"/>
      <c r="B172" s="9"/>
      <c r="C172" s="592">
        <v>2010</v>
      </c>
      <c r="D172" s="593" t="s">
        <v>241</v>
      </c>
      <c r="E172" s="26">
        <v>31000</v>
      </c>
      <c r="F172" s="52">
        <v>31000</v>
      </c>
      <c r="G172" s="26">
        <v>31000</v>
      </c>
      <c r="H172" s="52">
        <v>31000</v>
      </c>
      <c r="I172" s="514">
        <f t="shared" si="2"/>
        <v>100</v>
      </c>
    </row>
    <row r="173" spans="1:9" ht="24" customHeight="1">
      <c r="A173" s="186"/>
      <c r="B173" s="24">
        <v>85216</v>
      </c>
      <c r="C173" s="139"/>
      <c r="D173" s="197" t="s">
        <v>564</v>
      </c>
      <c r="E173" s="28">
        <f>E174</f>
        <v>1400000</v>
      </c>
      <c r="F173" s="52"/>
      <c r="G173" s="28">
        <f>G174</f>
        <v>1180000</v>
      </c>
      <c r="H173" s="52"/>
      <c r="I173" s="514">
        <f t="shared" si="2"/>
        <v>84.28571428571429</v>
      </c>
    </row>
    <row r="174" spans="1:9" ht="39.75" customHeight="1">
      <c r="A174" s="186"/>
      <c r="B174" s="9"/>
      <c r="C174" s="140">
        <v>2030</v>
      </c>
      <c r="D174" s="163" t="s">
        <v>141</v>
      </c>
      <c r="E174" s="26">
        <v>1400000</v>
      </c>
      <c r="F174" s="52"/>
      <c r="G174" s="26">
        <v>1180000</v>
      </c>
      <c r="H174" s="52"/>
      <c r="I174" s="514">
        <f t="shared" si="2"/>
        <v>84.28571428571429</v>
      </c>
    </row>
    <row r="175" spans="1:9" s="53" customFormat="1" ht="21.75" customHeight="1">
      <c r="A175" s="185"/>
      <c r="B175" s="23">
        <v>85219</v>
      </c>
      <c r="C175" s="139"/>
      <c r="D175" s="197" t="s">
        <v>274</v>
      </c>
      <c r="E175" s="28">
        <f>SUM(E176:E178)</f>
        <v>1137738</v>
      </c>
      <c r="F175" s="91">
        <f>SUM(F176:F178)</f>
        <v>27405</v>
      </c>
      <c r="G175" s="28">
        <f>SUM(G176:G178)</f>
        <v>631095.93</v>
      </c>
      <c r="H175" s="91">
        <f>SUM(H176:H178)</f>
        <v>27405</v>
      </c>
      <c r="I175" s="514">
        <f t="shared" si="2"/>
        <v>55.469354983308996</v>
      </c>
    </row>
    <row r="176" spans="1:9" ht="20.25" customHeight="1">
      <c r="A176" s="186"/>
      <c r="B176" s="9"/>
      <c r="C176" s="140" t="s">
        <v>218</v>
      </c>
      <c r="D176" s="163" t="s">
        <v>219</v>
      </c>
      <c r="E176" s="52">
        <v>2000</v>
      </c>
      <c r="F176" s="52"/>
      <c r="G176" s="52">
        <v>6898.93</v>
      </c>
      <c r="H176" s="52"/>
      <c r="I176" s="514">
        <f t="shared" si="2"/>
        <v>344.9465</v>
      </c>
    </row>
    <row r="177" spans="1:9" ht="50.25" customHeight="1">
      <c r="A177" s="186"/>
      <c r="B177" s="9"/>
      <c r="C177" s="592">
        <v>2010</v>
      </c>
      <c r="D177" s="593" t="s">
        <v>241</v>
      </c>
      <c r="E177" s="52">
        <v>27405</v>
      </c>
      <c r="F177" s="52">
        <v>27405</v>
      </c>
      <c r="G177" s="52">
        <v>27405</v>
      </c>
      <c r="H177" s="52">
        <v>27405</v>
      </c>
      <c r="I177" s="514">
        <f t="shared" si="2"/>
        <v>100</v>
      </c>
    </row>
    <row r="178" spans="1:9" ht="42.75" customHeight="1">
      <c r="A178" s="186"/>
      <c r="B178" s="9"/>
      <c r="C178" s="140">
        <v>2030</v>
      </c>
      <c r="D178" s="163" t="s">
        <v>141</v>
      </c>
      <c r="E178" s="52">
        <v>1108333</v>
      </c>
      <c r="F178" s="52"/>
      <c r="G178" s="52">
        <v>596792</v>
      </c>
      <c r="H178" s="52"/>
      <c r="I178" s="514">
        <f t="shared" si="2"/>
        <v>53.845910931101024</v>
      </c>
    </row>
    <row r="179" spans="1:9" ht="39" customHeight="1">
      <c r="A179" s="186"/>
      <c r="B179" s="24">
        <v>85220</v>
      </c>
      <c r="C179" s="146"/>
      <c r="D179" s="197" t="s">
        <v>139</v>
      </c>
      <c r="E179" s="91">
        <f>E180</f>
        <v>1000</v>
      </c>
      <c r="F179" s="88"/>
      <c r="G179" s="91">
        <f>G180</f>
        <v>1135</v>
      </c>
      <c r="H179" s="88"/>
      <c r="I179" s="514">
        <f t="shared" si="2"/>
        <v>113.5</v>
      </c>
    </row>
    <row r="180" spans="1:9" ht="21.75" customHeight="1">
      <c r="A180" s="186"/>
      <c r="B180" s="17"/>
      <c r="C180" s="144" t="s">
        <v>218</v>
      </c>
      <c r="D180" s="163" t="s">
        <v>219</v>
      </c>
      <c r="E180" s="52">
        <v>1000</v>
      </c>
      <c r="F180" s="88"/>
      <c r="G180" s="52">
        <v>1135</v>
      </c>
      <c r="H180" s="88"/>
      <c r="I180" s="514">
        <f t="shared" si="2"/>
        <v>113.5</v>
      </c>
    </row>
    <row r="181" spans="1:9" s="53" customFormat="1" ht="28.5" customHeight="1">
      <c r="A181" s="185"/>
      <c r="B181" s="23">
        <v>85228</v>
      </c>
      <c r="C181" s="139"/>
      <c r="D181" s="197" t="s">
        <v>616</v>
      </c>
      <c r="E181" s="91">
        <f>SUM(E182:E185)</f>
        <v>600050</v>
      </c>
      <c r="F181" s="91">
        <f>SUM(F182:F185)</f>
        <v>309550</v>
      </c>
      <c r="G181" s="91">
        <f>SUM(G182:G185)</f>
        <v>294153.36000000004</v>
      </c>
      <c r="H181" s="91">
        <f>SUM(H182:H185)</f>
        <v>151000</v>
      </c>
      <c r="I181" s="514">
        <f t="shared" si="2"/>
        <v>49.02147487709358</v>
      </c>
    </row>
    <row r="182" spans="1:9" s="53" customFormat="1" ht="28.5" customHeight="1">
      <c r="A182" s="185"/>
      <c r="B182" s="29"/>
      <c r="C182" s="140" t="s">
        <v>349</v>
      </c>
      <c r="D182" s="163" t="s">
        <v>350</v>
      </c>
      <c r="E182" s="91"/>
      <c r="F182" s="232"/>
      <c r="G182" s="91">
        <v>266.8</v>
      </c>
      <c r="H182" s="232"/>
      <c r="I182" s="514"/>
    </row>
    <row r="183" spans="1:9" ht="19.5" customHeight="1">
      <c r="A183" s="186"/>
      <c r="B183" s="9"/>
      <c r="C183" s="140" t="s">
        <v>352</v>
      </c>
      <c r="D183" s="163" t="s">
        <v>353</v>
      </c>
      <c r="E183" s="52">
        <v>290000</v>
      </c>
      <c r="F183" s="181"/>
      <c r="G183" s="52">
        <v>142561.22</v>
      </c>
      <c r="H183" s="181"/>
      <c r="I183" s="514">
        <f t="shared" si="2"/>
        <v>49.159041379310345</v>
      </c>
    </row>
    <row r="184" spans="1:9" ht="54" customHeight="1">
      <c r="A184" s="186"/>
      <c r="B184" s="9"/>
      <c r="C184" s="140">
        <v>2010</v>
      </c>
      <c r="D184" s="163" t="s">
        <v>241</v>
      </c>
      <c r="E184" s="52">
        <v>309550</v>
      </c>
      <c r="F184" s="181">
        <v>309550</v>
      </c>
      <c r="G184" s="52">
        <v>151000</v>
      </c>
      <c r="H184" s="181">
        <v>151000</v>
      </c>
      <c r="I184" s="514">
        <f aca="true" t="shared" si="3" ref="I184:I268">G184/E184*100</f>
        <v>48.78048780487805</v>
      </c>
    </row>
    <row r="185" spans="1:9" ht="51" customHeight="1">
      <c r="A185" s="186"/>
      <c r="B185" s="9"/>
      <c r="C185" s="140">
        <v>2360</v>
      </c>
      <c r="D185" s="163" t="s">
        <v>243</v>
      </c>
      <c r="E185" s="52">
        <v>500</v>
      </c>
      <c r="F185" s="181"/>
      <c r="G185" s="52">
        <v>325.34</v>
      </c>
      <c r="H185" s="181"/>
      <c r="I185" s="514">
        <f t="shared" si="3"/>
        <v>65.068</v>
      </c>
    </row>
    <row r="186" spans="1:9" s="53" customFormat="1" ht="20.25" customHeight="1">
      <c r="A186" s="185"/>
      <c r="B186" s="23">
        <v>85295</v>
      </c>
      <c r="C186" s="139"/>
      <c r="D186" s="197" t="s">
        <v>250</v>
      </c>
      <c r="E186" s="91">
        <f>SUM(E187:E190)</f>
        <v>2057198</v>
      </c>
      <c r="F186" s="91">
        <f>SUM(F187:F190)</f>
        <v>5198</v>
      </c>
      <c r="G186" s="91">
        <f>SUM(G187:G190)</f>
        <v>1487669.32</v>
      </c>
      <c r="H186" s="91">
        <f>SUM(H187:H190)</f>
        <v>5198</v>
      </c>
      <c r="I186" s="514">
        <f t="shared" si="3"/>
        <v>72.31532015877909</v>
      </c>
    </row>
    <row r="187" spans="1:9" s="53" customFormat="1" ht="20.25" customHeight="1">
      <c r="A187" s="185"/>
      <c r="B187" s="29"/>
      <c r="C187" s="140" t="s">
        <v>349</v>
      </c>
      <c r="D187" s="163" t="s">
        <v>350</v>
      </c>
      <c r="E187" s="91"/>
      <c r="F187" s="167"/>
      <c r="G187" s="91">
        <v>365.6</v>
      </c>
      <c r="H187" s="167"/>
      <c r="I187" s="514"/>
    </row>
    <row r="188" spans="1:9" ht="20.25" customHeight="1">
      <c r="A188" s="186"/>
      <c r="B188" s="9"/>
      <c r="C188" s="140" t="s">
        <v>218</v>
      </c>
      <c r="D188" s="163" t="s">
        <v>219</v>
      </c>
      <c r="E188" s="52">
        <v>35000</v>
      </c>
      <c r="F188" s="73"/>
      <c r="G188" s="52">
        <v>21105.72</v>
      </c>
      <c r="H188" s="73"/>
      <c r="I188" s="514">
        <f t="shared" si="3"/>
        <v>60.302057142857144</v>
      </c>
    </row>
    <row r="189" spans="1:9" ht="53.25" customHeight="1">
      <c r="A189" s="186"/>
      <c r="B189" s="9"/>
      <c r="C189" s="140">
        <v>2010</v>
      </c>
      <c r="D189" s="163" t="s">
        <v>241</v>
      </c>
      <c r="E189" s="26">
        <v>5198</v>
      </c>
      <c r="F189" s="73">
        <v>5198</v>
      </c>
      <c r="G189" s="26">
        <v>5198</v>
      </c>
      <c r="H189" s="73">
        <v>5198</v>
      </c>
      <c r="I189" s="514">
        <f t="shared" si="3"/>
        <v>100</v>
      </c>
    </row>
    <row r="190" spans="1:9" ht="44.25" customHeight="1">
      <c r="A190" s="186"/>
      <c r="B190" s="9"/>
      <c r="C190" s="140">
        <v>2030</v>
      </c>
      <c r="D190" s="163" t="s">
        <v>141</v>
      </c>
      <c r="E190" s="26">
        <v>2017000</v>
      </c>
      <c r="F190" s="73"/>
      <c r="G190" s="26">
        <v>1461000</v>
      </c>
      <c r="H190" s="73"/>
      <c r="I190" s="514">
        <f t="shared" si="3"/>
        <v>72.43430837878037</v>
      </c>
    </row>
    <row r="191" spans="1:9" ht="26.25" customHeight="1">
      <c r="A191" s="131">
        <v>853</v>
      </c>
      <c r="B191" s="11"/>
      <c r="C191" s="147"/>
      <c r="D191" s="171" t="s">
        <v>324</v>
      </c>
      <c r="E191" s="84">
        <f>E192+E198</f>
        <v>1831451.26</v>
      </c>
      <c r="F191" s="73"/>
      <c r="G191" s="84">
        <f>G192+G198</f>
        <v>1440312.41</v>
      </c>
      <c r="H191" s="73"/>
      <c r="I191" s="641">
        <f t="shared" si="3"/>
        <v>78.64322908598724</v>
      </c>
    </row>
    <row r="192" spans="1:9" s="53" customFormat="1" ht="20.25" customHeight="1">
      <c r="A192" s="185"/>
      <c r="B192" s="24">
        <v>85305</v>
      </c>
      <c r="C192" s="139"/>
      <c r="D192" s="197" t="s">
        <v>619</v>
      </c>
      <c r="E192" s="28">
        <f>SUM(E193:E197)</f>
        <v>585938</v>
      </c>
      <c r="F192" s="121"/>
      <c r="G192" s="28">
        <f>SUM(G193:G197)</f>
        <v>334447.27</v>
      </c>
      <c r="H192" s="121"/>
      <c r="I192" s="514">
        <f t="shared" si="3"/>
        <v>57.078952039294265</v>
      </c>
    </row>
    <row r="193" spans="1:9" s="53" customFormat="1" ht="60" customHeight="1">
      <c r="A193" s="185"/>
      <c r="B193" s="29"/>
      <c r="C193" s="142" t="s">
        <v>355</v>
      </c>
      <c r="D193" s="173" t="s">
        <v>232</v>
      </c>
      <c r="E193" s="128">
        <v>28698</v>
      </c>
      <c r="F193" s="233"/>
      <c r="G193" s="128">
        <v>14348.88</v>
      </c>
      <c r="H193" s="233"/>
      <c r="I193" s="645">
        <f t="shared" si="3"/>
        <v>49.999581852393895</v>
      </c>
    </row>
    <row r="194" spans="1:9" ht="15.75" customHeight="1">
      <c r="A194" s="186"/>
      <c r="B194" s="9"/>
      <c r="C194" s="140" t="s">
        <v>352</v>
      </c>
      <c r="D194" s="163" t="s">
        <v>353</v>
      </c>
      <c r="E194" s="26">
        <v>395890</v>
      </c>
      <c r="F194" s="127"/>
      <c r="G194" s="26">
        <v>159474.57</v>
      </c>
      <c r="H194" s="127"/>
      <c r="I194" s="514">
        <f t="shared" si="3"/>
        <v>40.28254565662179</v>
      </c>
    </row>
    <row r="195" spans="1:9" ht="15.75" customHeight="1">
      <c r="A195" s="186"/>
      <c r="B195" s="9"/>
      <c r="C195" s="140" t="s">
        <v>240</v>
      </c>
      <c r="D195" s="163" t="s">
        <v>264</v>
      </c>
      <c r="E195" s="26">
        <v>134</v>
      </c>
      <c r="F195" s="127"/>
      <c r="G195" s="26">
        <v>60.35</v>
      </c>
      <c r="H195" s="127"/>
      <c r="I195" s="514">
        <f t="shared" si="3"/>
        <v>45.03731343283582</v>
      </c>
    </row>
    <row r="196" spans="1:9" ht="18.75" customHeight="1">
      <c r="A196" s="186"/>
      <c r="B196" s="9"/>
      <c r="C196" s="140" t="s">
        <v>218</v>
      </c>
      <c r="D196" s="163" t="s">
        <v>219</v>
      </c>
      <c r="E196" s="26">
        <v>824</v>
      </c>
      <c r="F196" s="127"/>
      <c r="G196" s="26">
        <v>171.47</v>
      </c>
      <c r="H196" s="127"/>
      <c r="I196" s="514">
        <f t="shared" si="3"/>
        <v>20.809466019417474</v>
      </c>
    </row>
    <row r="197" spans="1:9" ht="37.5" customHeight="1">
      <c r="A197" s="186"/>
      <c r="B197" s="9"/>
      <c r="C197" s="140">
        <v>2030</v>
      </c>
      <c r="D197" s="163" t="s">
        <v>141</v>
      </c>
      <c r="E197" s="26">
        <v>160392</v>
      </c>
      <c r="F197" s="127"/>
      <c r="G197" s="26">
        <v>160392</v>
      </c>
      <c r="H197" s="127"/>
      <c r="I197" s="514">
        <f t="shared" si="3"/>
        <v>100</v>
      </c>
    </row>
    <row r="198" spans="1:9" s="53" customFormat="1" ht="26.25" customHeight="1">
      <c r="A198" s="185"/>
      <c r="B198" s="95">
        <v>85395</v>
      </c>
      <c r="C198" s="139"/>
      <c r="D198" s="197" t="s">
        <v>250</v>
      </c>
      <c r="E198" s="28">
        <f>SUM(E199:E200)</f>
        <v>1245513.26</v>
      </c>
      <c r="F198" s="233"/>
      <c r="G198" s="28">
        <f>SUM(G199:G200)</f>
        <v>1105865.14</v>
      </c>
      <c r="H198" s="233"/>
      <c r="I198" s="514">
        <f t="shared" si="3"/>
        <v>88.78790579877085</v>
      </c>
    </row>
    <row r="199" spans="1:9" s="53" customFormat="1" ht="88.5" customHeight="1">
      <c r="A199" s="185"/>
      <c r="B199" s="29"/>
      <c r="C199" s="137">
        <v>2007</v>
      </c>
      <c r="D199" s="163" t="s">
        <v>677</v>
      </c>
      <c r="E199" s="26">
        <v>1067225.81</v>
      </c>
      <c r="F199" s="233"/>
      <c r="G199" s="26">
        <v>947366.07</v>
      </c>
      <c r="H199" s="233"/>
      <c r="I199" s="514">
        <f t="shared" si="3"/>
        <v>88.76903661091178</v>
      </c>
    </row>
    <row r="200" spans="1:9" ht="84.75" customHeight="1">
      <c r="A200" s="186"/>
      <c r="B200" s="9"/>
      <c r="C200" s="137">
        <v>2009</v>
      </c>
      <c r="D200" s="163" t="s">
        <v>677</v>
      </c>
      <c r="E200" s="26">
        <v>178287.45</v>
      </c>
      <c r="F200" s="127"/>
      <c r="G200" s="26">
        <v>158499.07</v>
      </c>
      <c r="H200" s="127"/>
      <c r="I200" s="514">
        <f t="shared" si="3"/>
        <v>88.90085645400167</v>
      </c>
    </row>
    <row r="201" spans="1:9" ht="33" customHeight="1">
      <c r="A201" s="577">
        <v>854</v>
      </c>
      <c r="B201" s="606"/>
      <c r="C201" s="578"/>
      <c r="D201" s="607" t="s">
        <v>275</v>
      </c>
      <c r="E201" s="84">
        <f>E202+E204</f>
        <v>595953</v>
      </c>
      <c r="F201" s="222"/>
      <c r="G201" s="84">
        <f>G202+G204</f>
        <v>595967.15</v>
      </c>
      <c r="H201" s="222"/>
      <c r="I201" s="641">
        <f t="shared" si="3"/>
        <v>100.00237434831271</v>
      </c>
    </row>
    <row r="202" spans="1:9" ht="25.5" customHeight="1">
      <c r="A202" s="51"/>
      <c r="B202" s="618">
        <v>85401</v>
      </c>
      <c r="C202" s="585"/>
      <c r="D202" s="605" t="s">
        <v>146</v>
      </c>
      <c r="E202" s="28">
        <f>E203</f>
        <v>0</v>
      </c>
      <c r="F202" s="233"/>
      <c r="G202" s="28">
        <f>G203</f>
        <v>14.15</v>
      </c>
      <c r="H202" s="233"/>
      <c r="I202" s="514"/>
    </row>
    <row r="203" spans="1:9" ht="26.25" customHeight="1">
      <c r="A203" s="51"/>
      <c r="B203" s="606"/>
      <c r="C203" s="592" t="s">
        <v>218</v>
      </c>
      <c r="D203" s="593" t="s">
        <v>219</v>
      </c>
      <c r="E203" s="84"/>
      <c r="F203" s="222"/>
      <c r="G203" s="26">
        <v>14.15</v>
      </c>
      <c r="H203" s="222"/>
      <c r="I203" s="514"/>
    </row>
    <row r="204" spans="1:9" ht="26.25" customHeight="1">
      <c r="A204" s="186"/>
      <c r="B204" s="604">
        <v>85415</v>
      </c>
      <c r="C204" s="585"/>
      <c r="D204" s="605" t="s">
        <v>103</v>
      </c>
      <c r="E204" s="28">
        <f>E205</f>
        <v>595953</v>
      </c>
      <c r="F204" s="233"/>
      <c r="G204" s="28">
        <f>G205</f>
        <v>595953</v>
      </c>
      <c r="H204" s="233"/>
      <c r="I204" s="514">
        <f t="shared" si="3"/>
        <v>100</v>
      </c>
    </row>
    <row r="205" spans="1:9" ht="37.5" customHeight="1">
      <c r="A205" s="186"/>
      <c r="B205" s="9"/>
      <c r="C205" s="592">
        <v>2030</v>
      </c>
      <c r="D205" s="593" t="s">
        <v>141</v>
      </c>
      <c r="E205" s="26">
        <v>595953</v>
      </c>
      <c r="F205" s="127"/>
      <c r="G205" s="26">
        <v>595953</v>
      </c>
      <c r="H205" s="127"/>
      <c r="I205" s="514">
        <f t="shared" si="3"/>
        <v>100</v>
      </c>
    </row>
    <row r="206" spans="1:9" ht="30.75" customHeight="1">
      <c r="A206" s="131">
        <v>900</v>
      </c>
      <c r="B206" s="10"/>
      <c r="C206" s="131"/>
      <c r="D206" s="171" t="s">
        <v>258</v>
      </c>
      <c r="E206" s="84">
        <f>E207+E212+E214+E216</f>
        <v>35382129.16</v>
      </c>
      <c r="F206" s="127"/>
      <c r="G206" s="84">
        <f>G207+G212+G214+G216</f>
        <v>19249422.130000003</v>
      </c>
      <c r="H206" s="127"/>
      <c r="I206" s="641">
        <f t="shared" si="3"/>
        <v>54.4043634088639</v>
      </c>
    </row>
    <row r="207" spans="1:10" ht="24.75" customHeight="1">
      <c r="A207" s="192"/>
      <c r="B207" s="32">
        <v>90002</v>
      </c>
      <c r="C207" s="24"/>
      <c r="D207" s="175" t="s">
        <v>625</v>
      </c>
      <c r="E207" s="28">
        <f>SUM(E208:E211)</f>
        <v>14008000</v>
      </c>
      <c r="F207" s="127"/>
      <c r="G207" s="28">
        <f>SUM(G208:G211)</f>
        <v>5215565.130000001</v>
      </c>
      <c r="H207" s="127"/>
      <c r="I207" s="514">
        <f t="shared" si="3"/>
        <v>37.232760779554546</v>
      </c>
      <c r="J207" s="50"/>
    </row>
    <row r="208" spans="1:9" ht="38.25" customHeight="1">
      <c r="A208" s="191"/>
      <c r="B208" s="31"/>
      <c r="C208" s="140" t="s">
        <v>167</v>
      </c>
      <c r="D208" s="163" t="s">
        <v>169</v>
      </c>
      <c r="E208" s="26">
        <v>14000000</v>
      </c>
      <c r="F208" s="127"/>
      <c r="G208" s="26">
        <v>5198985.49</v>
      </c>
      <c r="H208" s="127"/>
      <c r="I208" s="514">
        <f t="shared" si="3"/>
        <v>37.135610642857145</v>
      </c>
    </row>
    <row r="209" spans="1:9" ht="20.25" customHeight="1">
      <c r="A209" s="191"/>
      <c r="B209" s="32"/>
      <c r="C209" s="144" t="s">
        <v>349</v>
      </c>
      <c r="D209" s="163" t="s">
        <v>350</v>
      </c>
      <c r="E209" s="26"/>
      <c r="F209" s="127"/>
      <c r="G209" s="26">
        <v>12642.2</v>
      </c>
      <c r="H209" s="127"/>
      <c r="I209" s="514"/>
    </row>
    <row r="210" spans="1:9" ht="24" customHeight="1">
      <c r="A210" s="191"/>
      <c r="B210" s="32"/>
      <c r="C210" s="140" t="s">
        <v>233</v>
      </c>
      <c r="D210" s="163" t="s">
        <v>239</v>
      </c>
      <c r="E210" s="26"/>
      <c r="F210" s="88"/>
      <c r="G210" s="26">
        <v>3227.44</v>
      </c>
      <c r="H210" s="88"/>
      <c r="I210" s="514"/>
    </row>
    <row r="211" spans="1:9" ht="21" customHeight="1">
      <c r="A211" s="191"/>
      <c r="B211" s="5"/>
      <c r="C211" s="869" t="s">
        <v>218</v>
      </c>
      <c r="D211" s="173" t="s">
        <v>219</v>
      </c>
      <c r="E211" s="128">
        <v>8000</v>
      </c>
      <c r="F211" s="127"/>
      <c r="G211" s="128">
        <v>710</v>
      </c>
      <c r="H211" s="127"/>
      <c r="I211" s="645">
        <f t="shared" si="3"/>
        <v>8.875</v>
      </c>
    </row>
    <row r="212" spans="1:9" s="53" customFormat="1" ht="37.5" customHeight="1">
      <c r="A212" s="185"/>
      <c r="B212" s="24">
        <v>90019</v>
      </c>
      <c r="C212" s="139"/>
      <c r="D212" s="197" t="s">
        <v>341</v>
      </c>
      <c r="E212" s="28">
        <f>SUM(E213:E213)</f>
        <v>8600000</v>
      </c>
      <c r="F212" s="233"/>
      <c r="G212" s="28">
        <f>SUM(G213:G213)</f>
        <v>9473714.04</v>
      </c>
      <c r="H212" s="233"/>
      <c r="I212" s="514">
        <f t="shared" si="3"/>
        <v>110.15946558139534</v>
      </c>
    </row>
    <row r="213" spans="1:9" ht="23.25" customHeight="1">
      <c r="A213" s="189"/>
      <c r="B213" s="7"/>
      <c r="C213" s="144" t="s">
        <v>349</v>
      </c>
      <c r="D213" s="163" t="s">
        <v>350</v>
      </c>
      <c r="E213" s="26">
        <v>8600000</v>
      </c>
      <c r="F213" s="127"/>
      <c r="G213" s="26">
        <v>9473714.04</v>
      </c>
      <c r="H213" s="127"/>
      <c r="I213" s="514">
        <f t="shared" si="3"/>
        <v>110.15946558139534</v>
      </c>
    </row>
    <row r="214" spans="1:9" ht="29.25" customHeight="1">
      <c r="A214" s="189"/>
      <c r="B214" s="604">
        <v>90020</v>
      </c>
      <c r="C214" s="584"/>
      <c r="D214" s="605" t="s">
        <v>284</v>
      </c>
      <c r="E214" s="26">
        <f>E215</f>
        <v>0</v>
      </c>
      <c r="F214" s="127"/>
      <c r="G214" s="26">
        <f>G215</f>
        <v>9349.48</v>
      </c>
      <c r="H214" s="127"/>
      <c r="I214" s="514"/>
    </row>
    <row r="215" spans="1:9" ht="28.5" customHeight="1">
      <c r="A215" s="189"/>
      <c r="B215" s="619"/>
      <c r="C215" s="603" t="s">
        <v>285</v>
      </c>
      <c r="D215" s="593" t="s">
        <v>286</v>
      </c>
      <c r="E215" s="26"/>
      <c r="F215" s="127"/>
      <c r="G215" s="26">
        <v>9349.48</v>
      </c>
      <c r="H215" s="127"/>
      <c r="I215" s="514"/>
    </row>
    <row r="216" spans="1:9" s="53" customFormat="1" ht="18.75" customHeight="1">
      <c r="A216" s="185"/>
      <c r="B216" s="24">
        <v>90095</v>
      </c>
      <c r="C216" s="139"/>
      <c r="D216" s="197" t="s">
        <v>250</v>
      </c>
      <c r="E216" s="28">
        <f>SUM(E217:E224)</f>
        <v>12774129.159999998</v>
      </c>
      <c r="F216" s="233"/>
      <c r="G216" s="28">
        <f>SUM(G217:G224)</f>
        <v>4550793.48</v>
      </c>
      <c r="H216" s="233"/>
      <c r="I216" s="514">
        <f t="shared" si="3"/>
        <v>35.62507802293116</v>
      </c>
    </row>
    <row r="217" spans="1:9" ht="18" customHeight="1">
      <c r="A217" s="186"/>
      <c r="B217" s="17"/>
      <c r="C217" s="144" t="s">
        <v>349</v>
      </c>
      <c r="D217" s="163" t="s">
        <v>350</v>
      </c>
      <c r="E217" s="26">
        <v>46000</v>
      </c>
      <c r="F217" s="127"/>
      <c r="G217" s="26">
        <v>22758.08</v>
      </c>
      <c r="H217" s="127"/>
      <c r="I217" s="514">
        <f t="shared" si="3"/>
        <v>49.474086956521745</v>
      </c>
    </row>
    <row r="218" spans="1:9" ht="18" customHeight="1">
      <c r="A218" s="186"/>
      <c r="B218" s="17"/>
      <c r="C218" s="144" t="s">
        <v>705</v>
      </c>
      <c r="D218" s="163" t="s">
        <v>706</v>
      </c>
      <c r="E218" s="26">
        <v>100000</v>
      </c>
      <c r="F218" s="127"/>
      <c r="G218" s="26">
        <v>100000</v>
      </c>
      <c r="H218" s="127"/>
      <c r="I218" s="514">
        <f t="shared" si="3"/>
        <v>100</v>
      </c>
    </row>
    <row r="219" spans="1:9" ht="17.25" customHeight="1">
      <c r="A219" s="186"/>
      <c r="B219" s="17"/>
      <c r="C219" s="144" t="s">
        <v>352</v>
      </c>
      <c r="D219" s="163" t="s">
        <v>353</v>
      </c>
      <c r="E219" s="26">
        <v>10000</v>
      </c>
      <c r="F219" s="127"/>
      <c r="G219" s="26">
        <v>6048</v>
      </c>
      <c r="H219" s="127"/>
      <c r="I219" s="514">
        <f t="shared" si="3"/>
        <v>60.480000000000004</v>
      </c>
    </row>
    <row r="220" spans="1:9" ht="23.25" customHeight="1">
      <c r="A220" s="186"/>
      <c r="B220" s="17"/>
      <c r="C220" s="140" t="s">
        <v>544</v>
      </c>
      <c r="D220" s="163" t="s">
        <v>100</v>
      </c>
      <c r="E220" s="26"/>
      <c r="F220" s="127"/>
      <c r="G220" s="26">
        <v>5670.21</v>
      </c>
      <c r="H220" s="127"/>
      <c r="I220" s="514"/>
    </row>
    <row r="221" spans="1:9" ht="17.25" customHeight="1">
      <c r="A221" s="186"/>
      <c r="B221" s="17"/>
      <c r="C221" s="140" t="s">
        <v>240</v>
      </c>
      <c r="D221" s="163" t="s">
        <v>264</v>
      </c>
      <c r="E221" s="26"/>
      <c r="F221" s="127"/>
      <c r="G221" s="26">
        <v>332.36</v>
      </c>
      <c r="H221" s="127"/>
      <c r="I221" s="514"/>
    </row>
    <row r="222" spans="1:9" ht="20.25" customHeight="1">
      <c r="A222" s="186"/>
      <c r="B222" s="17"/>
      <c r="C222" s="144" t="s">
        <v>218</v>
      </c>
      <c r="D222" s="163" t="s">
        <v>219</v>
      </c>
      <c r="E222" s="26">
        <v>500</v>
      </c>
      <c r="F222" s="127"/>
      <c r="G222" s="26">
        <v>0</v>
      </c>
      <c r="H222" s="127"/>
      <c r="I222" s="514"/>
    </row>
    <row r="223" spans="1:9" ht="85.5" customHeight="1">
      <c r="A223" s="186"/>
      <c r="B223" s="17"/>
      <c r="C223" s="145" t="s">
        <v>168</v>
      </c>
      <c r="D223" s="163" t="s">
        <v>677</v>
      </c>
      <c r="E223" s="26">
        <v>135915</v>
      </c>
      <c r="F223" s="127"/>
      <c r="G223" s="26">
        <v>0</v>
      </c>
      <c r="H223" s="127"/>
      <c r="I223" s="514"/>
    </row>
    <row r="224" spans="1:9" ht="84.75" customHeight="1">
      <c r="A224" s="186"/>
      <c r="B224" s="17"/>
      <c r="C224" s="137">
        <v>6207</v>
      </c>
      <c r="D224" s="163" t="s">
        <v>708</v>
      </c>
      <c r="E224" s="26">
        <f>10913694.17+1463846.37+104173.62</f>
        <v>12481714.159999998</v>
      </c>
      <c r="F224" s="127"/>
      <c r="G224" s="26">
        <v>4415984.83</v>
      </c>
      <c r="H224" s="127"/>
      <c r="I224" s="514">
        <f t="shared" si="3"/>
        <v>35.37963434663369</v>
      </c>
    </row>
    <row r="225" spans="1:9" ht="24" customHeight="1">
      <c r="A225" s="131">
        <v>926</v>
      </c>
      <c r="B225" s="10"/>
      <c r="C225" s="131"/>
      <c r="D225" s="171" t="s">
        <v>190</v>
      </c>
      <c r="E225" s="533">
        <f>E226+E229</f>
        <v>2742000</v>
      </c>
      <c r="F225" s="127"/>
      <c r="G225" s="533">
        <f>G226+G229</f>
        <v>1310723.4000000001</v>
      </c>
      <c r="H225" s="127"/>
      <c r="I225" s="641">
        <f t="shared" si="3"/>
        <v>47.80172866520788</v>
      </c>
    </row>
    <row r="226" spans="1:9" ht="24" customHeight="1">
      <c r="A226" s="192"/>
      <c r="B226" s="620">
        <v>92601</v>
      </c>
      <c r="C226" s="604"/>
      <c r="D226" s="609" t="s">
        <v>130</v>
      </c>
      <c r="E226" s="242">
        <f>SUM(E227:E228)</f>
        <v>0</v>
      </c>
      <c r="F226" s="233"/>
      <c r="G226" s="242">
        <f>SUM(G227:G228)</f>
        <v>16830</v>
      </c>
      <c r="H226" s="127"/>
      <c r="I226" s="514"/>
    </row>
    <row r="227" spans="1:9" ht="24" customHeight="1">
      <c r="A227" s="191"/>
      <c r="B227" s="18"/>
      <c r="C227" s="140" t="s">
        <v>363</v>
      </c>
      <c r="D227" s="163" t="s">
        <v>262</v>
      </c>
      <c r="E227" s="534"/>
      <c r="F227" s="127"/>
      <c r="G227" s="534">
        <v>12527.7</v>
      </c>
      <c r="H227" s="127"/>
      <c r="I227" s="514"/>
    </row>
    <row r="228" spans="1:9" ht="24" customHeight="1">
      <c r="A228" s="191"/>
      <c r="B228" s="5"/>
      <c r="C228" s="145" t="s">
        <v>240</v>
      </c>
      <c r="D228" s="163" t="s">
        <v>264</v>
      </c>
      <c r="E228" s="534"/>
      <c r="F228" s="127"/>
      <c r="G228" s="534">
        <v>4302.3</v>
      </c>
      <c r="H228" s="127"/>
      <c r="I228" s="514"/>
    </row>
    <row r="229" spans="1:9" s="53" customFormat="1" ht="22.5" customHeight="1">
      <c r="A229" s="185"/>
      <c r="B229" s="36">
        <v>92604</v>
      </c>
      <c r="C229" s="143"/>
      <c r="D229" s="197" t="s">
        <v>621</v>
      </c>
      <c r="E229" s="242">
        <f>SUM(E230:E235)</f>
        <v>2742000</v>
      </c>
      <c r="F229" s="233"/>
      <c r="G229" s="242">
        <f>SUM(G230:G235)</f>
        <v>1293893.4000000001</v>
      </c>
      <c r="H229" s="233"/>
      <c r="I229" s="514">
        <f t="shared" si="3"/>
        <v>47.18794310722102</v>
      </c>
    </row>
    <row r="230" spans="1:9" s="53" customFormat="1" ht="22.5" customHeight="1">
      <c r="A230" s="185"/>
      <c r="B230" s="30"/>
      <c r="C230" s="140" t="s">
        <v>349</v>
      </c>
      <c r="D230" s="163" t="s">
        <v>350</v>
      </c>
      <c r="E230" s="534">
        <v>8000</v>
      </c>
      <c r="F230" s="88"/>
      <c r="G230" s="534">
        <v>338.38</v>
      </c>
      <c r="H230" s="88"/>
      <c r="I230" s="514">
        <f t="shared" si="3"/>
        <v>4.22975</v>
      </c>
    </row>
    <row r="231" spans="1:9" ht="65.25" customHeight="1">
      <c r="A231" s="186"/>
      <c r="B231" s="17"/>
      <c r="C231" s="870" t="s">
        <v>355</v>
      </c>
      <c r="D231" s="173" t="s">
        <v>232</v>
      </c>
      <c r="E231" s="128">
        <v>555000</v>
      </c>
      <c r="F231" s="127"/>
      <c r="G231" s="128">
        <v>218320.36</v>
      </c>
      <c r="H231" s="127"/>
      <c r="I231" s="645">
        <f t="shared" si="3"/>
        <v>39.337001801801804</v>
      </c>
    </row>
    <row r="232" spans="1:9" ht="18.75" customHeight="1">
      <c r="A232" s="186"/>
      <c r="B232" s="17"/>
      <c r="C232" s="145" t="s">
        <v>352</v>
      </c>
      <c r="D232" s="163" t="s">
        <v>353</v>
      </c>
      <c r="E232" s="26">
        <v>2078000</v>
      </c>
      <c r="F232" s="127"/>
      <c r="G232" s="26">
        <v>980137.24</v>
      </c>
      <c r="H232" s="127"/>
      <c r="I232" s="514">
        <f t="shared" si="3"/>
        <v>47.16733589990375</v>
      </c>
    </row>
    <row r="233" spans="1:9" ht="27" customHeight="1">
      <c r="A233" s="186"/>
      <c r="B233" s="17"/>
      <c r="C233" s="140" t="s">
        <v>544</v>
      </c>
      <c r="D233" s="163" t="s">
        <v>100</v>
      </c>
      <c r="E233" s="26"/>
      <c r="F233" s="127"/>
      <c r="G233" s="26">
        <v>97.85</v>
      </c>
      <c r="H233" s="127"/>
      <c r="I233" s="514"/>
    </row>
    <row r="234" spans="1:9" ht="18.75" customHeight="1">
      <c r="A234" s="186"/>
      <c r="B234" s="17"/>
      <c r="C234" s="145" t="s">
        <v>240</v>
      </c>
      <c r="D234" s="163" t="s">
        <v>264</v>
      </c>
      <c r="E234" s="26">
        <v>1000</v>
      </c>
      <c r="F234" s="127"/>
      <c r="G234" s="26">
        <v>215.29</v>
      </c>
      <c r="H234" s="127"/>
      <c r="I234" s="514">
        <f t="shared" si="3"/>
        <v>21.528999999999996</v>
      </c>
    </row>
    <row r="235" spans="1:9" ht="21.75" customHeight="1">
      <c r="A235" s="142"/>
      <c r="B235" s="17"/>
      <c r="C235" s="145" t="s">
        <v>218</v>
      </c>
      <c r="D235" s="163" t="s">
        <v>219</v>
      </c>
      <c r="E235" s="26">
        <v>100000</v>
      </c>
      <c r="F235" s="88"/>
      <c r="G235" s="26">
        <v>94784.28</v>
      </c>
      <c r="H235" s="88"/>
      <c r="I235" s="514">
        <f t="shared" si="3"/>
        <v>94.78428</v>
      </c>
    </row>
    <row r="236" spans="1:10" ht="24" customHeight="1">
      <c r="A236" s="218" t="s">
        <v>622</v>
      </c>
      <c r="B236" s="219"/>
      <c r="C236" s="220"/>
      <c r="D236" s="221"/>
      <c r="E236" s="212">
        <f>E13+E16+E22+E36+E40+E50+E55+E59+E95+E110+E145+E154+E191+E201+E206+E225</f>
        <v>305194081.35</v>
      </c>
      <c r="F236" s="212">
        <f>F13+F16+F22+F36+F40+F50+F55+F59+F95+F110+F145+F154+F191+F201+F206+F225</f>
        <v>22044571.81</v>
      </c>
      <c r="G236" s="212">
        <f>G13+G16+G22+G36+G40+G50+G55+G59+G95+G110+G145+G154+G191+G201+G206+G225</f>
        <v>160092430.76999998</v>
      </c>
      <c r="H236" s="212">
        <f>H13+H16+H22+H36+H40+H50+H55+H59+H95+H110+H145+H154+H191+H201+H206+H225</f>
        <v>12738017.22</v>
      </c>
      <c r="I236" s="642">
        <f t="shared" si="3"/>
        <v>52.45594215387296</v>
      </c>
      <c r="J236" s="50"/>
    </row>
    <row r="237" spans="1:10" ht="27" customHeight="1">
      <c r="A237" s="182" t="s">
        <v>135</v>
      </c>
      <c r="B237" s="14"/>
      <c r="C237" s="138"/>
      <c r="D237" s="176"/>
      <c r="E237" s="41"/>
      <c r="F237" s="41"/>
      <c r="G237" s="41"/>
      <c r="H237" s="41"/>
      <c r="I237" s="643"/>
      <c r="J237" s="50"/>
    </row>
    <row r="238" spans="1:9" ht="21" customHeight="1">
      <c r="A238" s="190" t="s">
        <v>317</v>
      </c>
      <c r="B238" s="68"/>
      <c r="C238" s="5"/>
      <c r="D238" s="200" t="s">
        <v>318</v>
      </c>
      <c r="E238" s="128">
        <f>E239</f>
        <v>1200</v>
      </c>
      <c r="F238" s="127"/>
      <c r="G238" s="128">
        <f>G239</f>
        <v>0</v>
      </c>
      <c r="H238" s="127"/>
      <c r="I238" s="644"/>
    </row>
    <row r="239" spans="1:9" ht="22.5" customHeight="1">
      <c r="A239" s="183"/>
      <c r="B239" s="99" t="s">
        <v>319</v>
      </c>
      <c r="C239" s="24"/>
      <c r="D239" s="175" t="s">
        <v>250</v>
      </c>
      <c r="E239" s="28">
        <f>E240</f>
        <v>1200</v>
      </c>
      <c r="F239" s="233"/>
      <c r="G239" s="28">
        <f>G240</f>
        <v>0</v>
      </c>
      <c r="H239" s="551"/>
      <c r="I239" s="642"/>
    </row>
    <row r="240" spans="1:9" ht="64.5" customHeight="1">
      <c r="A240" s="184"/>
      <c r="B240" s="11"/>
      <c r="C240" s="145" t="s">
        <v>355</v>
      </c>
      <c r="D240" s="163" t="s">
        <v>232</v>
      </c>
      <c r="E240" s="26">
        <v>1200</v>
      </c>
      <c r="F240" s="127"/>
      <c r="G240" s="26">
        <v>0</v>
      </c>
      <c r="H240" s="241"/>
      <c r="I240" s="645"/>
    </row>
    <row r="241" spans="1:9" ht="26.25" customHeight="1">
      <c r="A241" s="67">
        <v>600</v>
      </c>
      <c r="B241" s="68"/>
      <c r="C241" s="10"/>
      <c r="D241" s="200" t="s">
        <v>210</v>
      </c>
      <c r="E241" s="84">
        <f>E242</f>
        <v>100000</v>
      </c>
      <c r="F241" s="127"/>
      <c r="G241" s="84">
        <f>G242</f>
        <v>0</v>
      </c>
      <c r="H241" s="127"/>
      <c r="I241" s="646"/>
    </row>
    <row r="242" spans="1:9" s="53" customFormat="1" ht="30.75" customHeight="1">
      <c r="A242" s="97"/>
      <c r="B242" s="46">
        <v>60015</v>
      </c>
      <c r="C242" s="24"/>
      <c r="D242" s="175" t="s">
        <v>556</v>
      </c>
      <c r="E242" s="28">
        <f>SUM(E243:E243)</f>
        <v>100000</v>
      </c>
      <c r="F242" s="233"/>
      <c r="G242" s="28">
        <f>SUM(G243:G243)</f>
        <v>0</v>
      </c>
      <c r="H242" s="551"/>
      <c r="I242" s="642"/>
    </row>
    <row r="243" spans="1:9" ht="27.75" customHeight="1">
      <c r="A243" s="247"/>
      <c r="B243" s="5"/>
      <c r="C243" s="140" t="s">
        <v>363</v>
      </c>
      <c r="D243" s="163" t="s">
        <v>262</v>
      </c>
      <c r="E243" s="26">
        <v>100000</v>
      </c>
      <c r="F243" s="88"/>
      <c r="G243" s="26">
        <v>0</v>
      </c>
      <c r="H243" s="128"/>
      <c r="I243" s="645"/>
    </row>
    <row r="244" spans="1:9" ht="25.5" customHeight="1">
      <c r="A244" s="141">
        <v>700</v>
      </c>
      <c r="B244" s="6"/>
      <c r="C244" s="131"/>
      <c r="D244" s="196" t="s">
        <v>277</v>
      </c>
      <c r="E244" s="33">
        <f>E245</f>
        <v>893228</v>
      </c>
      <c r="F244" s="126">
        <f>F245</f>
        <v>113978</v>
      </c>
      <c r="G244" s="33">
        <f>G245</f>
        <v>854504.8</v>
      </c>
      <c r="H244" s="126">
        <f>H245</f>
        <v>50738</v>
      </c>
      <c r="I244" s="647">
        <f t="shared" si="3"/>
        <v>95.66480226773008</v>
      </c>
    </row>
    <row r="245" spans="1:9" s="53" customFormat="1" ht="23.25" customHeight="1">
      <c r="A245" s="185"/>
      <c r="B245" s="23">
        <v>70005</v>
      </c>
      <c r="C245" s="139"/>
      <c r="D245" s="197" t="s">
        <v>249</v>
      </c>
      <c r="E245" s="91">
        <f>SUM(E246:E247)</f>
        <v>893228</v>
      </c>
      <c r="F245" s="232">
        <f>SUM(F246:F247)</f>
        <v>113978</v>
      </c>
      <c r="G245" s="91">
        <f>SUM(G246:G247)</f>
        <v>854504.8</v>
      </c>
      <c r="H245" s="232">
        <f>SUM(H246:H247)</f>
        <v>50738</v>
      </c>
      <c r="I245" s="514">
        <f t="shared" si="3"/>
        <v>95.66480226773008</v>
      </c>
    </row>
    <row r="246" spans="1:9" ht="60" customHeight="1">
      <c r="A246" s="186"/>
      <c r="B246" s="9"/>
      <c r="C246" s="140">
        <v>2110</v>
      </c>
      <c r="D246" s="163" t="s">
        <v>623</v>
      </c>
      <c r="E246" s="52">
        <v>113978</v>
      </c>
      <c r="F246" s="181">
        <v>113978</v>
      </c>
      <c r="G246" s="52">
        <v>50738</v>
      </c>
      <c r="H246" s="181">
        <v>50738</v>
      </c>
      <c r="I246" s="514">
        <f t="shared" si="3"/>
        <v>44.515608275281195</v>
      </c>
    </row>
    <row r="247" spans="1:9" ht="49.5" customHeight="1">
      <c r="A247" s="186"/>
      <c r="B247" s="9"/>
      <c r="C247" s="140">
        <v>2360</v>
      </c>
      <c r="D247" s="163" t="s">
        <v>243</v>
      </c>
      <c r="E247" s="88">
        <v>779250</v>
      </c>
      <c r="F247" s="228"/>
      <c r="G247" s="88">
        <v>803766.8</v>
      </c>
      <c r="H247" s="228"/>
      <c r="I247" s="514">
        <f t="shared" si="3"/>
        <v>103.14620468399103</v>
      </c>
    </row>
    <row r="248" spans="1:9" ht="21.75" customHeight="1">
      <c r="A248" s="131">
        <v>710</v>
      </c>
      <c r="B248" s="11"/>
      <c r="C248" s="131"/>
      <c r="D248" s="171" t="s">
        <v>259</v>
      </c>
      <c r="E248" s="33">
        <f>E249+E251+E253+E255</f>
        <v>809200</v>
      </c>
      <c r="F248" s="33">
        <f>F249+F251+F253+F255</f>
        <v>449200</v>
      </c>
      <c r="G248" s="33">
        <f>G249+G251+G253+G255</f>
        <v>386738.51</v>
      </c>
      <c r="H248" s="33">
        <f>H249+H251+H253+H255</f>
        <v>189500</v>
      </c>
      <c r="I248" s="641">
        <f t="shared" si="3"/>
        <v>47.792697726149285</v>
      </c>
    </row>
    <row r="249" spans="1:9" s="53" customFormat="1" ht="22.5" customHeight="1">
      <c r="A249" s="185"/>
      <c r="B249" s="24">
        <v>71012</v>
      </c>
      <c r="C249" s="139"/>
      <c r="D249" s="175" t="s">
        <v>140</v>
      </c>
      <c r="E249" s="28">
        <f>SUM(E250:F250)</f>
        <v>360000</v>
      </c>
      <c r="F249" s="167"/>
      <c r="G249" s="28">
        <f>SUM(G250:H250)</f>
        <v>197237.93</v>
      </c>
      <c r="H249" s="167"/>
      <c r="I249" s="514">
        <f t="shared" si="3"/>
        <v>54.78831388888889</v>
      </c>
    </row>
    <row r="250" spans="1:9" ht="23.25" customHeight="1">
      <c r="A250" s="191"/>
      <c r="B250" s="51"/>
      <c r="C250" s="144" t="s">
        <v>349</v>
      </c>
      <c r="D250" s="163" t="s">
        <v>350</v>
      </c>
      <c r="E250" s="129">
        <v>360000</v>
      </c>
      <c r="F250" s="127"/>
      <c r="G250" s="129">
        <v>197237.93</v>
      </c>
      <c r="H250" s="127"/>
      <c r="I250" s="514">
        <f t="shared" si="3"/>
        <v>54.78831388888889</v>
      </c>
    </row>
    <row r="251" spans="1:9" s="53" customFormat="1" ht="24.75" customHeight="1">
      <c r="A251" s="185"/>
      <c r="B251" s="24">
        <v>71013</v>
      </c>
      <c r="C251" s="139"/>
      <c r="D251" s="197" t="s">
        <v>590</v>
      </c>
      <c r="E251" s="91">
        <f>E252</f>
        <v>100000</v>
      </c>
      <c r="F251" s="91">
        <f>F252</f>
        <v>100000</v>
      </c>
      <c r="G251" s="91">
        <f>G252</f>
        <v>0</v>
      </c>
      <c r="H251" s="91">
        <f>H252</f>
        <v>0</v>
      </c>
      <c r="I251" s="514">
        <f t="shared" si="3"/>
        <v>0</v>
      </c>
    </row>
    <row r="252" spans="1:9" ht="53.25" customHeight="1">
      <c r="A252" s="186"/>
      <c r="B252" s="9"/>
      <c r="C252" s="140">
        <v>2110</v>
      </c>
      <c r="D252" s="163" t="s">
        <v>623</v>
      </c>
      <c r="E252" s="52">
        <v>100000</v>
      </c>
      <c r="F252" s="228">
        <v>100000</v>
      </c>
      <c r="G252" s="52">
        <v>0</v>
      </c>
      <c r="H252" s="228"/>
      <c r="I252" s="514">
        <f t="shared" si="3"/>
        <v>0</v>
      </c>
    </row>
    <row r="253" spans="1:9" s="53" customFormat="1" ht="24.75" customHeight="1">
      <c r="A253" s="185"/>
      <c r="B253" s="24">
        <v>71014</v>
      </c>
      <c r="C253" s="139"/>
      <c r="D253" s="197" t="s">
        <v>591</v>
      </c>
      <c r="E253" s="91">
        <f>E254</f>
        <v>10000</v>
      </c>
      <c r="F253" s="232">
        <f>F254</f>
        <v>10000</v>
      </c>
      <c r="G253" s="91">
        <f>G254</f>
        <v>7000</v>
      </c>
      <c r="H253" s="232">
        <f>H254</f>
        <v>7000</v>
      </c>
      <c r="I253" s="514">
        <f t="shared" si="3"/>
        <v>70</v>
      </c>
    </row>
    <row r="254" spans="1:9" ht="45.75" customHeight="1">
      <c r="A254" s="186"/>
      <c r="B254" s="12"/>
      <c r="C254" s="140">
        <v>2110</v>
      </c>
      <c r="D254" s="163" t="s">
        <v>623</v>
      </c>
      <c r="E254" s="52">
        <v>10000</v>
      </c>
      <c r="F254" s="228">
        <v>10000</v>
      </c>
      <c r="G254" s="52">
        <v>7000</v>
      </c>
      <c r="H254" s="228">
        <v>7000</v>
      </c>
      <c r="I254" s="514">
        <f t="shared" si="3"/>
        <v>70</v>
      </c>
    </row>
    <row r="255" spans="1:9" s="53" customFormat="1" ht="22.5" customHeight="1">
      <c r="A255" s="185"/>
      <c r="B255" s="23">
        <v>71015</v>
      </c>
      <c r="C255" s="139"/>
      <c r="D255" s="197" t="s">
        <v>592</v>
      </c>
      <c r="E255" s="91">
        <f>E256+E257</f>
        <v>339200</v>
      </c>
      <c r="F255" s="91">
        <f>F256+F257</f>
        <v>339200</v>
      </c>
      <c r="G255" s="91">
        <f>G256+G257</f>
        <v>182500.58</v>
      </c>
      <c r="H255" s="91">
        <f>H256+H257</f>
        <v>182500</v>
      </c>
      <c r="I255" s="514">
        <f t="shared" si="3"/>
        <v>53.803237028301886</v>
      </c>
    </row>
    <row r="256" spans="1:9" ht="54" customHeight="1">
      <c r="A256" s="186"/>
      <c r="B256" s="9"/>
      <c r="C256" s="142">
        <v>2110</v>
      </c>
      <c r="D256" s="173" t="s">
        <v>623</v>
      </c>
      <c r="E256" s="52">
        <v>339200</v>
      </c>
      <c r="F256" s="181">
        <v>339200</v>
      </c>
      <c r="G256" s="52">
        <v>182500</v>
      </c>
      <c r="H256" s="181">
        <v>182500</v>
      </c>
      <c r="I256" s="514">
        <f t="shared" si="3"/>
        <v>53.803066037735846</v>
      </c>
    </row>
    <row r="257" spans="1:9" ht="50.25" customHeight="1">
      <c r="A257" s="186"/>
      <c r="B257" s="9"/>
      <c r="C257" s="140">
        <v>2360</v>
      </c>
      <c r="D257" s="163" t="s">
        <v>243</v>
      </c>
      <c r="E257" s="88"/>
      <c r="F257" s="228"/>
      <c r="G257" s="88">
        <v>0.58</v>
      </c>
      <c r="H257" s="228"/>
      <c r="I257" s="514"/>
    </row>
    <row r="258" spans="1:9" ht="24.75" customHeight="1">
      <c r="A258" s="131">
        <v>750</v>
      </c>
      <c r="B258" s="10"/>
      <c r="C258" s="141"/>
      <c r="D258" s="196" t="s">
        <v>251</v>
      </c>
      <c r="E258" s="33">
        <f>E259+E261+E263</f>
        <v>205887</v>
      </c>
      <c r="F258" s="234">
        <f>F259+F261+F263</f>
        <v>167887</v>
      </c>
      <c r="G258" s="33">
        <f>G259+G261+G263</f>
        <v>106749.13</v>
      </c>
      <c r="H258" s="234">
        <f>H259+H261+H263</f>
        <v>87454.13</v>
      </c>
      <c r="I258" s="641">
        <f t="shared" si="3"/>
        <v>51.848407135953224</v>
      </c>
    </row>
    <row r="259" spans="1:9" s="53" customFormat="1" ht="25.5" customHeight="1">
      <c r="A259" s="185"/>
      <c r="B259" s="23">
        <v>75011</v>
      </c>
      <c r="C259" s="148"/>
      <c r="D259" s="197" t="s">
        <v>348</v>
      </c>
      <c r="E259" s="91">
        <f>E260</f>
        <v>144887</v>
      </c>
      <c r="F259" s="232">
        <f>F260</f>
        <v>144887</v>
      </c>
      <c r="G259" s="91">
        <f>G260</f>
        <v>68412</v>
      </c>
      <c r="H259" s="232">
        <f>H260</f>
        <v>68412</v>
      </c>
      <c r="I259" s="514">
        <f t="shared" si="3"/>
        <v>47.21748673103867</v>
      </c>
    </row>
    <row r="260" spans="1:9" ht="49.5" customHeight="1">
      <c r="A260" s="186"/>
      <c r="B260" s="9"/>
      <c r="C260" s="140">
        <v>2110</v>
      </c>
      <c r="D260" s="163" t="s">
        <v>623</v>
      </c>
      <c r="E260" s="52">
        <v>144887</v>
      </c>
      <c r="F260" s="52">
        <v>144887</v>
      </c>
      <c r="G260" s="52">
        <v>68412</v>
      </c>
      <c r="H260" s="52">
        <v>68412</v>
      </c>
      <c r="I260" s="514">
        <f t="shared" si="3"/>
        <v>47.21748673103867</v>
      </c>
    </row>
    <row r="261" spans="1:9" s="53" customFormat="1" ht="20.25" customHeight="1">
      <c r="A261" s="185"/>
      <c r="B261" s="23">
        <v>75020</v>
      </c>
      <c r="C261" s="139"/>
      <c r="D261" s="197" t="s">
        <v>593</v>
      </c>
      <c r="E261" s="91">
        <f>E262</f>
        <v>35000</v>
      </c>
      <c r="F261" s="230"/>
      <c r="G261" s="91">
        <f>G262</f>
        <v>16370</v>
      </c>
      <c r="H261" s="230"/>
      <c r="I261" s="514">
        <f t="shared" si="3"/>
        <v>46.77142857142857</v>
      </c>
    </row>
    <row r="262" spans="1:9" ht="22.5" customHeight="1">
      <c r="A262" s="186"/>
      <c r="B262" s="9"/>
      <c r="C262" s="140" t="s">
        <v>349</v>
      </c>
      <c r="D262" s="163" t="s">
        <v>350</v>
      </c>
      <c r="E262" s="52">
        <v>35000</v>
      </c>
      <c r="F262" s="228"/>
      <c r="G262" s="52">
        <v>16370</v>
      </c>
      <c r="H262" s="228"/>
      <c r="I262" s="514">
        <f t="shared" si="3"/>
        <v>46.77142857142857</v>
      </c>
    </row>
    <row r="263" spans="1:9" s="53" customFormat="1" ht="21.75" customHeight="1">
      <c r="A263" s="185"/>
      <c r="B263" s="23">
        <v>75045</v>
      </c>
      <c r="C263" s="139"/>
      <c r="D263" s="197" t="s">
        <v>367</v>
      </c>
      <c r="E263" s="91">
        <f>SUM(E264:E265)</f>
        <v>26000</v>
      </c>
      <c r="F263" s="232">
        <f>SUM(F264:F265)</f>
        <v>23000</v>
      </c>
      <c r="G263" s="91">
        <f>SUM(G264:G265)</f>
        <v>21967.13</v>
      </c>
      <c r="H263" s="232">
        <f>SUM(H264:H265)</f>
        <v>19042.13</v>
      </c>
      <c r="I263" s="514">
        <f t="shared" si="3"/>
        <v>84.48896153846154</v>
      </c>
    </row>
    <row r="264" spans="1:9" ht="55.5" customHeight="1">
      <c r="A264" s="186"/>
      <c r="B264" s="15"/>
      <c r="C264" s="140">
        <v>2110</v>
      </c>
      <c r="D264" s="163" t="s">
        <v>623</v>
      </c>
      <c r="E264" s="52">
        <v>23000</v>
      </c>
      <c r="F264" s="181">
        <v>23000</v>
      </c>
      <c r="G264" s="52">
        <v>19042.13</v>
      </c>
      <c r="H264" s="181">
        <v>19042.13</v>
      </c>
      <c r="I264" s="514">
        <f t="shared" si="3"/>
        <v>82.7918695652174</v>
      </c>
    </row>
    <row r="265" spans="1:9" ht="51.75" customHeight="1">
      <c r="A265" s="186"/>
      <c r="B265" s="9"/>
      <c r="C265" s="140">
        <v>2120</v>
      </c>
      <c r="D265" s="202" t="s">
        <v>594</v>
      </c>
      <c r="E265" s="52">
        <v>3000</v>
      </c>
      <c r="F265" s="228"/>
      <c r="G265" s="52">
        <v>2925</v>
      </c>
      <c r="H265" s="228"/>
      <c r="I265" s="514">
        <f t="shared" si="3"/>
        <v>97.5</v>
      </c>
    </row>
    <row r="266" spans="1:9" ht="27.75" customHeight="1">
      <c r="A266" s="147">
        <v>754</v>
      </c>
      <c r="B266" s="11"/>
      <c r="C266" s="131"/>
      <c r="D266" s="171" t="s">
        <v>252</v>
      </c>
      <c r="E266" s="33">
        <f>E267</f>
        <v>10580481.15</v>
      </c>
      <c r="F266" s="33">
        <f>F267</f>
        <v>10580000</v>
      </c>
      <c r="G266" s="33">
        <f>G267</f>
        <v>6055520.8</v>
      </c>
      <c r="H266" s="33">
        <f>H267</f>
        <v>6055162</v>
      </c>
      <c r="I266" s="641">
        <f t="shared" si="3"/>
        <v>57.232943513159604</v>
      </c>
    </row>
    <row r="267" spans="1:9" s="53" customFormat="1" ht="25.5" customHeight="1">
      <c r="A267" s="143"/>
      <c r="B267" s="23">
        <v>75411</v>
      </c>
      <c r="C267" s="143"/>
      <c r="D267" s="197" t="s">
        <v>276</v>
      </c>
      <c r="E267" s="91">
        <f>SUM(E268:E270)</f>
        <v>10580481.15</v>
      </c>
      <c r="F267" s="91">
        <f>SUM(F268:F270)</f>
        <v>10580000</v>
      </c>
      <c r="G267" s="91">
        <f>SUM(G268:G270)</f>
        <v>6055520.8</v>
      </c>
      <c r="H267" s="91">
        <f>SUM(H268:H270)</f>
        <v>6055162</v>
      </c>
      <c r="I267" s="514">
        <f t="shared" si="3"/>
        <v>57.232943513159604</v>
      </c>
    </row>
    <row r="268" spans="1:9" ht="49.5" customHeight="1">
      <c r="A268" s="186"/>
      <c r="B268" s="17"/>
      <c r="C268" s="140">
        <v>2110</v>
      </c>
      <c r="D268" s="176" t="s">
        <v>623</v>
      </c>
      <c r="E268" s="52">
        <v>10100000</v>
      </c>
      <c r="F268" s="181">
        <v>10100000</v>
      </c>
      <c r="G268" s="52">
        <v>6054670</v>
      </c>
      <c r="H268" s="181">
        <v>6054670</v>
      </c>
      <c r="I268" s="514">
        <f t="shared" si="3"/>
        <v>59.947227722772276</v>
      </c>
    </row>
    <row r="269" spans="1:9" ht="55.5" customHeight="1">
      <c r="A269" s="186"/>
      <c r="B269" s="17"/>
      <c r="C269" s="144">
        <v>2360</v>
      </c>
      <c r="D269" s="163" t="s">
        <v>243</v>
      </c>
      <c r="E269" s="52">
        <v>481.15</v>
      </c>
      <c r="F269" s="178"/>
      <c r="G269" s="52">
        <v>358.8</v>
      </c>
      <c r="H269" s="178"/>
      <c r="I269" s="514">
        <f aca="true" t="shared" si="4" ref="I269:I349">G269/E269*100</f>
        <v>74.5713394991167</v>
      </c>
    </row>
    <row r="270" spans="1:9" ht="59.25" customHeight="1">
      <c r="A270" s="142"/>
      <c r="B270" s="17"/>
      <c r="C270" s="144" t="s">
        <v>337</v>
      </c>
      <c r="D270" s="173" t="s">
        <v>126</v>
      </c>
      <c r="E270" s="52">
        <v>480000</v>
      </c>
      <c r="F270" s="178">
        <v>480000</v>
      </c>
      <c r="G270" s="52">
        <v>492</v>
      </c>
      <c r="H270" s="178">
        <v>492</v>
      </c>
      <c r="I270" s="514">
        <f t="shared" si="4"/>
        <v>0.10250000000000001</v>
      </c>
    </row>
    <row r="271" spans="1:9" ht="49.5" customHeight="1">
      <c r="A271" s="141">
        <v>756</v>
      </c>
      <c r="B271" s="11"/>
      <c r="C271" s="131"/>
      <c r="D271" s="171" t="s">
        <v>199</v>
      </c>
      <c r="E271" s="84">
        <f>E272+E278</f>
        <v>20812049</v>
      </c>
      <c r="F271" s="73"/>
      <c r="G271" s="84">
        <f>G272+G278</f>
        <v>9221896.73</v>
      </c>
      <c r="H271" s="73"/>
      <c r="I271" s="641">
        <f t="shared" si="4"/>
        <v>44.310373908883264</v>
      </c>
    </row>
    <row r="272" spans="1:9" s="53" customFormat="1" ht="42" customHeight="1">
      <c r="A272" s="185"/>
      <c r="B272" s="29">
        <v>75618</v>
      </c>
      <c r="C272" s="139"/>
      <c r="D272" s="197" t="s">
        <v>163</v>
      </c>
      <c r="E272" s="248">
        <f>SUM(E273:E277)</f>
        <v>2967500</v>
      </c>
      <c r="F272" s="233"/>
      <c r="G272" s="248">
        <f>SUM(G273:G277)</f>
        <v>1311318.99</v>
      </c>
      <c r="H272" s="233"/>
      <c r="I272" s="514">
        <f t="shared" si="4"/>
        <v>44.189350968828975</v>
      </c>
    </row>
    <row r="273" spans="1:9" ht="18" customHeight="1">
      <c r="A273" s="189"/>
      <c r="B273" s="13"/>
      <c r="C273" s="144" t="s">
        <v>595</v>
      </c>
      <c r="D273" s="163" t="s">
        <v>596</v>
      </c>
      <c r="E273" s="26">
        <v>1900000</v>
      </c>
      <c r="F273" s="127"/>
      <c r="G273" s="26">
        <v>787475.25</v>
      </c>
      <c r="H273" s="127"/>
      <c r="I273" s="514">
        <f t="shared" si="4"/>
        <v>41.446065789473685</v>
      </c>
    </row>
    <row r="274" spans="1:9" ht="31.5" customHeight="1">
      <c r="A274" s="189"/>
      <c r="B274" s="7"/>
      <c r="C274" s="144" t="s">
        <v>167</v>
      </c>
      <c r="D274" s="163" t="s">
        <v>169</v>
      </c>
      <c r="E274" s="26">
        <f>20000+820000+220000</f>
        <v>1060000</v>
      </c>
      <c r="F274" s="127"/>
      <c r="G274" s="26">
        <v>518270.48</v>
      </c>
      <c r="H274" s="127"/>
      <c r="I274" s="514">
        <f t="shared" si="4"/>
        <v>48.89344150943396</v>
      </c>
    </row>
    <row r="275" spans="1:9" ht="17.25" customHeight="1">
      <c r="A275" s="189"/>
      <c r="B275" s="7"/>
      <c r="C275" s="144" t="s">
        <v>349</v>
      </c>
      <c r="D275" s="163" t="s">
        <v>350</v>
      </c>
      <c r="E275" s="26">
        <v>6000</v>
      </c>
      <c r="F275" s="127"/>
      <c r="G275" s="26">
        <v>5139.93</v>
      </c>
      <c r="H275" s="127"/>
      <c r="I275" s="514">
        <f t="shared" si="4"/>
        <v>85.66550000000001</v>
      </c>
    </row>
    <row r="276" spans="1:9" ht="24.75" customHeight="1">
      <c r="A276" s="189"/>
      <c r="B276" s="7"/>
      <c r="C276" s="145" t="s">
        <v>364</v>
      </c>
      <c r="D276" s="163" t="s">
        <v>239</v>
      </c>
      <c r="E276" s="26">
        <v>500</v>
      </c>
      <c r="F276" s="127"/>
      <c r="G276" s="26">
        <v>99.59</v>
      </c>
      <c r="H276" s="127"/>
      <c r="I276" s="514">
        <f t="shared" si="4"/>
        <v>19.918</v>
      </c>
    </row>
    <row r="277" spans="1:9" ht="20.25" customHeight="1">
      <c r="A277" s="189"/>
      <c r="B277" s="1"/>
      <c r="C277" s="145" t="s">
        <v>240</v>
      </c>
      <c r="D277" s="163" t="s">
        <v>264</v>
      </c>
      <c r="E277" s="26">
        <v>1000</v>
      </c>
      <c r="F277" s="127"/>
      <c r="G277" s="26">
        <v>333.74</v>
      </c>
      <c r="H277" s="127"/>
      <c r="I277" s="514">
        <f t="shared" si="4"/>
        <v>33.374</v>
      </c>
    </row>
    <row r="278" spans="1:9" s="53" customFormat="1" ht="24.75" customHeight="1">
      <c r="A278" s="185"/>
      <c r="B278" s="29">
        <v>75622</v>
      </c>
      <c r="C278" s="139"/>
      <c r="D278" s="197" t="s">
        <v>597</v>
      </c>
      <c r="E278" s="28">
        <f>SUM(E279:E280)</f>
        <v>17844549</v>
      </c>
      <c r="F278" s="233"/>
      <c r="G278" s="28">
        <f>SUM(G279:G280)</f>
        <v>7910577.74</v>
      </c>
      <c r="H278" s="233"/>
      <c r="I278" s="514">
        <f t="shared" si="4"/>
        <v>44.33049969489282</v>
      </c>
    </row>
    <row r="279" spans="1:9" ht="21" customHeight="1">
      <c r="A279" s="186"/>
      <c r="B279" s="15"/>
      <c r="C279" s="144" t="s">
        <v>171</v>
      </c>
      <c r="D279" s="163" t="s">
        <v>356</v>
      </c>
      <c r="E279" s="26">
        <v>17014549</v>
      </c>
      <c r="F279" s="127"/>
      <c r="G279" s="26">
        <v>7633078</v>
      </c>
      <c r="H279" s="127"/>
      <c r="I279" s="514">
        <f t="shared" si="4"/>
        <v>44.86206481288455</v>
      </c>
    </row>
    <row r="280" spans="1:9" ht="23.25" customHeight="1">
      <c r="A280" s="186"/>
      <c r="B280" s="19"/>
      <c r="C280" s="144" t="s">
        <v>357</v>
      </c>
      <c r="D280" s="163" t="s">
        <v>598</v>
      </c>
      <c r="E280" s="26">
        <v>830000</v>
      </c>
      <c r="F280" s="127"/>
      <c r="G280" s="26">
        <v>277499.74</v>
      </c>
      <c r="H280" s="127"/>
      <c r="I280" s="514">
        <f t="shared" si="4"/>
        <v>33.43370361445783</v>
      </c>
    </row>
    <row r="281" spans="1:9" ht="22.5" customHeight="1">
      <c r="A281" s="131">
        <v>758</v>
      </c>
      <c r="B281" s="20"/>
      <c r="C281" s="131"/>
      <c r="D281" s="171" t="s">
        <v>253</v>
      </c>
      <c r="E281" s="84">
        <f>E282+E284</f>
        <v>69719171</v>
      </c>
      <c r="F281" s="127"/>
      <c r="G281" s="84">
        <f>G282+G284</f>
        <v>42183940</v>
      </c>
      <c r="H281" s="127"/>
      <c r="I281" s="641">
        <f t="shared" si="4"/>
        <v>60.50551002679019</v>
      </c>
    </row>
    <row r="282" spans="1:9" s="53" customFormat="1" ht="27" customHeight="1">
      <c r="A282" s="185"/>
      <c r="B282" s="23">
        <v>75801</v>
      </c>
      <c r="C282" s="139"/>
      <c r="D282" s="197" t="s">
        <v>359</v>
      </c>
      <c r="E282" s="28">
        <f>E283</f>
        <v>63477755</v>
      </c>
      <c r="F282" s="233"/>
      <c r="G282" s="28">
        <f>G283</f>
        <v>39063232</v>
      </c>
      <c r="H282" s="233"/>
      <c r="I282" s="514">
        <f t="shared" si="4"/>
        <v>61.538458630113816</v>
      </c>
    </row>
    <row r="283" spans="1:9" ht="21" customHeight="1">
      <c r="A283" s="186"/>
      <c r="B283" s="9"/>
      <c r="C283" s="137">
        <v>2920</v>
      </c>
      <c r="D283" s="163" t="s">
        <v>360</v>
      </c>
      <c r="E283" s="26">
        <v>63477755</v>
      </c>
      <c r="F283" s="127"/>
      <c r="G283" s="26">
        <v>39063232</v>
      </c>
      <c r="H283" s="127"/>
      <c r="I283" s="514">
        <f t="shared" si="4"/>
        <v>61.538458630113816</v>
      </c>
    </row>
    <row r="284" spans="1:9" s="53" customFormat="1" ht="24" customHeight="1">
      <c r="A284" s="185"/>
      <c r="B284" s="23">
        <v>75832</v>
      </c>
      <c r="C284" s="139"/>
      <c r="D284" s="197" t="s">
        <v>136</v>
      </c>
      <c r="E284" s="28">
        <f>E285</f>
        <v>6241416</v>
      </c>
      <c r="F284" s="233"/>
      <c r="G284" s="28">
        <f>G285</f>
        <v>3120708</v>
      </c>
      <c r="H284" s="233"/>
      <c r="I284" s="514">
        <f t="shared" si="4"/>
        <v>50</v>
      </c>
    </row>
    <row r="285" spans="1:9" ht="24.75" customHeight="1">
      <c r="A285" s="186"/>
      <c r="B285" s="9"/>
      <c r="C285" s="140">
        <v>2920</v>
      </c>
      <c r="D285" s="163" t="s">
        <v>360</v>
      </c>
      <c r="E285" s="26">
        <v>6241416</v>
      </c>
      <c r="F285" s="127"/>
      <c r="G285" s="26">
        <v>3120708</v>
      </c>
      <c r="H285" s="127"/>
      <c r="I285" s="514">
        <f t="shared" si="4"/>
        <v>50</v>
      </c>
    </row>
    <row r="286" spans="1:10" ht="25.5" customHeight="1">
      <c r="A286" s="131">
        <v>801</v>
      </c>
      <c r="B286" s="11"/>
      <c r="C286" s="131"/>
      <c r="D286" s="171" t="s">
        <v>255</v>
      </c>
      <c r="E286" s="533">
        <f>E287+E289+E291+E296+E301+E308+E314+E316+E319+E323</f>
        <v>2375472.77</v>
      </c>
      <c r="F286" s="533"/>
      <c r="G286" s="533">
        <f>G287+G289+G291+G296+G301+G308+G314+G316+G319+G323</f>
        <v>771733.5</v>
      </c>
      <c r="H286" s="535"/>
      <c r="I286" s="641">
        <f t="shared" si="4"/>
        <v>32.48757509436743</v>
      </c>
      <c r="J286" s="50"/>
    </row>
    <row r="287" spans="1:10" ht="21" customHeight="1">
      <c r="A287" s="192"/>
      <c r="B287" s="600">
        <v>80102</v>
      </c>
      <c r="C287" s="604"/>
      <c r="D287" s="609" t="s">
        <v>540</v>
      </c>
      <c r="E287" s="628"/>
      <c r="F287" s="629"/>
      <c r="G287" s="242">
        <f>G288</f>
        <v>86.94</v>
      </c>
      <c r="H287" s="535"/>
      <c r="I287" s="514"/>
      <c r="J287" s="50"/>
    </row>
    <row r="288" spans="1:9" ht="24" customHeight="1">
      <c r="A288" s="192"/>
      <c r="B288" s="631"/>
      <c r="C288" s="603" t="s">
        <v>218</v>
      </c>
      <c r="D288" s="593" t="s">
        <v>219</v>
      </c>
      <c r="E288" s="533"/>
      <c r="F288" s="535"/>
      <c r="G288" s="534">
        <v>86.94</v>
      </c>
      <c r="H288" s="535"/>
      <c r="I288" s="514"/>
    </row>
    <row r="289" spans="1:9" ht="22.5" customHeight="1">
      <c r="A289" s="192"/>
      <c r="B289" s="604">
        <v>80111</v>
      </c>
      <c r="C289" s="604"/>
      <c r="D289" s="609" t="s">
        <v>541</v>
      </c>
      <c r="E289" s="533"/>
      <c r="F289" s="535"/>
      <c r="G289" s="242">
        <f>G290</f>
        <v>75.91</v>
      </c>
      <c r="H289" s="535"/>
      <c r="I289" s="514"/>
    </row>
    <row r="290" spans="1:9" ht="24" customHeight="1">
      <c r="A290" s="192"/>
      <c r="B290" s="630"/>
      <c r="C290" s="592" t="s">
        <v>218</v>
      </c>
      <c r="D290" s="593" t="s">
        <v>219</v>
      </c>
      <c r="E290" s="533"/>
      <c r="F290" s="538"/>
      <c r="G290" s="534">
        <v>75.91</v>
      </c>
      <c r="H290" s="538"/>
      <c r="I290" s="514"/>
    </row>
    <row r="291" spans="1:9" ht="29.25" customHeight="1">
      <c r="A291" s="192"/>
      <c r="B291" s="27">
        <v>80114</v>
      </c>
      <c r="C291" s="148"/>
      <c r="D291" s="204" t="s">
        <v>542</v>
      </c>
      <c r="E291" s="536">
        <f>SUM(E292:E295)</f>
        <v>147800</v>
      </c>
      <c r="F291" s="127"/>
      <c r="G291" s="536">
        <f>SUM(G292:G295)</f>
        <v>52024.619999999995</v>
      </c>
      <c r="H291" s="127"/>
      <c r="I291" s="645">
        <f t="shared" si="4"/>
        <v>35.19933694181326</v>
      </c>
    </row>
    <row r="292" spans="1:9" ht="66" customHeight="1">
      <c r="A292" s="191"/>
      <c r="B292" s="18"/>
      <c r="C292" s="144" t="s">
        <v>355</v>
      </c>
      <c r="D292" s="163" t="s">
        <v>232</v>
      </c>
      <c r="E292" s="26">
        <v>144200</v>
      </c>
      <c r="F292" s="127"/>
      <c r="G292" s="26">
        <v>51886.5</v>
      </c>
      <c r="H292" s="127"/>
      <c r="I292" s="514">
        <f t="shared" si="4"/>
        <v>35.98231622746186</v>
      </c>
    </row>
    <row r="293" spans="1:9" ht="20.25" customHeight="1">
      <c r="A293" s="191"/>
      <c r="B293" s="51"/>
      <c r="C293" s="145" t="s">
        <v>240</v>
      </c>
      <c r="D293" s="163" t="s">
        <v>264</v>
      </c>
      <c r="E293" s="26">
        <v>100</v>
      </c>
      <c r="F293" s="127"/>
      <c r="G293" s="26">
        <v>4.88</v>
      </c>
      <c r="H293" s="127"/>
      <c r="I293" s="514">
        <f t="shared" si="4"/>
        <v>4.88</v>
      </c>
    </row>
    <row r="294" spans="1:9" ht="21.75" customHeight="1">
      <c r="A294" s="191"/>
      <c r="B294" s="51"/>
      <c r="C294" s="140" t="s">
        <v>617</v>
      </c>
      <c r="D294" s="163" t="s">
        <v>618</v>
      </c>
      <c r="E294" s="26">
        <v>3000</v>
      </c>
      <c r="F294" s="127"/>
      <c r="G294" s="26">
        <v>0</v>
      </c>
      <c r="H294" s="127"/>
      <c r="I294" s="514">
        <f t="shared" si="4"/>
        <v>0</v>
      </c>
    </row>
    <row r="295" spans="1:9" ht="18.75" customHeight="1">
      <c r="A295" s="191"/>
      <c r="B295" s="5"/>
      <c r="C295" s="144" t="s">
        <v>218</v>
      </c>
      <c r="D295" s="163" t="s">
        <v>219</v>
      </c>
      <c r="E295" s="26">
        <v>500</v>
      </c>
      <c r="F295" s="127"/>
      <c r="G295" s="26">
        <v>133.24</v>
      </c>
      <c r="H295" s="127"/>
      <c r="I295" s="514">
        <f t="shared" si="4"/>
        <v>26.648</v>
      </c>
    </row>
    <row r="296" spans="1:9" s="53" customFormat="1" ht="21.75" customHeight="1">
      <c r="A296" s="185"/>
      <c r="B296" s="30">
        <v>80120</v>
      </c>
      <c r="C296" s="139"/>
      <c r="D296" s="197" t="s">
        <v>278</v>
      </c>
      <c r="E296" s="242">
        <f>SUM(E297:E300)</f>
        <v>107060</v>
      </c>
      <c r="F296" s="233"/>
      <c r="G296" s="242">
        <f>SUM(G297:G300)</f>
        <v>58749.740000000005</v>
      </c>
      <c r="H296" s="233"/>
      <c r="I296" s="514">
        <f t="shared" si="4"/>
        <v>54.8755277414534</v>
      </c>
    </row>
    <row r="297" spans="1:9" s="53" customFormat="1" ht="21.75" customHeight="1">
      <c r="A297" s="188"/>
      <c r="B297" s="31"/>
      <c r="C297" s="144" t="s">
        <v>349</v>
      </c>
      <c r="D297" s="163" t="s">
        <v>350</v>
      </c>
      <c r="E297" s="534">
        <v>1200</v>
      </c>
      <c r="F297" s="233"/>
      <c r="G297" s="534">
        <v>850</v>
      </c>
      <c r="H297" s="233"/>
      <c r="I297" s="514">
        <f t="shared" si="4"/>
        <v>70.83333333333334</v>
      </c>
    </row>
    <row r="298" spans="1:9" ht="62.25" customHeight="1">
      <c r="A298" s="189"/>
      <c r="B298" s="7"/>
      <c r="C298" s="144" t="s">
        <v>355</v>
      </c>
      <c r="D298" s="163" t="s">
        <v>232</v>
      </c>
      <c r="E298" s="26">
        <v>84900</v>
      </c>
      <c r="F298" s="127"/>
      <c r="G298" s="26">
        <v>41227.61</v>
      </c>
      <c r="H298" s="127"/>
      <c r="I298" s="514">
        <f t="shared" si="4"/>
        <v>48.56020023557126</v>
      </c>
    </row>
    <row r="299" spans="1:9" ht="22.5" customHeight="1">
      <c r="A299" s="189"/>
      <c r="B299" s="7"/>
      <c r="C299" s="145" t="s">
        <v>240</v>
      </c>
      <c r="D299" s="163" t="s">
        <v>264</v>
      </c>
      <c r="E299" s="26"/>
      <c r="F299" s="127"/>
      <c r="G299" s="26">
        <v>12.91</v>
      </c>
      <c r="H299" s="127"/>
      <c r="I299" s="514"/>
    </row>
    <row r="300" spans="1:9" ht="21.75" customHeight="1">
      <c r="A300" s="189"/>
      <c r="B300" s="1"/>
      <c r="C300" s="144" t="s">
        <v>218</v>
      </c>
      <c r="D300" s="163" t="s">
        <v>219</v>
      </c>
      <c r="E300" s="26">
        <v>20960</v>
      </c>
      <c r="F300" s="127"/>
      <c r="G300" s="26">
        <v>16659.22</v>
      </c>
      <c r="H300" s="127"/>
      <c r="I300" s="514">
        <f t="shared" si="4"/>
        <v>79.48101145038169</v>
      </c>
    </row>
    <row r="301" spans="1:9" ht="24.75" customHeight="1">
      <c r="A301" s="186"/>
      <c r="B301" s="24">
        <v>80130</v>
      </c>
      <c r="C301" s="133"/>
      <c r="D301" s="175" t="s">
        <v>288</v>
      </c>
      <c r="E301" s="28">
        <f>SUM(E302:E307)</f>
        <v>372301</v>
      </c>
      <c r="F301" s="233"/>
      <c r="G301" s="28">
        <f>SUM(G302:G307)</f>
        <v>205916.26</v>
      </c>
      <c r="H301" s="233"/>
      <c r="I301" s="514">
        <f t="shared" si="4"/>
        <v>55.30908055578685</v>
      </c>
    </row>
    <row r="302" spans="1:9" ht="21.75" customHeight="1">
      <c r="A302" s="186"/>
      <c r="B302" s="30"/>
      <c r="C302" s="144" t="s">
        <v>349</v>
      </c>
      <c r="D302" s="163" t="s">
        <v>350</v>
      </c>
      <c r="E302" s="26">
        <v>4955</v>
      </c>
      <c r="F302" s="233"/>
      <c r="G302" s="26">
        <v>2339</v>
      </c>
      <c r="H302" s="233"/>
      <c r="I302" s="514">
        <f t="shared" si="4"/>
        <v>47.20484359233098</v>
      </c>
    </row>
    <row r="303" spans="1:9" ht="63" customHeight="1">
      <c r="A303" s="186"/>
      <c r="B303" s="17"/>
      <c r="C303" s="144" t="s">
        <v>355</v>
      </c>
      <c r="D303" s="163" t="s">
        <v>232</v>
      </c>
      <c r="E303" s="26">
        <v>271221</v>
      </c>
      <c r="F303" s="127"/>
      <c r="G303" s="26">
        <v>115198.93</v>
      </c>
      <c r="H303" s="127"/>
      <c r="I303" s="514">
        <f t="shared" si="4"/>
        <v>42.47419263257638</v>
      </c>
    </row>
    <row r="304" spans="1:9" ht="17.25" customHeight="1">
      <c r="A304" s="186"/>
      <c r="B304" s="17"/>
      <c r="C304" s="144" t="s">
        <v>352</v>
      </c>
      <c r="D304" s="163" t="s">
        <v>353</v>
      </c>
      <c r="E304" s="26">
        <v>300</v>
      </c>
      <c r="F304" s="127"/>
      <c r="G304" s="26">
        <v>0</v>
      </c>
      <c r="H304" s="127"/>
      <c r="I304" s="514">
        <f t="shared" si="4"/>
        <v>0</v>
      </c>
    </row>
    <row r="305" spans="1:9" ht="17.25" customHeight="1">
      <c r="A305" s="186"/>
      <c r="B305" s="17"/>
      <c r="C305" s="145" t="s">
        <v>240</v>
      </c>
      <c r="D305" s="163" t="s">
        <v>264</v>
      </c>
      <c r="E305" s="26"/>
      <c r="F305" s="127"/>
      <c r="G305" s="26">
        <v>285.67</v>
      </c>
      <c r="H305" s="127"/>
      <c r="I305" s="514"/>
    </row>
    <row r="306" spans="1:9" ht="19.5" customHeight="1">
      <c r="A306" s="186"/>
      <c r="B306" s="17"/>
      <c r="C306" s="144" t="s">
        <v>218</v>
      </c>
      <c r="D306" s="163" t="s">
        <v>219</v>
      </c>
      <c r="E306" s="26">
        <v>91961</v>
      </c>
      <c r="F306" s="127"/>
      <c r="G306" s="26">
        <v>85580.66</v>
      </c>
      <c r="H306" s="127"/>
      <c r="I306" s="514">
        <f t="shared" si="4"/>
        <v>93.06190667783082</v>
      </c>
    </row>
    <row r="307" spans="1:9" ht="48.75" customHeight="1">
      <c r="A307" s="186"/>
      <c r="B307" s="17"/>
      <c r="C307" s="144" t="s">
        <v>707</v>
      </c>
      <c r="D307" s="163" t="s">
        <v>366</v>
      </c>
      <c r="E307" s="26">
        <v>3864</v>
      </c>
      <c r="F307" s="127"/>
      <c r="G307" s="26">
        <v>2512</v>
      </c>
      <c r="H307" s="127"/>
      <c r="I307" s="514">
        <f t="shared" si="4"/>
        <v>65.0103519668737</v>
      </c>
    </row>
    <row r="308" spans="1:9" s="53" customFormat="1" ht="42" customHeight="1">
      <c r="A308" s="185"/>
      <c r="B308" s="27">
        <v>80140</v>
      </c>
      <c r="C308" s="133"/>
      <c r="D308" s="175" t="s">
        <v>644</v>
      </c>
      <c r="E308" s="28">
        <f>SUM(E309:E313)</f>
        <v>255267</v>
      </c>
      <c r="F308" s="233"/>
      <c r="G308" s="28">
        <f>SUM(G309:G313)</f>
        <v>106030.70999999999</v>
      </c>
      <c r="H308" s="233"/>
      <c r="I308" s="514">
        <f t="shared" si="4"/>
        <v>41.5371787187533</v>
      </c>
    </row>
    <row r="309" spans="1:9" s="53" customFormat="1" ht="19.5" customHeight="1">
      <c r="A309" s="188"/>
      <c r="B309" s="31"/>
      <c r="C309" s="144" t="s">
        <v>349</v>
      </c>
      <c r="D309" s="163" t="s">
        <v>350</v>
      </c>
      <c r="E309" s="26">
        <v>30500</v>
      </c>
      <c r="F309" s="233"/>
      <c r="G309" s="26">
        <v>34384.17</v>
      </c>
      <c r="H309" s="233"/>
      <c r="I309" s="514">
        <f t="shared" si="4"/>
        <v>112.73498360655738</v>
      </c>
    </row>
    <row r="310" spans="1:9" s="53" customFormat="1" ht="60.75" customHeight="1">
      <c r="A310" s="188"/>
      <c r="B310" s="32"/>
      <c r="C310" s="140" t="s">
        <v>355</v>
      </c>
      <c r="D310" s="163" t="s">
        <v>232</v>
      </c>
      <c r="E310" s="26">
        <v>157167</v>
      </c>
      <c r="F310" s="121"/>
      <c r="G310" s="26">
        <v>41934.57</v>
      </c>
      <c r="H310" s="121"/>
      <c r="I310" s="514">
        <f t="shared" si="4"/>
        <v>26.6815362003474</v>
      </c>
    </row>
    <row r="311" spans="1:9" ht="18.75" customHeight="1">
      <c r="A311" s="189"/>
      <c r="B311" s="7"/>
      <c r="C311" s="869" t="s">
        <v>352</v>
      </c>
      <c r="D311" s="173" t="s">
        <v>353</v>
      </c>
      <c r="E311" s="128">
        <v>66100</v>
      </c>
      <c r="F311" s="127"/>
      <c r="G311" s="128">
        <v>28927.89</v>
      </c>
      <c r="H311" s="127"/>
      <c r="I311" s="645">
        <f t="shared" si="4"/>
        <v>43.763827534039336</v>
      </c>
    </row>
    <row r="312" spans="1:9" ht="18.75" customHeight="1">
      <c r="A312" s="189"/>
      <c r="B312" s="7"/>
      <c r="C312" s="145" t="s">
        <v>240</v>
      </c>
      <c r="D312" s="163" t="s">
        <v>264</v>
      </c>
      <c r="E312" s="26"/>
      <c r="F312" s="127"/>
      <c r="G312" s="26">
        <v>37.82</v>
      </c>
      <c r="H312" s="127"/>
      <c r="I312" s="514"/>
    </row>
    <row r="313" spans="1:9" ht="17.25" customHeight="1">
      <c r="A313" s="189"/>
      <c r="B313" s="7"/>
      <c r="C313" s="144" t="s">
        <v>218</v>
      </c>
      <c r="D313" s="163" t="s">
        <v>219</v>
      </c>
      <c r="E313" s="26">
        <v>1500</v>
      </c>
      <c r="F313" s="127"/>
      <c r="G313" s="26">
        <v>746.26</v>
      </c>
      <c r="H313" s="127"/>
      <c r="I313" s="514">
        <f t="shared" si="4"/>
        <v>49.75066666666667</v>
      </c>
    </row>
    <row r="314" spans="1:9" s="53" customFormat="1" ht="21.75" customHeight="1">
      <c r="A314" s="188"/>
      <c r="B314" s="24">
        <v>80145</v>
      </c>
      <c r="C314" s="133"/>
      <c r="D314" s="197" t="s">
        <v>197</v>
      </c>
      <c r="E314" s="28">
        <f>SUM(E315:E315)</f>
        <v>12207</v>
      </c>
      <c r="F314" s="233"/>
      <c r="G314" s="28">
        <f>SUM(G315:G315)</f>
        <v>9391.13</v>
      </c>
      <c r="H314" s="233"/>
      <c r="I314" s="514">
        <f t="shared" si="4"/>
        <v>76.9323339067748</v>
      </c>
    </row>
    <row r="315" spans="1:9" ht="18" customHeight="1">
      <c r="A315" s="189"/>
      <c r="B315" s="1"/>
      <c r="C315" s="144" t="s">
        <v>218</v>
      </c>
      <c r="D315" s="163" t="s">
        <v>219</v>
      </c>
      <c r="E315" s="26">
        <v>12207</v>
      </c>
      <c r="F315" s="127"/>
      <c r="G315" s="26">
        <v>9391.13</v>
      </c>
      <c r="H315" s="127"/>
      <c r="I315" s="514">
        <f t="shared" si="4"/>
        <v>76.9323339067748</v>
      </c>
    </row>
    <row r="316" spans="1:9" s="53" customFormat="1" ht="23.25" customHeight="1">
      <c r="A316" s="185"/>
      <c r="B316" s="30">
        <v>80146</v>
      </c>
      <c r="C316" s="139"/>
      <c r="D316" s="197" t="s">
        <v>137</v>
      </c>
      <c r="E316" s="242">
        <f>SUM(E317:E318)</f>
        <v>504020</v>
      </c>
      <c r="F316" s="233"/>
      <c r="G316" s="242">
        <f>SUM(G317:G318)</f>
        <v>66001</v>
      </c>
      <c r="H316" s="233"/>
      <c r="I316" s="514">
        <f t="shared" si="4"/>
        <v>13.09491686837824</v>
      </c>
    </row>
    <row r="317" spans="1:9" ht="20.25" customHeight="1">
      <c r="A317" s="189"/>
      <c r="B317" s="13"/>
      <c r="C317" s="144" t="s">
        <v>352</v>
      </c>
      <c r="D317" s="163" t="s">
        <v>353</v>
      </c>
      <c r="E317" s="26">
        <v>504020</v>
      </c>
      <c r="F317" s="127"/>
      <c r="G317" s="26">
        <v>65967</v>
      </c>
      <c r="H317" s="127"/>
      <c r="I317" s="514">
        <f t="shared" si="4"/>
        <v>13.088171104321258</v>
      </c>
    </row>
    <row r="318" spans="1:9" ht="20.25" customHeight="1">
      <c r="A318" s="189"/>
      <c r="B318" s="1"/>
      <c r="C318" s="144" t="s">
        <v>218</v>
      </c>
      <c r="D318" s="163" t="s">
        <v>219</v>
      </c>
      <c r="E318" s="26"/>
      <c r="F318" s="127"/>
      <c r="G318" s="26">
        <v>34</v>
      </c>
      <c r="H318" s="127"/>
      <c r="I318" s="514"/>
    </row>
    <row r="319" spans="1:9" s="53" customFormat="1" ht="22.5" customHeight="1">
      <c r="A319" s="188"/>
      <c r="B319" s="35">
        <v>80148</v>
      </c>
      <c r="C319" s="133"/>
      <c r="D319" s="197" t="s">
        <v>198</v>
      </c>
      <c r="E319" s="28">
        <f>SUM(E320:E322)</f>
        <v>233585</v>
      </c>
      <c r="F319" s="233"/>
      <c r="G319" s="28">
        <f>SUM(G320:G322)</f>
        <v>111617.04</v>
      </c>
      <c r="H319" s="233"/>
      <c r="I319" s="514">
        <f t="shared" si="4"/>
        <v>47.78433546674658</v>
      </c>
    </row>
    <row r="320" spans="1:9" ht="20.25" customHeight="1">
      <c r="A320" s="189"/>
      <c r="B320" s="13"/>
      <c r="C320" s="144" t="s">
        <v>349</v>
      </c>
      <c r="D320" s="163" t="s">
        <v>350</v>
      </c>
      <c r="E320" s="26">
        <v>16000</v>
      </c>
      <c r="F320" s="127"/>
      <c r="G320" s="26">
        <v>5418</v>
      </c>
      <c r="H320" s="127"/>
      <c r="I320" s="514">
        <f t="shared" si="4"/>
        <v>33.862500000000004</v>
      </c>
    </row>
    <row r="321" spans="1:9" ht="20.25" customHeight="1">
      <c r="A321" s="189"/>
      <c r="B321" s="7"/>
      <c r="C321" s="144" t="s">
        <v>352</v>
      </c>
      <c r="D321" s="163" t="s">
        <v>353</v>
      </c>
      <c r="E321" s="26">
        <v>206000</v>
      </c>
      <c r="F321" s="127"/>
      <c r="G321" s="26">
        <v>103430</v>
      </c>
      <c r="H321" s="127"/>
      <c r="I321" s="514">
        <f t="shared" si="4"/>
        <v>50.20873786407767</v>
      </c>
    </row>
    <row r="322" spans="1:9" ht="16.5" customHeight="1">
      <c r="A322" s="189"/>
      <c r="B322" s="1"/>
      <c r="C322" s="144" t="s">
        <v>218</v>
      </c>
      <c r="D322" s="163" t="s">
        <v>219</v>
      </c>
      <c r="E322" s="26">
        <v>11585</v>
      </c>
      <c r="F322" s="127"/>
      <c r="G322" s="26">
        <v>2769.04</v>
      </c>
      <c r="H322" s="127"/>
      <c r="I322" s="514">
        <f t="shared" si="4"/>
        <v>23.901942166594733</v>
      </c>
    </row>
    <row r="323" spans="1:9" ht="16.5" customHeight="1">
      <c r="A323" s="189"/>
      <c r="B323" s="604">
        <v>80195</v>
      </c>
      <c r="C323" s="585"/>
      <c r="D323" s="605" t="s">
        <v>250</v>
      </c>
      <c r="E323" s="28">
        <f>SUM(E324:E326)</f>
        <v>743232.77</v>
      </c>
      <c r="F323" s="233"/>
      <c r="G323" s="28">
        <f>SUM(G324:G326)</f>
        <v>161840.15</v>
      </c>
      <c r="H323" s="233"/>
      <c r="I323" s="514">
        <f t="shared" si="4"/>
        <v>21.775163385220488</v>
      </c>
    </row>
    <row r="324" spans="1:9" ht="82.5" customHeight="1">
      <c r="A324" s="189"/>
      <c r="B324" s="32"/>
      <c r="C324" s="137">
        <v>2007</v>
      </c>
      <c r="D324" s="163" t="s">
        <v>677</v>
      </c>
      <c r="E324" s="26">
        <v>139294.42</v>
      </c>
      <c r="F324" s="127"/>
      <c r="G324" s="26">
        <v>91397.61</v>
      </c>
      <c r="H324" s="127"/>
      <c r="I324" s="514">
        <f t="shared" si="4"/>
        <v>65.61469583634434</v>
      </c>
    </row>
    <row r="325" spans="1:9" ht="87.75" customHeight="1">
      <c r="A325" s="189"/>
      <c r="B325" s="32"/>
      <c r="C325" s="137">
        <v>2009</v>
      </c>
      <c r="D325" s="163" t="s">
        <v>677</v>
      </c>
      <c r="E325" s="26">
        <v>8435.37</v>
      </c>
      <c r="F325" s="127"/>
      <c r="G325" s="26">
        <v>5534.84</v>
      </c>
      <c r="H325" s="127"/>
      <c r="I325" s="514">
        <f t="shared" si="4"/>
        <v>65.6146677620543</v>
      </c>
    </row>
    <row r="326" spans="1:9" ht="48" customHeight="1">
      <c r="A326" s="189"/>
      <c r="B326" s="1"/>
      <c r="C326" s="597">
        <v>2701</v>
      </c>
      <c r="D326" s="608" t="s">
        <v>366</v>
      </c>
      <c r="E326" s="26">
        <v>595502.98</v>
      </c>
      <c r="F326" s="127"/>
      <c r="G326" s="26">
        <v>64907.7</v>
      </c>
      <c r="H326" s="127"/>
      <c r="I326" s="514">
        <f t="shared" si="4"/>
        <v>10.899643189023168</v>
      </c>
    </row>
    <row r="327" spans="1:9" ht="24" customHeight="1">
      <c r="A327" s="131">
        <v>852</v>
      </c>
      <c r="B327" s="11"/>
      <c r="C327" s="131"/>
      <c r="D327" s="171" t="s">
        <v>306</v>
      </c>
      <c r="E327" s="84">
        <f>E328+E331+E336+E341</f>
        <v>4346418</v>
      </c>
      <c r="F327" s="84">
        <f>F328+F331+F336+F341</f>
        <v>7000</v>
      </c>
      <c r="G327" s="84">
        <f>G328+G331+G336+G341</f>
        <v>2381739.41</v>
      </c>
      <c r="H327" s="84">
        <f>H328+H331+H336+H341</f>
        <v>7000</v>
      </c>
      <c r="I327" s="641">
        <f t="shared" si="4"/>
        <v>54.79775323036119</v>
      </c>
    </row>
    <row r="328" spans="1:9" s="53" customFormat="1" ht="22.5" customHeight="1">
      <c r="A328" s="185"/>
      <c r="B328" s="24">
        <v>85201</v>
      </c>
      <c r="C328" s="139"/>
      <c r="D328" s="197" t="s">
        <v>599</v>
      </c>
      <c r="E328" s="536">
        <f>SUM(E329:E330)</f>
        <v>210150</v>
      </c>
      <c r="F328" s="233"/>
      <c r="G328" s="536">
        <f>SUM(G329:G330)</f>
        <v>188041.93</v>
      </c>
      <c r="H328" s="233"/>
      <c r="I328" s="514">
        <f t="shared" si="4"/>
        <v>89.47986200333095</v>
      </c>
    </row>
    <row r="329" spans="1:9" s="53" customFormat="1" ht="22.5" customHeight="1">
      <c r="A329" s="188"/>
      <c r="B329" s="32"/>
      <c r="C329" s="144" t="s">
        <v>352</v>
      </c>
      <c r="D329" s="163" t="s">
        <v>353</v>
      </c>
      <c r="E329" s="537">
        <v>210000</v>
      </c>
      <c r="F329" s="233"/>
      <c r="G329" s="537">
        <v>184258.66</v>
      </c>
      <c r="H329" s="233"/>
      <c r="I329" s="514">
        <f t="shared" si="4"/>
        <v>87.74221904761905</v>
      </c>
    </row>
    <row r="330" spans="1:9" ht="18.75" customHeight="1">
      <c r="A330" s="189"/>
      <c r="B330" s="7"/>
      <c r="C330" s="144" t="s">
        <v>218</v>
      </c>
      <c r="D330" s="163" t="s">
        <v>219</v>
      </c>
      <c r="E330" s="26">
        <v>150</v>
      </c>
      <c r="F330" s="127"/>
      <c r="G330" s="26">
        <v>3783.27</v>
      </c>
      <c r="H330" s="127"/>
      <c r="I330" s="514"/>
    </row>
    <row r="331" spans="1:10" s="53" customFormat="1" ht="25.5" customHeight="1">
      <c r="A331" s="185"/>
      <c r="B331" s="24">
        <v>85202</v>
      </c>
      <c r="C331" s="139"/>
      <c r="D331" s="197" t="s">
        <v>600</v>
      </c>
      <c r="E331" s="28">
        <f>SUM(E332:E335)</f>
        <v>3961590</v>
      </c>
      <c r="F331" s="121"/>
      <c r="G331" s="28">
        <f>SUM(G332:G335)</f>
        <v>2066007.02</v>
      </c>
      <c r="H331" s="121"/>
      <c r="I331" s="514">
        <f t="shared" si="4"/>
        <v>52.150955045827565</v>
      </c>
      <c r="J331" s="632"/>
    </row>
    <row r="332" spans="1:9" ht="66.75" customHeight="1">
      <c r="A332" s="186"/>
      <c r="B332" s="17"/>
      <c r="C332" s="869" t="s">
        <v>355</v>
      </c>
      <c r="D332" s="173" t="s">
        <v>213</v>
      </c>
      <c r="E332" s="128">
        <v>4796</v>
      </c>
      <c r="F332" s="127"/>
      <c r="G332" s="128">
        <v>2398.2</v>
      </c>
      <c r="H332" s="127"/>
      <c r="I332" s="645">
        <f t="shared" si="4"/>
        <v>50.00417014178482</v>
      </c>
    </row>
    <row r="333" spans="1:9" ht="20.25" customHeight="1">
      <c r="A333" s="186"/>
      <c r="B333" s="17"/>
      <c r="C333" s="144" t="s">
        <v>352</v>
      </c>
      <c r="D333" s="163" t="s">
        <v>353</v>
      </c>
      <c r="E333" s="26">
        <v>3230070</v>
      </c>
      <c r="F333" s="127"/>
      <c r="G333" s="26">
        <v>1694911.56</v>
      </c>
      <c r="H333" s="127"/>
      <c r="I333" s="514">
        <f t="shared" si="4"/>
        <v>52.47290492156517</v>
      </c>
    </row>
    <row r="334" spans="1:9" ht="22.5" customHeight="1">
      <c r="A334" s="186"/>
      <c r="B334" s="17"/>
      <c r="C334" s="144" t="s">
        <v>218</v>
      </c>
      <c r="D334" s="163" t="s">
        <v>219</v>
      </c>
      <c r="E334" s="26">
        <v>1800</v>
      </c>
      <c r="F334" s="127"/>
      <c r="G334" s="26">
        <v>863.26</v>
      </c>
      <c r="H334" s="127"/>
      <c r="I334" s="514">
        <f t="shared" si="4"/>
        <v>47.95888888888889</v>
      </c>
    </row>
    <row r="335" spans="1:9" ht="30.75" customHeight="1">
      <c r="A335" s="186"/>
      <c r="B335" s="17"/>
      <c r="C335" s="144">
        <v>2130</v>
      </c>
      <c r="D335" s="163" t="s">
        <v>601</v>
      </c>
      <c r="E335" s="26">
        <v>724924</v>
      </c>
      <c r="F335" s="127"/>
      <c r="G335" s="26">
        <v>367834</v>
      </c>
      <c r="H335" s="127"/>
      <c r="I335" s="514">
        <f t="shared" si="4"/>
        <v>50.7410431990112</v>
      </c>
    </row>
    <row r="336" spans="1:9" s="53" customFormat="1" ht="20.25" customHeight="1">
      <c r="A336" s="185"/>
      <c r="B336" s="24">
        <v>85204</v>
      </c>
      <c r="C336" s="133"/>
      <c r="D336" s="197" t="s">
        <v>627</v>
      </c>
      <c r="E336" s="28">
        <f>SUM(E337:E340)</f>
        <v>167678</v>
      </c>
      <c r="F336" s="233"/>
      <c r="G336" s="28">
        <f>SUM(G337:G340)</f>
        <v>120690.46</v>
      </c>
      <c r="H336" s="233"/>
      <c r="I336" s="514">
        <f t="shared" si="4"/>
        <v>71.97751643030094</v>
      </c>
    </row>
    <row r="337" spans="1:9" s="53" customFormat="1" ht="20.25" customHeight="1">
      <c r="A337" s="185"/>
      <c r="B337" s="30"/>
      <c r="C337" s="144" t="s">
        <v>349</v>
      </c>
      <c r="D337" s="163" t="s">
        <v>350</v>
      </c>
      <c r="E337" s="28"/>
      <c r="F337" s="233"/>
      <c r="G337" s="28">
        <v>23.2</v>
      </c>
      <c r="H337" s="233"/>
      <c r="I337" s="514"/>
    </row>
    <row r="338" spans="1:9" s="53" customFormat="1" ht="20.25" customHeight="1">
      <c r="A338" s="185"/>
      <c r="B338" s="30"/>
      <c r="C338" s="144" t="s">
        <v>352</v>
      </c>
      <c r="D338" s="163" t="s">
        <v>353</v>
      </c>
      <c r="E338" s="26">
        <v>165578</v>
      </c>
      <c r="F338" s="233"/>
      <c r="G338" s="26">
        <v>119622.64</v>
      </c>
      <c r="H338" s="233"/>
      <c r="I338" s="514">
        <f t="shared" si="4"/>
        <v>72.24549155080989</v>
      </c>
    </row>
    <row r="339" spans="1:9" s="53" customFormat="1" ht="20.25" customHeight="1">
      <c r="A339" s="185"/>
      <c r="B339" s="30"/>
      <c r="C339" s="145" t="s">
        <v>240</v>
      </c>
      <c r="D339" s="163" t="s">
        <v>264</v>
      </c>
      <c r="E339" s="26"/>
      <c r="F339" s="233"/>
      <c r="G339" s="26">
        <v>106.6</v>
      </c>
      <c r="H339" s="233"/>
      <c r="I339" s="514"/>
    </row>
    <row r="340" spans="1:9" s="53" customFormat="1" ht="20.25" customHeight="1">
      <c r="A340" s="185"/>
      <c r="B340" s="30"/>
      <c r="C340" s="144" t="s">
        <v>218</v>
      </c>
      <c r="D340" s="163" t="s">
        <v>219</v>
      </c>
      <c r="E340" s="26">
        <v>2100</v>
      </c>
      <c r="F340" s="121"/>
      <c r="G340" s="26">
        <v>938.02</v>
      </c>
      <c r="H340" s="121"/>
      <c r="I340" s="514">
        <f t="shared" si="4"/>
        <v>44.66761904761904</v>
      </c>
    </row>
    <row r="341" spans="1:9" s="53" customFormat="1" ht="24" customHeight="1">
      <c r="A341" s="185"/>
      <c r="B341" s="604">
        <v>85205</v>
      </c>
      <c r="C341" s="604"/>
      <c r="D341" s="609" t="s">
        <v>193</v>
      </c>
      <c r="E341" s="28">
        <f>E342</f>
        <v>7000</v>
      </c>
      <c r="F341" s="28">
        <f>F342</f>
        <v>7000</v>
      </c>
      <c r="G341" s="28">
        <f>G342</f>
        <v>7000</v>
      </c>
      <c r="H341" s="28">
        <f>H342</f>
        <v>7000</v>
      </c>
      <c r="I341" s="514">
        <f t="shared" si="4"/>
        <v>100</v>
      </c>
    </row>
    <row r="342" spans="1:9" s="53" customFormat="1" ht="45.75" customHeight="1">
      <c r="A342" s="185"/>
      <c r="B342" s="610"/>
      <c r="C342" s="603">
        <v>2110</v>
      </c>
      <c r="D342" s="593" t="s">
        <v>623</v>
      </c>
      <c r="E342" s="26">
        <v>7000</v>
      </c>
      <c r="F342" s="121">
        <v>7000</v>
      </c>
      <c r="G342" s="26">
        <v>7000</v>
      </c>
      <c r="H342" s="121">
        <v>7000</v>
      </c>
      <c r="I342" s="514">
        <f t="shared" si="4"/>
        <v>100</v>
      </c>
    </row>
    <row r="343" spans="1:9" ht="28.5" customHeight="1">
      <c r="A343" s="131">
        <v>853</v>
      </c>
      <c r="B343" s="11"/>
      <c r="C343" s="131"/>
      <c r="D343" s="171" t="s">
        <v>324</v>
      </c>
      <c r="E343" s="33">
        <f>E344+E346+E350</f>
        <v>578029.61</v>
      </c>
      <c r="F343" s="126">
        <f>F344+F346+F350</f>
        <v>169942</v>
      </c>
      <c r="G343" s="33">
        <f>G344+G346+G350</f>
        <v>316416.64</v>
      </c>
      <c r="H343" s="126">
        <f>H344+H346+H350</f>
        <v>91504</v>
      </c>
      <c r="I343" s="641">
        <f t="shared" si="4"/>
        <v>54.74055905198352</v>
      </c>
    </row>
    <row r="344" spans="1:9" s="53" customFormat="1" ht="27.75" customHeight="1">
      <c r="A344" s="185"/>
      <c r="B344" s="27">
        <v>85311</v>
      </c>
      <c r="C344" s="148"/>
      <c r="D344" s="201" t="s">
        <v>268</v>
      </c>
      <c r="E344" s="91">
        <f>SUM(E345:E345)</f>
        <v>18277.56</v>
      </c>
      <c r="F344" s="230"/>
      <c r="G344" s="91">
        <f>SUM(G345:G345)</f>
        <v>13708.56</v>
      </c>
      <c r="H344" s="230"/>
      <c r="I344" s="514">
        <f t="shared" si="4"/>
        <v>75.00213376402539</v>
      </c>
    </row>
    <row r="345" spans="1:9" ht="45.75" customHeight="1">
      <c r="A345" s="189"/>
      <c r="B345" s="13"/>
      <c r="C345" s="145">
        <v>2320</v>
      </c>
      <c r="D345" s="198" t="s">
        <v>602</v>
      </c>
      <c r="E345" s="52">
        <v>18277.56</v>
      </c>
      <c r="F345" s="228"/>
      <c r="G345" s="52">
        <v>13708.56</v>
      </c>
      <c r="H345" s="228"/>
      <c r="I345" s="514">
        <f t="shared" si="4"/>
        <v>75.00213376402539</v>
      </c>
    </row>
    <row r="346" spans="1:9" s="53" customFormat="1" ht="33.75" customHeight="1">
      <c r="A346" s="185"/>
      <c r="B346" s="31">
        <v>85321</v>
      </c>
      <c r="C346" s="139"/>
      <c r="D346" s="175" t="s">
        <v>603</v>
      </c>
      <c r="E346" s="91">
        <f>SUM(E347:E349)</f>
        <v>470565.05</v>
      </c>
      <c r="F346" s="91">
        <f>SUM(F347:F349)</f>
        <v>169942</v>
      </c>
      <c r="G346" s="91">
        <f>SUM(G347:G349)</f>
        <v>252685.25</v>
      </c>
      <c r="H346" s="91">
        <f>SUM(H347:H349)</f>
        <v>91504</v>
      </c>
      <c r="I346" s="514">
        <f t="shared" si="4"/>
        <v>53.698261271210015</v>
      </c>
    </row>
    <row r="347" spans="1:9" ht="51.75" customHeight="1">
      <c r="A347" s="189"/>
      <c r="B347" s="13"/>
      <c r="C347" s="144">
        <v>2110</v>
      </c>
      <c r="D347" s="163" t="s">
        <v>623</v>
      </c>
      <c r="E347" s="52">
        <v>169942</v>
      </c>
      <c r="F347" s="52">
        <v>169942</v>
      </c>
      <c r="G347" s="52">
        <v>91504</v>
      </c>
      <c r="H347" s="52">
        <v>91504</v>
      </c>
      <c r="I347" s="514">
        <f t="shared" si="4"/>
        <v>53.8442527450542</v>
      </c>
    </row>
    <row r="348" spans="1:9" ht="49.5" customHeight="1">
      <c r="A348" s="189"/>
      <c r="B348" s="7"/>
      <c r="C348" s="144">
        <v>2320</v>
      </c>
      <c r="D348" s="163" t="s">
        <v>602</v>
      </c>
      <c r="E348" s="52">
        <f>165099+132391</f>
        <v>297490</v>
      </c>
      <c r="F348" s="228"/>
      <c r="G348" s="52">
        <v>160188</v>
      </c>
      <c r="H348" s="228"/>
      <c r="I348" s="514">
        <f t="shared" si="4"/>
        <v>53.84651584927225</v>
      </c>
    </row>
    <row r="349" spans="1:9" ht="46.5" customHeight="1">
      <c r="A349" s="189"/>
      <c r="B349" s="1"/>
      <c r="C349" s="144">
        <v>2360</v>
      </c>
      <c r="D349" s="163" t="s">
        <v>243</v>
      </c>
      <c r="E349" s="52">
        <v>3133.05</v>
      </c>
      <c r="F349" s="228"/>
      <c r="G349" s="52">
        <v>993.25</v>
      </c>
      <c r="H349" s="228"/>
      <c r="I349" s="514">
        <f t="shared" si="4"/>
        <v>31.702334785592313</v>
      </c>
    </row>
    <row r="350" spans="1:9" s="53" customFormat="1" ht="27.75" customHeight="1">
      <c r="A350" s="185"/>
      <c r="B350" s="36">
        <v>85324</v>
      </c>
      <c r="C350" s="139"/>
      <c r="D350" s="197" t="s">
        <v>604</v>
      </c>
      <c r="E350" s="91">
        <f>E351</f>
        <v>89187</v>
      </c>
      <c r="F350" s="230"/>
      <c r="G350" s="91">
        <f>G351</f>
        <v>50022.83</v>
      </c>
      <c r="H350" s="230"/>
      <c r="I350" s="514">
        <f aca="true" t="shared" si="5" ref="I350:I386">G350/E350*100</f>
        <v>56.087580028479486</v>
      </c>
    </row>
    <row r="351" spans="1:9" ht="22.5" customHeight="1">
      <c r="A351" s="186"/>
      <c r="B351" s="21"/>
      <c r="C351" s="140" t="s">
        <v>218</v>
      </c>
      <c r="D351" s="163" t="s">
        <v>219</v>
      </c>
      <c r="E351" s="52">
        <v>89187</v>
      </c>
      <c r="F351" s="871"/>
      <c r="G351" s="52">
        <v>50022.83</v>
      </c>
      <c r="H351" s="871"/>
      <c r="I351" s="514">
        <f t="shared" si="5"/>
        <v>56.087580028479486</v>
      </c>
    </row>
    <row r="352" spans="1:9" ht="23.25" customHeight="1">
      <c r="A352" s="131">
        <v>854</v>
      </c>
      <c r="B352" s="6"/>
      <c r="C352" s="131"/>
      <c r="D352" s="171" t="s">
        <v>275</v>
      </c>
      <c r="E352" s="84">
        <f>E353+E356+E364+E366+E372+E374</f>
        <v>901830</v>
      </c>
      <c r="F352" s="73"/>
      <c r="G352" s="84">
        <f>G353+G356+G364+G366+G372+G374</f>
        <v>369655.8</v>
      </c>
      <c r="H352" s="73"/>
      <c r="I352" s="641">
        <f t="shared" si="5"/>
        <v>40.98952130667642</v>
      </c>
    </row>
    <row r="353" spans="1:9" s="53" customFormat="1" ht="23.25" customHeight="1">
      <c r="A353" s="188"/>
      <c r="B353" s="31">
        <v>85401</v>
      </c>
      <c r="C353" s="139"/>
      <c r="D353" s="197" t="s">
        <v>146</v>
      </c>
      <c r="E353" s="28">
        <f>SUM(E354:E355)</f>
        <v>39760</v>
      </c>
      <c r="F353" s="233"/>
      <c r="G353" s="28">
        <f>SUM(G354:G355)</f>
        <v>33428.71</v>
      </c>
      <c r="H353" s="233"/>
      <c r="I353" s="514">
        <f t="shared" si="5"/>
        <v>84.07623239436619</v>
      </c>
    </row>
    <row r="354" spans="1:9" ht="22.5" customHeight="1">
      <c r="A354" s="191"/>
      <c r="B354" s="18"/>
      <c r="C354" s="144" t="s">
        <v>352</v>
      </c>
      <c r="D354" s="163" t="s">
        <v>353</v>
      </c>
      <c r="E354" s="26">
        <v>39760</v>
      </c>
      <c r="F354" s="127"/>
      <c r="G354" s="26">
        <v>33387.63</v>
      </c>
      <c r="H354" s="127"/>
      <c r="I354" s="514">
        <f t="shared" si="5"/>
        <v>83.9729124748491</v>
      </c>
    </row>
    <row r="355" spans="1:9" ht="22.5" customHeight="1">
      <c r="A355" s="191"/>
      <c r="B355" s="5"/>
      <c r="C355" s="145" t="s">
        <v>240</v>
      </c>
      <c r="D355" s="163" t="s">
        <v>264</v>
      </c>
      <c r="E355" s="26"/>
      <c r="F355" s="127"/>
      <c r="G355" s="26">
        <v>41.08</v>
      </c>
      <c r="H355" s="127"/>
      <c r="I355" s="514"/>
    </row>
    <row r="356" spans="1:9" ht="26.25" customHeight="1">
      <c r="A356" s="191"/>
      <c r="B356" s="35">
        <v>85403</v>
      </c>
      <c r="C356" s="139"/>
      <c r="D356" s="197" t="s">
        <v>638</v>
      </c>
      <c r="E356" s="28">
        <f>SUM(E357:E363)</f>
        <v>84710</v>
      </c>
      <c r="F356" s="127"/>
      <c r="G356" s="28">
        <f>SUM(G357:G363)</f>
        <v>48613.03</v>
      </c>
      <c r="H356" s="127"/>
      <c r="I356" s="514">
        <f t="shared" si="5"/>
        <v>57.387592964230905</v>
      </c>
    </row>
    <row r="357" spans="1:9" ht="21" customHeight="1">
      <c r="A357" s="191"/>
      <c r="B357" s="31"/>
      <c r="C357" s="144" t="s">
        <v>349</v>
      </c>
      <c r="D357" s="163" t="s">
        <v>350</v>
      </c>
      <c r="E357" s="26">
        <v>440</v>
      </c>
      <c r="F357" s="127"/>
      <c r="G357" s="26">
        <v>97</v>
      </c>
      <c r="H357" s="127"/>
      <c r="I357" s="514">
        <f t="shared" si="5"/>
        <v>22.045454545454547</v>
      </c>
    </row>
    <row r="358" spans="1:9" ht="65.25" customHeight="1">
      <c r="A358" s="191"/>
      <c r="B358" s="51"/>
      <c r="C358" s="144" t="s">
        <v>355</v>
      </c>
      <c r="D358" s="163" t="s">
        <v>213</v>
      </c>
      <c r="E358" s="26">
        <v>12680</v>
      </c>
      <c r="F358" s="127"/>
      <c r="G358" s="26">
        <v>1541</v>
      </c>
      <c r="H358" s="127"/>
      <c r="I358" s="514">
        <f t="shared" si="5"/>
        <v>12.152996845425868</v>
      </c>
    </row>
    <row r="359" spans="1:9" ht="21" customHeight="1">
      <c r="A359" s="191"/>
      <c r="B359" s="51"/>
      <c r="C359" s="144" t="s">
        <v>352</v>
      </c>
      <c r="D359" s="163" t="s">
        <v>353</v>
      </c>
      <c r="E359" s="26">
        <v>43680</v>
      </c>
      <c r="F359" s="127"/>
      <c r="G359" s="26">
        <v>16184.55</v>
      </c>
      <c r="H359" s="127"/>
      <c r="I359" s="514">
        <f t="shared" si="5"/>
        <v>37.052541208791204</v>
      </c>
    </row>
    <row r="360" spans="1:9" ht="21" customHeight="1">
      <c r="A360" s="191"/>
      <c r="B360" s="51"/>
      <c r="C360" s="140" t="s">
        <v>544</v>
      </c>
      <c r="D360" s="163" t="s">
        <v>100</v>
      </c>
      <c r="E360" s="26"/>
      <c r="F360" s="127"/>
      <c r="G360" s="26">
        <v>12400</v>
      </c>
      <c r="H360" s="127"/>
      <c r="I360" s="514"/>
    </row>
    <row r="361" spans="1:9" ht="21" customHeight="1">
      <c r="A361" s="191"/>
      <c r="B361" s="51"/>
      <c r="C361" s="145" t="s">
        <v>240</v>
      </c>
      <c r="D361" s="163" t="s">
        <v>264</v>
      </c>
      <c r="E361" s="26"/>
      <c r="F361" s="127"/>
      <c r="G361" s="26">
        <v>49.32</v>
      </c>
      <c r="H361" s="127"/>
      <c r="I361" s="514"/>
    </row>
    <row r="362" spans="1:9" ht="21" customHeight="1">
      <c r="A362" s="191"/>
      <c r="B362" s="51"/>
      <c r="C362" s="611" t="s">
        <v>617</v>
      </c>
      <c r="D362" s="593" t="s">
        <v>618</v>
      </c>
      <c r="E362" s="26">
        <v>12000</v>
      </c>
      <c r="F362" s="127"/>
      <c r="G362" s="26">
        <v>12000</v>
      </c>
      <c r="H362" s="127"/>
      <c r="I362" s="514">
        <f t="shared" si="5"/>
        <v>100</v>
      </c>
    </row>
    <row r="363" spans="1:9" ht="18.75" customHeight="1">
      <c r="A363" s="191"/>
      <c r="B363" s="5"/>
      <c r="C363" s="144" t="s">
        <v>218</v>
      </c>
      <c r="D363" s="163" t="s">
        <v>219</v>
      </c>
      <c r="E363" s="26">
        <v>15910</v>
      </c>
      <c r="F363" s="127"/>
      <c r="G363" s="26">
        <v>6341.16</v>
      </c>
      <c r="H363" s="127"/>
      <c r="I363" s="514">
        <f t="shared" si="5"/>
        <v>39.85644248900063</v>
      </c>
    </row>
    <row r="364" spans="1:9" ht="27" customHeight="1">
      <c r="A364" s="191"/>
      <c r="B364" s="604">
        <v>85406</v>
      </c>
      <c r="C364" s="604"/>
      <c r="D364" s="609" t="s">
        <v>148</v>
      </c>
      <c r="E364" s="28"/>
      <c r="F364" s="233"/>
      <c r="G364" s="28">
        <f>G365</f>
        <v>298.22</v>
      </c>
      <c r="H364" s="127"/>
      <c r="I364" s="514"/>
    </row>
    <row r="365" spans="1:9" ht="18.75" customHeight="1">
      <c r="A365" s="191"/>
      <c r="B365" s="633"/>
      <c r="C365" s="603" t="s">
        <v>218</v>
      </c>
      <c r="D365" s="593" t="s">
        <v>219</v>
      </c>
      <c r="E365" s="26"/>
      <c r="F365" s="127"/>
      <c r="G365" s="26">
        <v>298.22</v>
      </c>
      <c r="H365" s="127"/>
      <c r="I365" s="514"/>
    </row>
    <row r="366" spans="1:9" s="53" customFormat="1" ht="21.75" customHeight="1">
      <c r="A366" s="188"/>
      <c r="B366" s="35">
        <v>85410</v>
      </c>
      <c r="C366" s="139"/>
      <c r="D366" s="197" t="s">
        <v>345</v>
      </c>
      <c r="E366" s="28">
        <f>SUM(E367:E371)</f>
        <v>658060</v>
      </c>
      <c r="F366" s="233"/>
      <c r="G366" s="28">
        <f>SUM(G367:G371)</f>
        <v>235688.17</v>
      </c>
      <c r="H366" s="233"/>
      <c r="I366" s="514">
        <f t="shared" si="5"/>
        <v>35.815604960034044</v>
      </c>
    </row>
    <row r="367" spans="1:9" ht="18.75" customHeight="1">
      <c r="A367" s="189"/>
      <c r="B367" s="7"/>
      <c r="C367" s="145" t="s">
        <v>349</v>
      </c>
      <c r="D367" s="198" t="s">
        <v>350</v>
      </c>
      <c r="E367" s="26">
        <v>110000</v>
      </c>
      <c r="F367" s="127"/>
      <c r="G367" s="26">
        <v>59321.5</v>
      </c>
      <c r="H367" s="127"/>
      <c r="I367" s="514">
        <f t="shared" si="5"/>
        <v>53.928636363636365</v>
      </c>
    </row>
    <row r="368" spans="1:9" ht="66.75" customHeight="1">
      <c r="A368" s="189"/>
      <c r="B368" s="7"/>
      <c r="C368" s="144" t="s">
        <v>355</v>
      </c>
      <c r="D368" s="163" t="s">
        <v>213</v>
      </c>
      <c r="E368" s="26">
        <v>31930</v>
      </c>
      <c r="F368" s="127"/>
      <c r="G368" s="26">
        <v>12332.16</v>
      </c>
      <c r="H368" s="127"/>
      <c r="I368" s="514">
        <f t="shared" si="5"/>
        <v>38.622486689633575</v>
      </c>
    </row>
    <row r="369" spans="1:9" ht="18.75" customHeight="1">
      <c r="A369" s="189"/>
      <c r="B369" s="7"/>
      <c r="C369" s="144" t="s">
        <v>352</v>
      </c>
      <c r="D369" s="163" t="s">
        <v>353</v>
      </c>
      <c r="E369" s="26">
        <v>516030</v>
      </c>
      <c r="F369" s="127"/>
      <c r="G369" s="26">
        <v>163875</v>
      </c>
      <c r="H369" s="127"/>
      <c r="I369" s="514">
        <f t="shared" si="5"/>
        <v>31.756874600313935</v>
      </c>
    </row>
    <row r="370" spans="1:9" ht="18.75" customHeight="1">
      <c r="A370" s="189"/>
      <c r="B370" s="7"/>
      <c r="C370" s="144" t="s">
        <v>240</v>
      </c>
      <c r="D370" s="163" t="s">
        <v>264</v>
      </c>
      <c r="E370" s="26">
        <v>100</v>
      </c>
      <c r="F370" s="127"/>
      <c r="G370" s="26">
        <v>30.51</v>
      </c>
      <c r="H370" s="127"/>
      <c r="I370" s="514">
        <f t="shared" si="5"/>
        <v>30.510000000000005</v>
      </c>
    </row>
    <row r="371" spans="1:9" ht="18.75" customHeight="1">
      <c r="A371" s="189"/>
      <c r="B371" s="7"/>
      <c r="C371" s="144" t="s">
        <v>218</v>
      </c>
      <c r="D371" s="163" t="s">
        <v>219</v>
      </c>
      <c r="E371" s="26"/>
      <c r="F371" s="127"/>
      <c r="G371" s="26">
        <v>129</v>
      </c>
      <c r="H371" s="127"/>
      <c r="I371" s="514"/>
    </row>
    <row r="372" spans="1:9" ht="37.5" customHeight="1">
      <c r="A372" s="189"/>
      <c r="B372" s="24">
        <v>85412</v>
      </c>
      <c r="C372" s="139"/>
      <c r="D372" s="197" t="s">
        <v>245</v>
      </c>
      <c r="E372" s="28">
        <f>E373</f>
        <v>6000</v>
      </c>
      <c r="F372" s="127"/>
      <c r="G372" s="28">
        <f>G373</f>
        <v>0</v>
      </c>
      <c r="H372" s="127"/>
      <c r="I372" s="514">
        <f t="shared" si="5"/>
        <v>0</v>
      </c>
    </row>
    <row r="373" spans="1:9" ht="17.25" customHeight="1">
      <c r="A373" s="189"/>
      <c r="B373" s="7"/>
      <c r="C373" s="144" t="s">
        <v>352</v>
      </c>
      <c r="D373" s="163" t="s">
        <v>353</v>
      </c>
      <c r="E373" s="26">
        <v>6000</v>
      </c>
      <c r="F373" s="127"/>
      <c r="G373" s="26">
        <v>0</v>
      </c>
      <c r="H373" s="127"/>
      <c r="I373" s="514">
        <f t="shared" si="5"/>
        <v>0</v>
      </c>
    </row>
    <row r="374" spans="1:9" s="53" customFormat="1" ht="21" customHeight="1">
      <c r="A374" s="188"/>
      <c r="B374" s="24">
        <v>85417</v>
      </c>
      <c r="C374" s="133"/>
      <c r="D374" s="197" t="s">
        <v>346</v>
      </c>
      <c r="E374" s="28">
        <f>SUM(E375:E376)</f>
        <v>113300</v>
      </c>
      <c r="F374" s="233"/>
      <c r="G374" s="28">
        <f>SUM(G375:G376)</f>
        <v>51627.67</v>
      </c>
      <c r="H374" s="233"/>
      <c r="I374" s="514">
        <f t="shared" si="5"/>
        <v>45.56722859664607</v>
      </c>
    </row>
    <row r="375" spans="1:9" ht="20.25" customHeight="1">
      <c r="A375" s="189"/>
      <c r="B375" s="7"/>
      <c r="C375" s="144" t="s">
        <v>352</v>
      </c>
      <c r="D375" s="163" t="s">
        <v>353</v>
      </c>
      <c r="E375" s="26">
        <v>95790</v>
      </c>
      <c r="F375" s="127"/>
      <c r="G375" s="26">
        <v>44537.67</v>
      </c>
      <c r="H375" s="127"/>
      <c r="I375" s="514">
        <f t="shared" si="5"/>
        <v>46.49511431255872</v>
      </c>
    </row>
    <row r="376" spans="1:9" ht="19.5" customHeight="1">
      <c r="A376" s="189"/>
      <c r="B376" s="7"/>
      <c r="C376" s="140" t="s">
        <v>218</v>
      </c>
      <c r="D376" s="163" t="s">
        <v>219</v>
      </c>
      <c r="E376" s="26">
        <v>17510</v>
      </c>
      <c r="F376" s="88"/>
      <c r="G376" s="26">
        <v>7090</v>
      </c>
      <c r="H376" s="88"/>
      <c r="I376" s="514">
        <f t="shared" si="5"/>
        <v>40.49114791547687</v>
      </c>
    </row>
    <row r="377" spans="1:9" ht="26.25" customHeight="1">
      <c r="A377" s="131">
        <v>900</v>
      </c>
      <c r="B377" s="10"/>
      <c r="C377" s="141"/>
      <c r="D377" s="196" t="s">
        <v>258</v>
      </c>
      <c r="E377" s="549">
        <f>E378+E380</f>
        <v>2000000</v>
      </c>
      <c r="F377" s="127"/>
      <c r="G377" s="549">
        <f>G378+G380</f>
        <v>2609922.89</v>
      </c>
      <c r="H377" s="127"/>
      <c r="I377" s="647">
        <f t="shared" si="5"/>
        <v>130.4961445</v>
      </c>
    </row>
    <row r="378" spans="1:9" ht="36" customHeight="1">
      <c r="A378" s="185"/>
      <c r="B378" s="24">
        <v>90019</v>
      </c>
      <c r="C378" s="139"/>
      <c r="D378" s="197" t="s">
        <v>341</v>
      </c>
      <c r="E378" s="28">
        <f>SUM(E379:E379)</f>
        <v>2000000</v>
      </c>
      <c r="F378" s="127"/>
      <c r="G378" s="28">
        <f>SUM(G379:G379)</f>
        <v>2609705.89</v>
      </c>
      <c r="H378" s="127"/>
      <c r="I378" s="514">
        <f t="shared" si="5"/>
        <v>130.4852945</v>
      </c>
    </row>
    <row r="379" spans="1:9" ht="18.75" customHeight="1">
      <c r="A379" s="189"/>
      <c r="B379" s="1"/>
      <c r="C379" s="144" t="s">
        <v>349</v>
      </c>
      <c r="D379" s="163" t="s">
        <v>350</v>
      </c>
      <c r="E379" s="26">
        <v>2000000</v>
      </c>
      <c r="F379" s="127"/>
      <c r="G379" s="26">
        <v>2609705.89</v>
      </c>
      <c r="H379" s="127"/>
      <c r="I379" s="514">
        <f t="shared" si="5"/>
        <v>130.4852945</v>
      </c>
    </row>
    <row r="380" spans="1:9" ht="18.75" customHeight="1">
      <c r="A380" s="189"/>
      <c r="B380" s="24">
        <v>90095</v>
      </c>
      <c r="C380" s="139"/>
      <c r="D380" s="197" t="s">
        <v>250</v>
      </c>
      <c r="E380" s="28">
        <f>E381</f>
        <v>0</v>
      </c>
      <c r="F380" s="233"/>
      <c r="G380" s="28">
        <f>G381</f>
        <v>217</v>
      </c>
      <c r="H380" s="127"/>
      <c r="I380" s="514"/>
    </row>
    <row r="381" spans="1:9" ht="48.75" customHeight="1">
      <c r="A381" s="189"/>
      <c r="B381" s="1"/>
      <c r="C381" s="140">
        <v>2360</v>
      </c>
      <c r="D381" s="163" t="s">
        <v>243</v>
      </c>
      <c r="E381" s="26"/>
      <c r="F381" s="127"/>
      <c r="G381" s="26">
        <v>217</v>
      </c>
      <c r="H381" s="127"/>
      <c r="I381" s="514"/>
    </row>
    <row r="382" spans="1:9" ht="27" customHeight="1">
      <c r="A382" s="131">
        <v>921</v>
      </c>
      <c r="B382" s="5"/>
      <c r="C382" s="131"/>
      <c r="D382" s="171" t="s">
        <v>605</v>
      </c>
      <c r="E382" s="84">
        <f>E383</f>
        <v>100000</v>
      </c>
      <c r="F382" s="127"/>
      <c r="G382" s="84">
        <f>G383</f>
        <v>52000</v>
      </c>
      <c r="H382" s="127"/>
      <c r="I382" s="641">
        <f t="shared" si="5"/>
        <v>52</v>
      </c>
    </row>
    <row r="383" spans="1:9" s="53" customFormat="1" ht="20.25" customHeight="1">
      <c r="A383" s="185"/>
      <c r="B383" s="24">
        <v>92116</v>
      </c>
      <c r="C383" s="139"/>
      <c r="D383" s="197" t="s">
        <v>325</v>
      </c>
      <c r="E383" s="28">
        <f>E384</f>
        <v>100000</v>
      </c>
      <c r="F383" s="233"/>
      <c r="G383" s="28">
        <f>G384</f>
        <v>52000</v>
      </c>
      <c r="H383" s="233"/>
      <c r="I383" s="514">
        <f t="shared" si="5"/>
        <v>52</v>
      </c>
    </row>
    <row r="384" spans="1:9" ht="55.5" customHeight="1">
      <c r="A384" s="189"/>
      <c r="B384" s="1"/>
      <c r="C384" s="145">
        <v>2320</v>
      </c>
      <c r="D384" s="198" t="s">
        <v>602</v>
      </c>
      <c r="E384" s="26">
        <v>100000</v>
      </c>
      <c r="F384" s="88"/>
      <c r="G384" s="26">
        <v>52000</v>
      </c>
      <c r="H384" s="88"/>
      <c r="I384" s="514">
        <f t="shared" si="5"/>
        <v>52</v>
      </c>
    </row>
    <row r="385" spans="1:10" ht="24" customHeight="1">
      <c r="A385" s="245" t="s">
        <v>606</v>
      </c>
      <c r="B385" s="21"/>
      <c r="C385" s="149"/>
      <c r="D385" s="203"/>
      <c r="E385" s="65">
        <f>E238+E241+E244+E248+E258+E266+E271+E281+E286++E327+E343+E352+E377+E382</f>
        <v>113422966.53</v>
      </c>
      <c r="F385" s="538">
        <f>F238+F241+F244+F248+F258+F266+F271+F281+F286++F327+F343+F352+F377+F382</f>
        <v>11488007</v>
      </c>
      <c r="G385" s="65">
        <f>G238+G241+G244+G248+G258+G266+G271+G281+G286++G327+G343+G352+G377+G382</f>
        <v>65310818.20999999</v>
      </c>
      <c r="H385" s="538">
        <f>H238+H241+H244+H248+H258+H266+H271+H281+H286++H327+H343+H352+H377+H382</f>
        <v>6481358.13</v>
      </c>
      <c r="I385" s="641">
        <f t="shared" si="5"/>
        <v>57.58165229501866</v>
      </c>
      <c r="J385" s="50"/>
    </row>
    <row r="386" spans="1:10" ht="24.75" customHeight="1">
      <c r="A386" s="244" t="s">
        <v>607</v>
      </c>
      <c r="B386" s="10"/>
      <c r="C386" s="131"/>
      <c r="D386" s="174"/>
      <c r="E386" s="65">
        <f>E236+E385</f>
        <v>418617047.88</v>
      </c>
      <c r="F386" s="235">
        <f>F236+F385</f>
        <v>33532578.81</v>
      </c>
      <c r="G386" s="65">
        <f>G236+G385</f>
        <v>225403248.97999996</v>
      </c>
      <c r="H386" s="235">
        <f>H236+H385</f>
        <v>19219375.35</v>
      </c>
      <c r="I386" s="641">
        <f t="shared" si="5"/>
        <v>53.844737122271624</v>
      </c>
      <c r="J386" s="50"/>
    </row>
  </sheetData>
  <mergeCells count="5">
    <mergeCell ref="G9:H9"/>
    <mergeCell ref="A9:A11"/>
    <mergeCell ref="B9:B11"/>
    <mergeCell ref="C9:C11"/>
    <mergeCell ref="D9:D11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F32" sqref="F32"/>
    </sheetView>
  </sheetViews>
  <sheetFormatPr defaultColWidth="9.140625" defaultRowHeight="12.75"/>
  <cols>
    <col min="1" max="1" width="4.57421875" style="40" customWidth="1"/>
    <col min="2" max="2" width="22.7109375" style="40" customWidth="1"/>
    <col min="3" max="3" width="32.00390625" style="40" customWidth="1"/>
    <col min="4" max="4" width="18.8515625" style="40" customWidth="1"/>
    <col min="5" max="5" width="16.140625" style="40" customWidth="1"/>
    <col min="6" max="6" width="8.140625" style="40" customWidth="1"/>
    <col min="7" max="16384" width="9.140625" style="40" customWidth="1"/>
  </cols>
  <sheetData>
    <row r="1" spans="3:4" ht="18.75" customHeight="1">
      <c r="C1" s="273"/>
      <c r="D1" s="253" t="s">
        <v>847</v>
      </c>
    </row>
    <row r="2" spans="3:4" ht="18.75" customHeight="1">
      <c r="C2" s="273"/>
      <c r="D2" s="253"/>
    </row>
    <row r="3" spans="3:4" ht="19.5" customHeight="1">
      <c r="C3" s="256"/>
      <c r="D3" s="256"/>
    </row>
    <row r="4" spans="1:3" s="274" customFormat="1" ht="17.25" customHeight="1">
      <c r="A4" s="114" t="s">
        <v>848</v>
      </c>
      <c r="B4" s="305"/>
      <c r="C4" s="269"/>
    </row>
    <row r="5" spans="1:3" s="274" customFormat="1" ht="17.25" customHeight="1">
      <c r="A5" s="114" t="s">
        <v>849</v>
      </c>
      <c r="B5" s="305"/>
      <c r="C5" s="269"/>
    </row>
    <row r="6" spans="1:3" s="274" customFormat="1" ht="17.25" customHeight="1">
      <c r="A6" s="306" t="s">
        <v>719</v>
      </c>
      <c r="B6" s="305"/>
      <c r="C6" s="269"/>
    </row>
    <row r="7" spans="1:3" s="274" customFormat="1" ht="17.25" customHeight="1">
      <c r="A7" s="306"/>
      <c r="B7" s="305"/>
      <c r="C7" s="269"/>
    </row>
    <row r="8" spans="1:2" ht="18.75">
      <c r="A8" s="306"/>
      <c r="B8" s="307"/>
    </row>
    <row r="9" spans="3:6" ht="11.25" customHeight="1">
      <c r="C9" s="308"/>
      <c r="D9" s="278"/>
      <c r="E9" s="278" t="s">
        <v>202</v>
      </c>
      <c r="F9" s="751"/>
    </row>
    <row r="10" spans="1:6" ht="33" customHeight="1">
      <c r="A10" s="309" t="s">
        <v>203</v>
      </c>
      <c r="B10" s="309" t="s">
        <v>656</v>
      </c>
      <c r="C10" s="309" t="s">
        <v>657</v>
      </c>
      <c r="D10" s="311" t="s">
        <v>235</v>
      </c>
      <c r="E10" s="311" t="s">
        <v>713</v>
      </c>
      <c r="F10" s="311" t="s">
        <v>714</v>
      </c>
    </row>
    <row r="11" spans="1:6" ht="24" customHeight="1">
      <c r="A11" s="49" t="s">
        <v>658</v>
      </c>
      <c r="B11" s="312"/>
      <c r="C11" s="313"/>
      <c r="D11" s="314">
        <f>D12+D16+D19</f>
        <v>16108856.13</v>
      </c>
      <c r="E11" s="314">
        <f>E12+E16+E19</f>
        <v>8896861.799999999</v>
      </c>
      <c r="F11" s="756">
        <f>E11*100/D11</f>
        <v>55.22963100670512</v>
      </c>
    </row>
    <row r="12" spans="1:6" s="320" customFormat="1" ht="24" customHeight="1">
      <c r="A12" s="316" t="s">
        <v>659</v>
      </c>
      <c r="B12" s="317"/>
      <c r="C12" s="318"/>
      <c r="D12" s="319">
        <f>D13</f>
        <v>4800000</v>
      </c>
      <c r="E12" s="319">
        <f>E13</f>
        <v>2845000</v>
      </c>
      <c r="F12" s="791">
        <f>E12*100/D12</f>
        <v>59.270833333333336</v>
      </c>
    </row>
    <row r="13" spans="1:6" ht="31.5" customHeight="1">
      <c r="A13" s="321">
        <v>921</v>
      </c>
      <c r="B13" s="283" t="s">
        <v>660</v>
      </c>
      <c r="C13" s="11"/>
      <c r="D13" s="314">
        <f>D14+D15</f>
        <v>4800000</v>
      </c>
      <c r="E13" s="314">
        <f>E14+E15</f>
        <v>2845000</v>
      </c>
      <c r="F13" s="756">
        <f>E13*100/D13</f>
        <v>59.270833333333336</v>
      </c>
    </row>
    <row r="14" spans="1:6" ht="27.75" customHeight="1">
      <c r="A14" s="322"/>
      <c r="B14" s="323"/>
      <c r="C14" s="324" t="s">
        <v>661</v>
      </c>
      <c r="D14" s="325">
        <v>3500000</v>
      </c>
      <c r="E14" s="325">
        <v>2125000</v>
      </c>
      <c r="F14" s="760">
        <f>E14*100/D14</f>
        <v>60.714285714285715</v>
      </c>
    </row>
    <row r="15" spans="1:6" ht="27.75" customHeight="1">
      <c r="A15" s="326"/>
      <c r="B15" s="327"/>
      <c r="C15" s="324" t="s">
        <v>662</v>
      </c>
      <c r="D15" s="325">
        <f>1200000+100000</f>
        <v>1300000</v>
      </c>
      <c r="E15" s="325">
        <v>720000</v>
      </c>
      <c r="F15" s="760">
        <f>E15*100/D15</f>
        <v>55.38461538461539</v>
      </c>
    </row>
    <row r="16" spans="1:6" ht="26.25" customHeight="1">
      <c r="A16" s="316" t="s">
        <v>663</v>
      </c>
      <c r="B16" s="328"/>
      <c r="C16" s="324"/>
      <c r="D16" s="319">
        <f>D17</f>
        <v>11292633.63</v>
      </c>
      <c r="E16" s="319">
        <f>E17</f>
        <v>6047380.22</v>
      </c>
      <c r="F16" s="756">
        <f aca="true" t="shared" si="0" ref="F16:F26">E16*100/D16</f>
        <v>53.55154889586194</v>
      </c>
    </row>
    <row r="17" spans="1:6" ht="33" customHeight="1">
      <c r="A17" s="102">
        <v>600</v>
      </c>
      <c r="B17" s="42" t="s">
        <v>210</v>
      </c>
      <c r="C17" s="324"/>
      <c r="D17" s="314">
        <f>D18</f>
        <v>11292633.63</v>
      </c>
      <c r="E17" s="314">
        <f>E18</f>
        <v>6047380.22</v>
      </c>
      <c r="F17" s="756">
        <f t="shared" si="0"/>
        <v>53.55154889586194</v>
      </c>
    </row>
    <row r="18" spans="1:6" ht="34.5" customHeight="1">
      <c r="A18" s="329"/>
      <c r="B18" s="330"/>
      <c r="C18" s="331" t="s">
        <v>664</v>
      </c>
      <c r="D18" s="325">
        <f>11269646.05+5542.46+17445.12</f>
        <v>11292633.63</v>
      </c>
      <c r="E18" s="325">
        <v>6047380.22</v>
      </c>
      <c r="F18" s="760">
        <f t="shared" si="0"/>
        <v>53.55154889586194</v>
      </c>
    </row>
    <row r="19" spans="1:6" ht="28.5" customHeight="1">
      <c r="A19" s="3" t="s">
        <v>665</v>
      </c>
      <c r="B19" s="14"/>
      <c r="C19" s="11"/>
      <c r="D19" s="319">
        <f>D20+D22</f>
        <v>16222.5</v>
      </c>
      <c r="E19" s="319">
        <f>E20+E22</f>
        <v>4481.58</v>
      </c>
      <c r="F19" s="756">
        <f t="shared" si="0"/>
        <v>27.625705039297273</v>
      </c>
    </row>
    <row r="20" spans="1:6" ht="28.5" customHeight="1">
      <c r="A20" s="10">
        <v>750</v>
      </c>
      <c r="B20" s="332" t="s">
        <v>251</v>
      </c>
      <c r="C20" s="333"/>
      <c r="D20" s="314">
        <f>SUM(D21)</f>
        <v>4222.5</v>
      </c>
      <c r="E20" s="314">
        <f>SUM(E21)</f>
        <v>4181.58</v>
      </c>
      <c r="F20" s="756">
        <f t="shared" si="0"/>
        <v>99.03090586145649</v>
      </c>
    </row>
    <row r="21" spans="1:6" ht="51.75" customHeight="1">
      <c r="A21" s="334"/>
      <c r="B21" s="335"/>
      <c r="C21" s="333" t="s">
        <v>666</v>
      </c>
      <c r="D21" s="336">
        <v>4222.5</v>
      </c>
      <c r="E21" s="336">
        <v>4181.58</v>
      </c>
      <c r="F21" s="760">
        <f t="shared" si="0"/>
        <v>99.03090586145649</v>
      </c>
    </row>
    <row r="22" spans="1:6" ht="30" customHeight="1">
      <c r="A22" s="58">
        <v>900</v>
      </c>
      <c r="B22" s="341" t="s">
        <v>667</v>
      </c>
      <c r="C22" s="792"/>
      <c r="D22" s="342">
        <f>D23</f>
        <v>12000</v>
      </c>
      <c r="E22" s="342">
        <f>E23</f>
        <v>300</v>
      </c>
      <c r="F22" s="756">
        <f t="shared" si="0"/>
        <v>2.5</v>
      </c>
    </row>
    <row r="23" spans="1:7" ht="51" customHeight="1">
      <c r="A23" s="322"/>
      <c r="B23" s="18"/>
      <c r="C23" s="793" t="s">
        <v>668</v>
      </c>
      <c r="D23" s="343">
        <v>12000</v>
      </c>
      <c r="E23" s="343">
        <v>300</v>
      </c>
      <c r="F23" s="756">
        <f t="shared" si="0"/>
        <v>2.5</v>
      </c>
      <c r="G23" s="22"/>
    </row>
    <row r="24" spans="1:7" ht="30.75" customHeight="1">
      <c r="A24" s="49" t="s">
        <v>669</v>
      </c>
      <c r="B24" s="436"/>
      <c r="C24" s="345"/>
      <c r="D24" s="346">
        <f>D25+D28</f>
        <v>3776658</v>
      </c>
      <c r="E24" s="346">
        <f>E25+E28</f>
        <v>1820400</v>
      </c>
      <c r="F24" s="756">
        <f t="shared" si="0"/>
        <v>48.20134626963839</v>
      </c>
      <c r="G24" s="22"/>
    </row>
    <row r="25" spans="1:7" ht="33" customHeight="1">
      <c r="A25" s="338" t="s">
        <v>659</v>
      </c>
      <c r="B25" s="347"/>
      <c r="C25" s="348"/>
      <c r="D25" s="349">
        <f>D26</f>
        <v>2554000</v>
      </c>
      <c r="E25" s="349">
        <f>E26</f>
        <v>1335000</v>
      </c>
      <c r="F25" s="756">
        <f t="shared" si="0"/>
        <v>52.27094753328113</v>
      </c>
      <c r="G25" s="22"/>
    </row>
    <row r="26" spans="1:6" ht="33" customHeight="1">
      <c r="A26" s="102">
        <v>921</v>
      </c>
      <c r="B26" s="283" t="s">
        <v>660</v>
      </c>
      <c r="C26" s="350"/>
      <c r="D26" s="351">
        <f>D27</f>
        <v>2554000</v>
      </c>
      <c r="E26" s="351">
        <f>E27</f>
        <v>1335000</v>
      </c>
      <c r="F26" s="756">
        <f t="shared" si="0"/>
        <v>52.27094753328113</v>
      </c>
    </row>
    <row r="27" spans="1:6" ht="24.75" customHeight="1">
      <c r="A27" s="352"/>
      <c r="B27" s="335"/>
      <c r="C27" s="331" t="s">
        <v>670</v>
      </c>
      <c r="D27" s="325">
        <f>2400000+100000+54000</f>
        <v>2554000</v>
      </c>
      <c r="E27" s="325">
        <v>1335000</v>
      </c>
      <c r="F27" s="760"/>
    </row>
    <row r="28" spans="1:6" ht="27.75" customHeight="1">
      <c r="A28" s="3" t="s">
        <v>665</v>
      </c>
      <c r="B28" s="353"/>
      <c r="C28" s="331"/>
      <c r="D28" s="354">
        <f>D29+D31+D33+D35</f>
        <v>1222658</v>
      </c>
      <c r="E28" s="354">
        <f>E29+E31+E33+E35</f>
        <v>485400</v>
      </c>
      <c r="F28" s="791">
        <f>E28*100/D28</f>
        <v>39.700390460782984</v>
      </c>
    </row>
    <row r="29" spans="1:6" ht="27.75" customHeight="1">
      <c r="A29" s="102">
        <v>600</v>
      </c>
      <c r="B29" s="42" t="s">
        <v>210</v>
      </c>
      <c r="C29" s="333"/>
      <c r="D29" s="344">
        <f>D30</f>
        <v>250000</v>
      </c>
      <c r="E29" s="344">
        <f>E30</f>
        <v>0</v>
      </c>
      <c r="F29" s="756">
        <f aca="true" t="shared" si="1" ref="F29:F37">E29*100/D29</f>
        <v>0</v>
      </c>
    </row>
    <row r="30" spans="1:6" ht="80.25" customHeight="1">
      <c r="A30" s="323"/>
      <c r="B30" s="356"/>
      <c r="C30" s="357" t="s">
        <v>0</v>
      </c>
      <c r="D30" s="325">
        <f>155000+95000</f>
        <v>250000</v>
      </c>
      <c r="E30" s="325">
        <v>0</v>
      </c>
      <c r="F30" s="760"/>
    </row>
    <row r="31" spans="1:6" ht="27.75" customHeight="1">
      <c r="A31" s="18">
        <v>630</v>
      </c>
      <c r="B31" s="355" t="s">
        <v>671</v>
      </c>
      <c r="C31" s="333"/>
      <c r="D31" s="344">
        <f>D32</f>
        <v>2258</v>
      </c>
      <c r="E31" s="344">
        <f>E32</f>
        <v>0</v>
      </c>
      <c r="F31" s="756"/>
    </row>
    <row r="32" spans="1:6" ht="43.5" customHeight="1">
      <c r="A32" s="323"/>
      <c r="B32" s="356"/>
      <c r="C32" s="357" t="s">
        <v>672</v>
      </c>
      <c r="D32" s="325">
        <v>2258</v>
      </c>
      <c r="E32" s="325">
        <v>0</v>
      </c>
      <c r="F32" s="760"/>
    </row>
    <row r="33" spans="1:6" ht="29.25" customHeight="1">
      <c r="A33" s="102">
        <v>801</v>
      </c>
      <c r="B33" s="332" t="s">
        <v>255</v>
      </c>
      <c r="C33" s="357"/>
      <c r="D33" s="344">
        <f>D34</f>
        <v>400</v>
      </c>
      <c r="E33" s="344">
        <f>E34</f>
        <v>400</v>
      </c>
      <c r="F33" s="756">
        <f t="shared" si="1"/>
        <v>100</v>
      </c>
    </row>
    <row r="34" spans="1:6" ht="70.5" customHeight="1">
      <c r="A34" s="10"/>
      <c r="B34" s="332"/>
      <c r="C34" s="357" t="s">
        <v>1</v>
      </c>
      <c r="D34" s="325">
        <v>400</v>
      </c>
      <c r="E34" s="325">
        <v>400</v>
      </c>
      <c r="F34" s="760">
        <f t="shared" si="1"/>
        <v>100</v>
      </c>
    </row>
    <row r="35" spans="1:6" ht="36" customHeight="1">
      <c r="A35" s="102">
        <v>853</v>
      </c>
      <c r="B35" s="332" t="s">
        <v>324</v>
      </c>
      <c r="C35" s="357"/>
      <c r="D35" s="344">
        <f>D36</f>
        <v>970000</v>
      </c>
      <c r="E35" s="344">
        <f>E36</f>
        <v>485000</v>
      </c>
      <c r="F35" s="756">
        <f t="shared" si="1"/>
        <v>50</v>
      </c>
    </row>
    <row r="36" spans="1:6" ht="30.75" customHeight="1">
      <c r="A36" s="10"/>
      <c r="B36" s="332"/>
      <c r="C36" s="357" t="s">
        <v>673</v>
      </c>
      <c r="D36" s="325">
        <v>970000</v>
      </c>
      <c r="E36" s="325">
        <v>485000</v>
      </c>
      <c r="F36" s="760">
        <f t="shared" si="1"/>
        <v>50</v>
      </c>
    </row>
    <row r="37" spans="1:6" ht="25.5" customHeight="1">
      <c r="A37" s="1059" t="s">
        <v>652</v>
      </c>
      <c r="B37" s="1060"/>
      <c r="C37" s="1058"/>
      <c r="D37" s="358">
        <f>D11+D24</f>
        <v>19885514.130000003</v>
      </c>
      <c r="E37" s="358">
        <f>E11+E24</f>
        <v>10717261.799999999</v>
      </c>
      <c r="F37" s="756">
        <f t="shared" si="1"/>
        <v>53.89481876071563</v>
      </c>
    </row>
  </sheetData>
  <mergeCells count="1">
    <mergeCell ref="A37:C37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X219"/>
  <sheetViews>
    <sheetView workbookViewId="0" topLeftCell="A1">
      <selection activeCell="D27" sqref="D27"/>
    </sheetView>
  </sheetViews>
  <sheetFormatPr defaultColWidth="9.140625" defaultRowHeight="12.75"/>
  <cols>
    <col min="1" max="1" width="15.00390625" style="22" customWidth="1"/>
    <col min="2" max="2" width="6.7109375" style="22" customWidth="1"/>
    <col min="3" max="3" width="11.8515625" style="22" customWidth="1"/>
    <col min="4" max="4" width="13.57421875" style="22" customWidth="1"/>
    <col min="5" max="5" width="12.28125" style="22" customWidth="1"/>
    <col min="6" max="6" width="12.421875" style="22" customWidth="1"/>
    <col min="7" max="7" width="11.7109375" style="22" customWidth="1"/>
    <col min="8" max="8" width="12.57421875" style="22" customWidth="1"/>
    <col min="9" max="9" width="13.421875" style="22" customWidth="1"/>
    <col min="10" max="10" width="9.28125" style="22" customWidth="1"/>
    <col min="11" max="11" width="11.57421875" style="22" customWidth="1"/>
    <col min="12" max="12" width="14.57421875" style="22" customWidth="1"/>
    <col min="13" max="16384" width="9.140625" style="22" customWidth="1"/>
  </cols>
  <sheetData>
    <row r="2" ht="20.25">
      <c r="I2" s="273" t="s">
        <v>2</v>
      </c>
    </row>
    <row r="3" ht="20.25">
      <c r="I3" s="273"/>
    </row>
    <row r="4" spans="1:9" ht="20.25">
      <c r="A4" s="276" t="s">
        <v>3</v>
      </c>
      <c r="B4" s="276"/>
      <c r="I4" s="273"/>
    </row>
    <row r="5" spans="1:9" ht="20.25">
      <c r="A5" s="794" t="s">
        <v>14</v>
      </c>
      <c r="B5" s="275"/>
      <c r="I5" s="273"/>
    </row>
    <row r="6" ht="20.25">
      <c r="I6" s="273"/>
    </row>
    <row r="7" spans="1:24" s="277" customFormat="1" ht="18.75">
      <c r="A7" s="275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</row>
    <row r="8" spans="1:24" s="277" customFormat="1" ht="18.75">
      <c r="A8" s="276"/>
      <c r="B8" s="276"/>
      <c r="C8" s="276"/>
      <c r="D8" s="276"/>
      <c r="E8" s="276"/>
      <c r="F8" s="276"/>
      <c r="G8" s="276"/>
      <c r="H8" s="276"/>
      <c r="I8" s="276"/>
      <c r="J8" s="278" t="s">
        <v>202</v>
      </c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</row>
    <row r="9" spans="1:24" ht="19.5" customHeight="1">
      <c r="A9" s="838"/>
      <c r="B9" s="795"/>
      <c r="C9" s="795"/>
      <c r="D9" s="757" t="s">
        <v>4</v>
      </c>
      <c r="E9" s="796"/>
      <c r="F9" s="280" t="s">
        <v>5</v>
      </c>
      <c r="G9" s="797"/>
      <c r="H9" s="757" t="s">
        <v>4</v>
      </c>
      <c r="I9" s="279"/>
      <c r="J9" s="280" t="s">
        <v>5</v>
      </c>
      <c r="K9" s="281"/>
      <c r="L9" s="124"/>
      <c r="M9" s="124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ht="21.75" customHeight="1">
      <c r="A10" s="803"/>
      <c r="B10" s="286"/>
      <c r="C10" s="80" t="s">
        <v>6</v>
      </c>
      <c r="D10" s="285"/>
      <c r="E10" s="268"/>
      <c r="F10" s="287" t="s">
        <v>645</v>
      </c>
      <c r="G10" s="798"/>
      <c r="H10" s="398"/>
      <c r="I10" s="157"/>
      <c r="J10" s="289" t="s">
        <v>173</v>
      </c>
      <c r="K10" s="81" t="s">
        <v>6</v>
      </c>
      <c r="L10" s="124"/>
      <c r="M10" s="12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18.75" customHeight="1">
      <c r="A11" s="799" t="s">
        <v>646</v>
      </c>
      <c r="B11" s="800" t="s">
        <v>203</v>
      </c>
      <c r="C11" s="80" t="s">
        <v>7</v>
      </c>
      <c r="D11" s="290" t="s">
        <v>647</v>
      </c>
      <c r="E11" s="290" t="s">
        <v>647</v>
      </c>
      <c r="F11" s="1061" t="s">
        <v>648</v>
      </c>
      <c r="G11" s="1063" t="s">
        <v>649</v>
      </c>
      <c r="H11" s="67" t="s">
        <v>8</v>
      </c>
      <c r="I11" s="801" t="s">
        <v>9</v>
      </c>
      <c r="J11" s="1061" t="s">
        <v>650</v>
      </c>
      <c r="K11" s="81" t="s">
        <v>10</v>
      </c>
      <c r="L11" s="124"/>
      <c r="M11" s="124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19.5" customHeight="1">
      <c r="A12" s="291"/>
      <c r="B12" s="802" t="s">
        <v>651</v>
      </c>
      <c r="C12" s="573" t="s">
        <v>11</v>
      </c>
      <c r="D12" s="291"/>
      <c r="E12" s="292"/>
      <c r="F12" s="1062"/>
      <c r="G12" s="1064"/>
      <c r="H12" s="697"/>
      <c r="I12" s="288"/>
      <c r="J12" s="1062"/>
      <c r="K12" s="86" t="s">
        <v>11</v>
      </c>
      <c r="L12" s="124"/>
      <c r="M12" s="124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ht="45" customHeight="1">
      <c r="A13" s="806" t="s">
        <v>654</v>
      </c>
      <c r="B13" s="745">
        <v>600</v>
      </c>
      <c r="C13" s="709">
        <v>-695306.57</v>
      </c>
      <c r="D13" s="33">
        <f>24092118.61+5542.46+17445.12</f>
        <v>24115106.19</v>
      </c>
      <c r="E13" s="84">
        <v>12011023.4</v>
      </c>
      <c r="F13" s="84">
        <f>SUM(F15,)</f>
        <v>6047380.22</v>
      </c>
      <c r="G13" s="628"/>
      <c r="H13" s="33">
        <f>24092118.61+5542.46+17445.12</f>
        <v>24115106.19</v>
      </c>
      <c r="I13" s="33">
        <f>11441428.1+122208</f>
        <v>11563636.1</v>
      </c>
      <c r="J13" s="234"/>
      <c r="K13" s="709">
        <f>C13+E13-I13</f>
        <v>-247919.26999999955</v>
      </c>
      <c r="L13" s="293"/>
      <c r="M13" s="29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8.75" customHeight="1">
      <c r="A14" s="398" t="s">
        <v>173</v>
      </c>
      <c r="B14" s="295">
        <v>60004</v>
      </c>
      <c r="C14" s="295"/>
      <c r="D14" s="251"/>
      <c r="E14" s="296"/>
      <c r="F14" s="296"/>
      <c r="G14" s="297"/>
      <c r="H14" s="297"/>
      <c r="I14" s="251"/>
      <c r="J14" s="272"/>
      <c r="K14" s="646"/>
      <c r="L14" s="298"/>
      <c r="M14" s="294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ht="62.25" customHeight="1">
      <c r="A15" s="804" t="s">
        <v>655</v>
      </c>
      <c r="B15" s="295"/>
      <c r="C15" s="295"/>
      <c r="D15" s="251">
        <v>11292633.63</v>
      </c>
      <c r="E15" s="296"/>
      <c r="F15" s="296">
        <v>6047380.22</v>
      </c>
      <c r="G15" s="297" t="s">
        <v>12</v>
      </c>
      <c r="H15" s="299"/>
      <c r="I15" s="251"/>
      <c r="J15" s="272"/>
      <c r="K15" s="646"/>
      <c r="L15" s="298"/>
      <c r="M15" s="5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4" ht="12" customHeight="1">
      <c r="A16" s="398" t="s">
        <v>653</v>
      </c>
      <c r="B16" s="295"/>
      <c r="C16" s="295"/>
      <c r="D16" s="251"/>
      <c r="E16" s="296"/>
      <c r="F16" s="296"/>
      <c r="G16" s="297"/>
      <c r="H16" s="297"/>
      <c r="I16" s="251"/>
      <c r="J16" s="272"/>
      <c r="K16" s="646"/>
      <c r="L16" s="298"/>
      <c r="M16" s="5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30.75" customHeight="1">
      <c r="A17" s="805" t="s">
        <v>13</v>
      </c>
      <c r="B17" s="300"/>
      <c r="C17" s="300"/>
      <c r="D17" s="250">
        <v>1277383.63</v>
      </c>
      <c r="E17" s="301"/>
      <c r="F17" s="301">
        <v>630792.3</v>
      </c>
      <c r="G17" s="302"/>
      <c r="H17" s="302"/>
      <c r="I17" s="250"/>
      <c r="J17" s="303"/>
      <c r="K17" s="645"/>
      <c r="L17" s="298"/>
      <c r="M17" s="5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124"/>
      <c r="L18" s="124"/>
      <c r="M18" s="124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124"/>
      <c r="L19" s="124"/>
      <c r="M19" s="124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124"/>
      <c r="L20" s="124"/>
      <c r="M20" s="124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12.75">
      <c r="A21" s="40"/>
      <c r="B21" s="40"/>
      <c r="C21" s="40"/>
      <c r="D21" s="48"/>
      <c r="E21" s="48"/>
      <c r="F21" s="40"/>
      <c r="G21" s="40"/>
      <c r="H21" s="40"/>
      <c r="I21" s="48"/>
      <c r="J21" s="40"/>
      <c r="K21" s="124"/>
      <c r="L21" s="124"/>
      <c r="M21" s="124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124"/>
      <c r="L22" s="124"/>
      <c r="M22" s="124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12.75">
      <c r="A23" s="40"/>
      <c r="B23" s="40"/>
      <c r="C23" s="40"/>
      <c r="D23" s="48"/>
      <c r="E23" s="48"/>
      <c r="F23" s="48"/>
      <c r="G23" s="48"/>
      <c r="H23" s="48"/>
      <c r="I23" s="48"/>
      <c r="J23" s="40"/>
      <c r="K23" s="124"/>
      <c r="L23" s="124"/>
      <c r="M23" s="124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124"/>
      <c r="L24" s="124"/>
      <c r="M24" s="124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12.75">
      <c r="A25" s="40"/>
      <c r="B25" s="48"/>
      <c r="C25" s="48"/>
      <c r="D25" s="48"/>
      <c r="E25" s="48"/>
      <c r="F25" s="48"/>
      <c r="G25" s="48"/>
      <c r="H25" s="48"/>
      <c r="I25" s="40"/>
      <c r="J25" s="40"/>
      <c r="K25" s="124"/>
      <c r="L25" s="124"/>
      <c r="M25" s="124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12.75">
      <c r="A26" s="40"/>
      <c r="B26" s="48"/>
      <c r="C26" s="48"/>
      <c r="D26" s="48"/>
      <c r="E26" s="48"/>
      <c r="F26" s="48"/>
      <c r="G26" s="48"/>
      <c r="H26" s="48"/>
      <c r="I26" s="40"/>
      <c r="J26" s="40"/>
      <c r="K26" s="124"/>
      <c r="L26" s="124"/>
      <c r="M26" s="124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ht="12.75">
      <c r="A27" s="40"/>
      <c r="B27" s="48"/>
      <c r="C27" s="48"/>
      <c r="D27" s="48"/>
      <c r="E27" s="48"/>
      <c r="F27" s="48"/>
      <c r="G27" s="48"/>
      <c r="H27" s="48"/>
      <c r="I27" s="40"/>
      <c r="J27" s="40"/>
      <c r="K27" s="124"/>
      <c r="L27" s="124"/>
      <c r="M27" s="124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12.75">
      <c r="A28" s="40"/>
      <c r="B28" s="48"/>
      <c r="C28" s="48"/>
      <c r="D28" s="48"/>
      <c r="E28" s="48"/>
      <c r="F28" s="48"/>
      <c r="G28" s="48"/>
      <c r="H28" s="48"/>
      <c r="I28" s="40"/>
      <c r="J28" s="40"/>
      <c r="K28" s="124"/>
      <c r="L28" s="124"/>
      <c r="M28" s="124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12.75">
      <c r="A29" s="40"/>
      <c r="B29" s="48"/>
      <c r="C29" s="48"/>
      <c r="D29" s="48"/>
      <c r="E29" s="48"/>
      <c r="F29" s="48"/>
      <c r="G29" s="48"/>
      <c r="H29" s="48"/>
      <c r="I29" s="40"/>
      <c r="J29" s="40"/>
      <c r="K29" s="124"/>
      <c r="L29" s="124"/>
      <c r="M29" s="124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12.75">
      <c r="A30" s="40"/>
      <c r="B30" s="48"/>
      <c r="C30" s="48"/>
      <c r="D30" s="48"/>
      <c r="E30" s="48"/>
      <c r="F30" s="48"/>
      <c r="G30" s="48"/>
      <c r="H30" s="48"/>
      <c r="I30" s="40"/>
      <c r="J30" s="40"/>
      <c r="K30" s="124"/>
      <c r="L30" s="124"/>
      <c r="M30" s="124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12.75">
      <c r="A31" s="40"/>
      <c r="B31" s="48"/>
      <c r="C31" s="48"/>
      <c r="D31" s="48"/>
      <c r="E31" s="48"/>
      <c r="F31" s="48"/>
      <c r="G31" s="48"/>
      <c r="H31" s="48"/>
      <c r="I31" s="40"/>
      <c r="J31" s="40"/>
      <c r="K31" s="124"/>
      <c r="L31" s="124"/>
      <c r="M31" s="124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124"/>
      <c r="L32" s="124"/>
      <c r="M32" s="124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124"/>
      <c r="L33" s="124"/>
      <c r="M33" s="124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124"/>
      <c r="L34" s="124"/>
      <c r="M34" s="124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124"/>
      <c r="L35" s="124"/>
      <c r="M35" s="124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124"/>
      <c r="L36" s="124"/>
      <c r="M36" s="124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124"/>
      <c r="L37" s="124"/>
      <c r="M37" s="124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1:24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24"/>
      <c r="L38" s="124"/>
      <c r="M38" s="124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24"/>
      <c r="L39" s="124"/>
      <c r="M39" s="124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24"/>
      <c r="L40" s="124"/>
      <c r="M40" s="124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24"/>
      <c r="L41" s="124"/>
      <c r="M41" s="124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24"/>
      <c r="L42" s="124"/>
      <c r="M42" s="124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24"/>
      <c r="L43" s="124"/>
      <c r="M43" s="124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24"/>
      <c r="L44" s="124"/>
      <c r="M44" s="124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24"/>
      <c r="L45" s="124"/>
      <c r="M45" s="124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24"/>
      <c r="L46" s="124"/>
      <c r="M46" s="124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24"/>
      <c r="L47" s="124"/>
      <c r="M47" s="124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24"/>
      <c r="L48" s="124"/>
      <c r="M48" s="124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24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24"/>
      <c r="L49" s="124"/>
      <c r="M49" s="124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1:24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24"/>
      <c r="L50" s="124"/>
      <c r="M50" s="124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24"/>
      <c r="L51" s="124"/>
      <c r="M51" s="124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24"/>
      <c r="L52" s="124"/>
      <c r="M52" s="124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4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124"/>
      <c r="L53" s="124"/>
      <c r="M53" s="124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4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124"/>
      <c r="L54" s="124"/>
      <c r="M54" s="124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1:24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124"/>
      <c r="L55" s="124"/>
      <c r="M55" s="124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124"/>
      <c r="L56" s="124"/>
      <c r="M56" s="124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124"/>
      <c r="L57" s="124"/>
      <c r="M57" s="124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124"/>
      <c r="L58" s="124"/>
      <c r="M58" s="124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124"/>
      <c r="L59" s="124"/>
      <c r="M59" s="124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124"/>
      <c r="L60" s="124"/>
      <c r="M60" s="124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124"/>
      <c r="L61" s="124"/>
      <c r="M61" s="124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1:24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124"/>
      <c r="L62" s="124"/>
      <c r="M62" s="124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24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124"/>
      <c r="L63" s="124"/>
      <c r="M63" s="124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1:24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124"/>
      <c r="L64" s="124"/>
      <c r="M64" s="124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1:24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124"/>
      <c r="L65" s="124"/>
      <c r="M65" s="124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1:24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124"/>
      <c r="L66" s="124"/>
      <c r="M66" s="124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1:24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124"/>
      <c r="L67" s="124"/>
      <c r="M67" s="124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1:24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124"/>
      <c r="L68" s="124"/>
      <c r="M68" s="124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124"/>
      <c r="L69" s="124"/>
      <c r="M69" s="124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1:24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124"/>
      <c r="L70" s="124"/>
      <c r="M70" s="124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1:24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124"/>
      <c r="L71" s="124"/>
      <c r="M71" s="124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1:24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124"/>
      <c r="L72" s="124"/>
      <c r="M72" s="124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1:24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124"/>
      <c r="L73" s="124"/>
      <c r="M73" s="124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124"/>
      <c r="L74" s="124"/>
      <c r="M74" s="124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24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124"/>
      <c r="L75" s="124"/>
      <c r="M75" s="124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</row>
    <row r="76" spans="1:24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124"/>
      <c r="L76" s="124"/>
      <c r="M76" s="124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1:24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124"/>
      <c r="L77" s="124"/>
      <c r="M77" s="124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124"/>
      <c r="L78" s="124"/>
      <c r="M78" s="124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4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124"/>
      <c r="L79" s="124"/>
      <c r="M79" s="124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</row>
    <row r="80" spans="1:24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124"/>
      <c r="L80" s="124"/>
      <c r="M80" s="124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1:24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124"/>
      <c r="L81" s="124"/>
      <c r="M81" s="124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1:24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124"/>
      <c r="L82" s="124"/>
      <c r="M82" s="124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24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124"/>
      <c r="L83" s="124"/>
      <c r="M83" s="124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1:24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124"/>
      <c r="L84" s="124"/>
      <c r="M84" s="124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1:24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124"/>
      <c r="L85" s="124"/>
      <c r="M85" s="124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1:24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124"/>
      <c r="L86" s="124"/>
      <c r="M86" s="124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:24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124"/>
      <c r="L87" s="124"/>
      <c r="M87" s="124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1:24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124"/>
      <c r="L88" s="124"/>
      <c r="M88" s="124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24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124"/>
      <c r="L89" s="124"/>
      <c r="M89" s="124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:24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124"/>
      <c r="L90" s="124"/>
      <c r="M90" s="124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:24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124"/>
      <c r="L91" s="124"/>
      <c r="M91" s="124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:24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124"/>
      <c r="L92" s="124"/>
      <c r="M92" s="124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124"/>
      <c r="L93" s="124"/>
      <c r="M93" s="124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:24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124"/>
      <c r="L94" s="124"/>
      <c r="M94" s="124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:24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124"/>
      <c r="L95" s="124"/>
      <c r="M95" s="124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4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124"/>
      <c r="L96" s="124"/>
      <c r="M96" s="124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:24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124"/>
      <c r="L97" s="124"/>
      <c r="M97" s="124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124"/>
      <c r="L98" s="124"/>
      <c r="M98" s="124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:24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124"/>
      <c r="L99" s="124"/>
      <c r="M99" s="124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:24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124"/>
      <c r="L100" s="124"/>
      <c r="M100" s="124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1:24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124"/>
      <c r="L101" s="124"/>
      <c r="M101" s="124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124"/>
      <c r="L102" s="124"/>
      <c r="M102" s="124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  <row r="103" spans="1:24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124"/>
      <c r="L103" s="124"/>
      <c r="M103" s="124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:24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124"/>
      <c r="L104" s="124"/>
      <c r="M104" s="124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124"/>
      <c r="L105" s="124"/>
      <c r="M105" s="124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124"/>
      <c r="L106" s="124"/>
      <c r="M106" s="124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124"/>
      <c r="L107" s="124"/>
      <c r="M107" s="124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</row>
    <row r="108" spans="1:24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124"/>
      <c r="L108" s="124"/>
      <c r="M108" s="124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</row>
    <row r="109" spans="1:24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124"/>
      <c r="L109" s="124"/>
      <c r="M109" s="124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</row>
    <row r="110" spans="1:24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124"/>
      <c r="L110" s="124"/>
      <c r="M110" s="124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</row>
    <row r="111" spans="1:24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124"/>
      <c r="L111" s="124"/>
      <c r="M111" s="124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</row>
    <row r="112" spans="1:24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124"/>
      <c r="L112" s="124"/>
      <c r="M112" s="124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</row>
    <row r="113" spans="1:24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124"/>
      <c r="L113" s="124"/>
      <c r="M113" s="124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</row>
    <row r="114" spans="1:24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124"/>
      <c r="L114" s="124"/>
      <c r="M114" s="124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</row>
    <row r="115" spans="1:24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124"/>
      <c r="L115" s="124"/>
      <c r="M115" s="124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</row>
    <row r="116" spans="1:24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124"/>
      <c r="L116" s="124"/>
      <c r="M116" s="124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</row>
    <row r="117" spans="1:24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124"/>
      <c r="L117" s="124"/>
      <c r="M117" s="124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</row>
    <row r="118" spans="1:24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124"/>
      <c r="L118" s="124"/>
      <c r="M118" s="124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:24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124"/>
      <c r="L119" s="124"/>
      <c r="M119" s="124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1:24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124"/>
      <c r="L120" s="124"/>
      <c r="M120" s="124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1:24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124"/>
      <c r="L121" s="124"/>
      <c r="M121" s="124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</row>
    <row r="122" spans="1:24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124"/>
      <c r="L122" s="124"/>
      <c r="M122" s="124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</row>
    <row r="123" spans="1:24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124"/>
      <c r="L123" s="124"/>
      <c r="M123" s="124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</row>
    <row r="124" spans="1:24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124"/>
      <c r="L124" s="124"/>
      <c r="M124" s="124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  <row r="125" spans="1:24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124"/>
      <c r="L125" s="124"/>
      <c r="M125" s="124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</row>
    <row r="126" spans="1:24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124"/>
      <c r="L126" s="124"/>
      <c r="M126" s="124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</row>
    <row r="127" spans="1:24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124"/>
      <c r="L127" s="124"/>
      <c r="M127" s="124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</row>
    <row r="128" spans="1:24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124"/>
      <c r="L128" s="124"/>
      <c r="M128" s="124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</row>
    <row r="129" spans="1:24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124"/>
      <c r="L129" s="124"/>
      <c r="M129" s="124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</row>
    <row r="130" spans="1:24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124"/>
      <c r="L130" s="124"/>
      <c r="M130" s="124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1:24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124"/>
      <c r="L131" s="124"/>
      <c r="M131" s="124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1:24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124"/>
      <c r="L132" s="124"/>
      <c r="M132" s="124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</row>
    <row r="133" spans="1:24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124"/>
      <c r="L133" s="124"/>
      <c r="M133" s="124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</row>
    <row r="134" spans="1:24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124"/>
      <c r="L134" s="124"/>
      <c r="M134" s="124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</row>
    <row r="135" spans="1:24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124"/>
      <c r="L135" s="124"/>
      <c r="M135" s="124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</row>
    <row r="136" spans="1:24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124"/>
      <c r="L136" s="124"/>
      <c r="M136" s="124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</row>
    <row r="137" spans="1:24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124"/>
      <c r="L137" s="124"/>
      <c r="M137" s="124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</row>
    <row r="138" spans="1:24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124"/>
      <c r="L138" s="124"/>
      <c r="M138" s="124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</row>
    <row r="139" spans="1:24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124"/>
      <c r="L139" s="124"/>
      <c r="M139" s="124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</row>
    <row r="140" spans="1:24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124"/>
      <c r="L140" s="124"/>
      <c r="M140" s="124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</row>
    <row r="141" spans="1:24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124"/>
      <c r="L141" s="124"/>
      <c r="M141" s="124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</row>
    <row r="142" spans="1:24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124"/>
      <c r="L142" s="124"/>
      <c r="M142" s="124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:24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124"/>
      <c r="L143" s="124"/>
      <c r="M143" s="124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</row>
    <row r="144" spans="1:24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124"/>
      <c r="L144" s="124"/>
      <c r="M144" s="124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</row>
    <row r="145" spans="1:24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124"/>
      <c r="L145" s="124"/>
      <c r="M145" s="124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</row>
    <row r="146" spans="1:24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124"/>
      <c r="L146" s="124"/>
      <c r="M146" s="124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124"/>
      <c r="L147" s="124"/>
      <c r="M147" s="124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124"/>
      <c r="L148" s="124"/>
      <c r="M148" s="124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124"/>
      <c r="L149" s="124"/>
      <c r="M149" s="124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124"/>
      <c r="L150" s="124"/>
      <c r="M150" s="124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124"/>
      <c r="L151" s="124"/>
      <c r="M151" s="124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124"/>
      <c r="L152" s="124"/>
      <c r="M152" s="124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124"/>
      <c r="L153" s="124"/>
      <c r="M153" s="124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124"/>
      <c r="L154" s="124"/>
      <c r="M154" s="124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124"/>
      <c r="L155" s="124"/>
      <c r="M155" s="124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124"/>
      <c r="L156" s="124"/>
      <c r="M156" s="124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124"/>
      <c r="L157" s="124"/>
      <c r="M157" s="124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124"/>
      <c r="L158" s="124"/>
      <c r="M158" s="124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124"/>
      <c r="L159" s="124"/>
      <c r="M159" s="124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124"/>
      <c r="L160" s="124"/>
      <c r="M160" s="124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124"/>
      <c r="L161" s="124"/>
      <c r="M161" s="124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124"/>
      <c r="L162" s="124"/>
      <c r="M162" s="124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124"/>
      <c r="L163" s="124"/>
      <c r="M163" s="124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124"/>
      <c r="L164" s="124"/>
      <c r="M164" s="124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124"/>
      <c r="L165" s="124"/>
      <c r="M165" s="124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124"/>
      <c r="L166" s="124"/>
      <c r="M166" s="124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124"/>
      <c r="L167" s="124"/>
      <c r="M167" s="124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124"/>
      <c r="L168" s="124"/>
      <c r="M168" s="124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124"/>
      <c r="L169" s="124"/>
      <c r="M169" s="124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124"/>
      <c r="L170" s="124"/>
      <c r="M170" s="124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124"/>
      <c r="L171" s="124"/>
      <c r="M171" s="124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124"/>
      <c r="L172" s="124"/>
      <c r="M172" s="124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124"/>
      <c r="L173" s="124"/>
      <c r="M173" s="124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124"/>
      <c r="L174" s="124"/>
      <c r="M174" s="124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124"/>
      <c r="L175" s="124"/>
      <c r="M175" s="124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124"/>
      <c r="L176" s="124"/>
      <c r="M176" s="124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124"/>
      <c r="L177" s="124"/>
      <c r="M177" s="124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124"/>
      <c r="L178" s="124"/>
      <c r="M178" s="124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124"/>
      <c r="L179" s="124"/>
      <c r="M179" s="124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124"/>
      <c r="L180" s="124"/>
      <c r="M180" s="124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124"/>
      <c r="L181" s="124"/>
      <c r="M181" s="124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124"/>
      <c r="L182" s="124"/>
      <c r="M182" s="124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124"/>
      <c r="L183" s="124"/>
      <c r="M183" s="124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124"/>
      <c r="L184" s="124"/>
      <c r="M184" s="124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124"/>
      <c r="L185" s="124"/>
      <c r="M185" s="124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124"/>
      <c r="L186" s="124"/>
      <c r="M186" s="124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124"/>
      <c r="L187" s="124"/>
      <c r="M187" s="124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124"/>
      <c r="L188" s="124"/>
      <c r="M188" s="124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124"/>
      <c r="L189" s="124"/>
      <c r="M189" s="124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124"/>
      <c r="L190" s="124"/>
      <c r="M190" s="124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124"/>
      <c r="L191" s="124"/>
      <c r="M191" s="124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124"/>
      <c r="L192" s="124"/>
      <c r="M192" s="124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124"/>
      <c r="L193" s="124"/>
      <c r="M193" s="124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124"/>
      <c r="L194" s="124"/>
      <c r="M194" s="124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124"/>
      <c r="L195" s="124"/>
      <c r="M195" s="124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124"/>
      <c r="L196" s="124"/>
      <c r="M196" s="124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124"/>
      <c r="L197" s="124"/>
      <c r="M197" s="124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124"/>
      <c r="L198" s="124"/>
      <c r="M198" s="124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124"/>
      <c r="L199" s="124"/>
      <c r="M199" s="124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124"/>
      <c r="L200" s="124"/>
      <c r="M200" s="124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124"/>
      <c r="L201" s="124"/>
      <c r="M201" s="124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124"/>
      <c r="L202" s="124"/>
      <c r="M202" s="124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124"/>
      <c r="L203" s="124"/>
      <c r="M203" s="124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124"/>
      <c r="L204" s="124"/>
      <c r="M204" s="124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124"/>
      <c r="L205" s="124"/>
      <c r="M205" s="124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124"/>
      <c r="L206" s="124"/>
      <c r="M206" s="124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4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124"/>
      <c r="L207" s="124"/>
      <c r="M207" s="124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</row>
    <row r="208" spans="1:24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124"/>
      <c r="L208" s="124"/>
      <c r="M208" s="124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</row>
    <row r="209" spans="1:24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124"/>
      <c r="L209" s="124"/>
      <c r="M209" s="124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</row>
    <row r="210" spans="1:24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124"/>
      <c r="L210" s="124"/>
      <c r="M210" s="124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</row>
    <row r="211" spans="1:24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124"/>
      <c r="L211" s="124"/>
      <c r="M211" s="124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</row>
    <row r="212" spans="1:24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124"/>
      <c r="L212" s="124"/>
      <c r="M212" s="124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</row>
    <row r="213" spans="1:24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124"/>
      <c r="L213" s="124"/>
      <c r="M213" s="124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</row>
    <row r="214" spans="1:24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124"/>
      <c r="L214" s="124"/>
      <c r="M214" s="124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</row>
    <row r="215" spans="1:24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124"/>
      <c r="L215" s="124"/>
      <c r="M215" s="124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</row>
    <row r="216" spans="1:24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124"/>
      <c r="L216" s="124"/>
      <c r="M216" s="124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</row>
    <row r="217" spans="1:24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124"/>
      <c r="L217" s="124"/>
      <c r="M217" s="124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</row>
    <row r="218" spans="1:24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124"/>
      <c r="L218" s="124"/>
      <c r="M218" s="124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</row>
    <row r="219" spans="1:24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124"/>
      <c r="L219" s="124"/>
      <c r="M219" s="124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</row>
  </sheetData>
  <mergeCells count="3">
    <mergeCell ref="F11:F12"/>
    <mergeCell ref="G11:G12"/>
    <mergeCell ref="J11:J12"/>
  </mergeCells>
  <printOptions/>
  <pageMargins left="0.1968503937007874" right="0" top="0.984251968503937" bottom="0.984251968503937" header="0.5118110236220472" footer="0.511811023622047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3"/>
  <sheetViews>
    <sheetView workbookViewId="0" topLeftCell="A1">
      <selection activeCell="B94" sqref="B94"/>
    </sheetView>
  </sheetViews>
  <sheetFormatPr defaultColWidth="9.140625" defaultRowHeight="12.75"/>
  <cols>
    <col min="1" max="1" width="4.7109375" style="72" customWidth="1"/>
    <col min="2" max="2" width="21.8515625" style="72" customWidth="1"/>
    <col min="3" max="3" width="7.7109375" style="72" customWidth="1"/>
    <col min="4" max="4" width="14.28125" style="72" customWidth="1"/>
    <col min="5" max="14" width="11.7109375" style="72" customWidth="1"/>
    <col min="15" max="15" width="9.140625" style="72" customWidth="1"/>
    <col min="16" max="16" width="11.7109375" style="72" bestFit="1" customWidth="1"/>
    <col min="17" max="17" width="10.140625" style="72" bestFit="1" customWidth="1"/>
    <col min="18" max="16384" width="9.140625" style="72" customWidth="1"/>
  </cols>
  <sheetData>
    <row r="1" ht="20.25">
      <c r="F1" s="273" t="s">
        <v>161</v>
      </c>
    </row>
    <row r="4" spans="1:14" ht="21" customHeight="1">
      <c r="A4" s="807"/>
      <c r="B4" s="811" t="s">
        <v>15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</row>
    <row r="5" spans="1:14" ht="21" customHeight="1">
      <c r="A5" s="807"/>
      <c r="B5" s="811" t="s">
        <v>16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</row>
    <row r="6" spans="1:14" ht="21" customHeight="1">
      <c r="A6" s="807"/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</row>
    <row r="7" spans="1:13" ht="15" customHeight="1">
      <c r="A7" s="1072" t="s">
        <v>96</v>
      </c>
      <c r="B7" s="1038" t="s">
        <v>17</v>
      </c>
      <c r="C7" s="1073" t="s">
        <v>18</v>
      </c>
      <c r="D7" s="1038" t="s">
        <v>19</v>
      </c>
      <c r="E7" s="1065" t="s">
        <v>158</v>
      </c>
      <c r="F7" s="1066"/>
      <c r="G7" s="1066"/>
      <c r="H7" s="1066"/>
      <c r="I7" s="1066"/>
      <c r="J7" s="1066"/>
      <c r="K7" s="1066"/>
      <c r="L7" s="1066"/>
      <c r="M7" s="1066"/>
    </row>
    <row r="8" spans="1:13" ht="5.25" customHeight="1" hidden="1">
      <c r="A8" s="1072"/>
      <c r="B8" s="1038"/>
      <c r="C8" s="1073"/>
      <c r="D8" s="1038"/>
      <c r="E8" s="1067"/>
      <c r="F8" s="1068"/>
      <c r="G8" s="1068"/>
      <c r="H8" s="1068"/>
      <c r="I8" s="1068"/>
      <c r="J8" s="1068"/>
      <c r="K8" s="1068"/>
      <c r="L8" s="1068"/>
      <c r="M8" s="1068"/>
    </row>
    <row r="9" spans="1:14" ht="42" customHeight="1">
      <c r="A9" s="1072"/>
      <c r="B9" s="1038"/>
      <c r="C9" s="1073"/>
      <c r="D9" s="1038"/>
      <c r="E9" s="730" t="s">
        <v>20</v>
      </c>
      <c r="F9" s="730" t="s">
        <v>21</v>
      </c>
      <c r="G9" s="730" t="s">
        <v>22</v>
      </c>
      <c r="H9" s="730" t="s">
        <v>23</v>
      </c>
      <c r="I9" s="730" t="s">
        <v>24</v>
      </c>
      <c r="J9" s="730" t="s">
        <v>25</v>
      </c>
      <c r="K9" s="730" t="s">
        <v>26</v>
      </c>
      <c r="L9" s="730" t="s">
        <v>27</v>
      </c>
      <c r="M9" s="730" t="s">
        <v>28</v>
      </c>
      <c r="N9" s="730" t="s">
        <v>29</v>
      </c>
    </row>
    <row r="10" spans="1:14" s="259" customFormat="1" ht="20.25" customHeight="1">
      <c r="A10" s="812"/>
      <c r="B10" s="813" t="s">
        <v>159</v>
      </c>
      <c r="C10" s="814"/>
      <c r="D10" s="814"/>
      <c r="E10" s="815" t="s">
        <v>30</v>
      </c>
      <c r="F10" s="816" t="s">
        <v>31</v>
      </c>
      <c r="G10" s="816" t="s">
        <v>32</v>
      </c>
      <c r="H10" s="816" t="s">
        <v>33</v>
      </c>
      <c r="I10" s="816" t="s">
        <v>34</v>
      </c>
      <c r="J10" s="816" t="s">
        <v>35</v>
      </c>
      <c r="K10" s="816" t="s">
        <v>36</v>
      </c>
      <c r="L10" s="816" t="s">
        <v>37</v>
      </c>
      <c r="M10" s="816" t="s">
        <v>38</v>
      </c>
      <c r="N10" s="816" t="s">
        <v>39</v>
      </c>
    </row>
    <row r="11" spans="1:14" ht="15" customHeight="1">
      <c r="A11" s="1069">
        <v>1</v>
      </c>
      <c r="B11" s="1070" t="s">
        <v>40</v>
      </c>
      <c r="C11" s="1071" t="s">
        <v>684</v>
      </c>
      <c r="D11" s="817" t="s">
        <v>41</v>
      </c>
      <c r="E11" s="818">
        <v>287754.17</v>
      </c>
      <c r="F11" s="819">
        <f>E11+F12+F13</f>
        <v>287754.17</v>
      </c>
      <c r="G11" s="819">
        <f aca="true" t="shared" si="0" ref="G11:N11">F11+G12+G13</f>
        <v>287754.17</v>
      </c>
      <c r="H11" s="819">
        <f t="shared" si="0"/>
        <v>287754.17</v>
      </c>
      <c r="I11" s="819">
        <f t="shared" si="0"/>
        <v>287754.17</v>
      </c>
      <c r="J11" s="819">
        <f t="shared" si="0"/>
        <v>287754.17</v>
      </c>
      <c r="K11" s="819">
        <f t="shared" si="0"/>
        <v>287754.17</v>
      </c>
      <c r="L11" s="819">
        <f t="shared" si="0"/>
        <v>287754.17</v>
      </c>
      <c r="M11" s="819">
        <f t="shared" si="0"/>
        <v>287754.17</v>
      </c>
      <c r="N11" s="819">
        <f t="shared" si="0"/>
        <v>287754.17</v>
      </c>
    </row>
    <row r="12" spans="1:14" ht="12.75" customHeight="1">
      <c r="A12" s="1069"/>
      <c r="B12" s="1070"/>
      <c r="C12" s="1071"/>
      <c r="D12" s="817" t="s">
        <v>42</v>
      </c>
      <c r="E12" s="820"/>
      <c r="F12" s="821"/>
      <c r="G12" s="821"/>
      <c r="H12" s="821"/>
      <c r="I12" s="821"/>
      <c r="J12" s="821"/>
      <c r="K12" s="821">
        <v>-14410</v>
      </c>
      <c r="L12" s="821">
        <v>-1480</v>
      </c>
      <c r="M12" s="821"/>
      <c r="N12" s="821"/>
    </row>
    <row r="13" spans="1:14" ht="12.75" customHeight="1">
      <c r="A13" s="1069"/>
      <c r="B13" s="1070"/>
      <c r="C13" s="1071"/>
      <c r="D13" s="817" t="s">
        <v>43</v>
      </c>
      <c r="E13" s="820"/>
      <c r="F13" s="821"/>
      <c r="G13" s="821"/>
      <c r="H13" s="821"/>
      <c r="I13" s="821"/>
      <c r="J13" s="821"/>
      <c r="K13" s="821">
        <v>14410</v>
      </c>
      <c r="L13" s="821">
        <v>1480</v>
      </c>
      <c r="M13" s="821"/>
      <c r="N13" s="821"/>
    </row>
    <row r="14" spans="1:14" ht="18" customHeight="1">
      <c r="A14" s="1069"/>
      <c r="B14" s="1070"/>
      <c r="C14" s="1071"/>
      <c r="D14" s="817" t="s">
        <v>44</v>
      </c>
      <c r="E14" s="820"/>
      <c r="F14" s="821"/>
      <c r="G14" s="821"/>
      <c r="H14" s="821"/>
      <c r="I14" s="821"/>
      <c r="J14" s="821"/>
      <c r="K14" s="821" t="s">
        <v>201</v>
      </c>
      <c r="L14" s="821"/>
      <c r="M14" s="821"/>
      <c r="N14" s="821"/>
    </row>
    <row r="15" spans="1:14" ht="12.75" customHeight="1">
      <c r="A15" s="1074">
        <v>2</v>
      </c>
      <c r="B15" s="1075" t="s">
        <v>45</v>
      </c>
      <c r="C15" s="1076" t="s">
        <v>46</v>
      </c>
      <c r="D15" s="729" t="s">
        <v>41</v>
      </c>
      <c r="E15" s="822">
        <v>77100.51</v>
      </c>
      <c r="F15" s="823">
        <f>E15+F16+F17</f>
        <v>77100.51</v>
      </c>
      <c r="G15" s="823">
        <f aca="true" t="shared" si="1" ref="G15:N15">G16+G17+F15</f>
        <v>77100.51</v>
      </c>
      <c r="H15" s="823">
        <f t="shared" si="1"/>
        <v>77100.51</v>
      </c>
      <c r="I15" s="823">
        <f t="shared" si="1"/>
        <v>77100.51</v>
      </c>
      <c r="J15" s="823">
        <f t="shared" si="1"/>
        <v>77100.51</v>
      </c>
      <c r="K15" s="823">
        <f t="shared" si="1"/>
        <v>77100.51</v>
      </c>
      <c r="L15" s="823">
        <f t="shared" si="1"/>
        <v>77100.51</v>
      </c>
      <c r="M15" s="823">
        <f t="shared" si="1"/>
        <v>77100.51</v>
      </c>
      <c r="N15" s="823">
        <f t="shared" si="1"/>
        <v>77100.51</v>
      </c>
    </row>
    <row r="16" spans="1:14" ht="12.75" customHeight="1">
      <c r="A16" s="1074"/>
      <c r="B16" s="1075"/>
      <c r="C16" s="1076"/>
      <c r="D16" s="729" t="s">
        <v>42</v>
      </c>
      <c r="E16" s="822"/>
      <c r="F16" s="824">
        <v>-5716</v>
      </c>
      <c r="G16" s="823"/>
      <c r="H16" s="824"/>
      <c r="I16" s="824"/>
      <c r="J16" s="824"/>
      <c r="K16" s="824"/>
      <c r="L16" s="824"/>
      <c r="M16" s="824"/>
      <c r="N16" s="824"/>
    </row>
    <row r="17" spans="1:16" ht="12.75" customHeight="1">
      <c r="A17" s="1074"/>
      <c r="B17" s="1075"/>
      <c r="C17" s="1076"/>
      <c r="D17" s="729" t="s">
        <v>43</v>
      </c>
      <c r="E17" s="822"/>
      <c r="F17" s="824">
        <v>5716</v>
      </c>
      <c r="G17" s="823"/>
      <c r="H17" s="824"/>
      <c r="I17" s="824"/>
      <c r="J17" s="824"/>
      <c r="K17" s="824"/>
      <c r="L17" s="824"/>
      <c r="M17" s="824"/>
      <c r="N17" s="824"/>
      <c r="P17" s="635"/>
    </row>
    <row r="18" spans="1:14" ht="12.75" customHeight="1">
      <c r="A18" s="1074"/>
      <c r="B18" s="1075"/>
      <c r="C18" s="1076"/>
      <c r="D18" s="729" t="s">
        <v>44</v>
      </c>
      <c r="E18" s="822"/>
      <c r="F18" s="824"/>
      <c r="G18" s="823"/>
      <c r="H18" s="824"/>
      <c r="I18" s="825"/>
      <c r="J18" s="824"/>
      <c r="K18" s="824"/>
      <c r="L18" s="824"/>
      <c r="M18" s="824"/>
      <c r="N18" s="824"/>
    </row>
    <row r="19" spans="1:14" ht="12.75" customHeight="1">
      <c r="A19" s="1069">
        <v>3</v>
      </c>
      <c r="B19" s="1070" t="s">
        <v>47</v>
      </c>
      <c r="C19" s="1071" t="s">
        <v>48</v>
      </c>
      <c r="D19" s="817" t="s">
        <v>41</v>
      </c>
      <c r="E19" s="818">
        <v>114654</v>
      </c>
      <c r="F19" s="819">
        <f>E19+F20+F21</f>
        <v>114654</v>
      </c>
      <c r="G19" s="819">
        <f aca="true" t="shared" si="2" ref="G19:N19">G20+G21+F19</f>
        <v>114654</v>
      </c>
      <c r="H19" s="819">
        <f t="shared" si="2"/>
        <v>114654</v>
      </c>
      <c r="I19" s="819">
        <f t="shared" si="2"/>
        <v>114654</v>
      </c>
      <c r="J19" s="819">
        <f t="shared" si="2"/>
        <v>129219.63</v>
      </c>
      <c r="K19" s="819">
        <f t="shared" si="2"/>
        <v>129219.63</v>
      </c>
      <c r="L19" s="819">
        <f t="shared" si="2"/>
        <v>129219.63</v>
      </c>
      <c r="M19" s="819">
        <f t="shared" si="2"/>
        <v>129219.63</v>
      </c>
      <c r="N19" s="819">
        <f t="shared" si="2"/>
        <v>129219.63</v>
      </c>
    </row>
    <row r="20" spans="1:14" ht="12.75" customHeight="1">
      <c r="A20" s="1069"/>
      <c r="B20" s="1070"/>
      <c r="C20" s="1071"/>
      <c r="D20" s="817" t="s">
        <v>42</v>
      </c>
      <c r="E20" s="818"/>
      <c r="F20" s="821"/>
      <c r="G20" s="819"/>
      <c r="H20" s="821"/>
      <c r="I20" s="821"/>
      <c r="J20" s="821"/>
      <c r="K20" s="821"/>
      <c r="L20" s="821"/>
      <c r="M20" s="821"/>
      <c r="N20" s="821"/>
    </row>
    <row r="21" spans="1:14" ht="12.75" customHeight="1">
      <c r="A21" s="1069"/>
      <c r="B21" s="1070"/>
      <c r="C21" s="1071"/>
      <c r="D21" s="817" t="s">
        <v>43</v>
      </c>
      <c r="E21" s="818"/>
      <c r="F21" s="821"/>
      <c r="G21" s="819"/>
      <c r="H21" s="821"/>
      <c r="I21" s="821"/>
      <c r="J21" s="821">
        <v>14565.63</v>
      </c>
      <c r="K21" s="821"/>
      <c r="L21" s="821"/>
      <c r="M21" s="821"/>
      <c r="N21" s="821"/>
    </row>
    <row r="22" spans="1:14" ht="12.75" customHeight="1">
      <c r="A22" s="1069"/>
      <c r="B22" s="1070"/>
      <c r="C22" s="1071"/>
      <c r="D22" s="817" t="s">
        <v>44</v>
      </c>
      <c r="E22" s="818"/>
      <c r="F22" s="821"/>
      <c r="G22" s="819"/>
      <c r="H22" s="821"/>
      <c r="I22" s="826"/>
      <c r="J22" s="826"/>
      <c r="K22" s="821"/>
      <c r="L22" s="821"/>
      <c r="M22" s="821"/>
      <c r="N22" s="821"/>
    </row>
    <row r="23" spans="1:14" ht="12.75" customHeight="1">
      <c r="A23" s="1074">
        <v>4</v>
      </c>
      <c r="B23" s="1075" t="s">
        <v>49</v>
      </c>
      <c r="C23" s="1076" t="s">
        <v>50</v>
      </c>
      <c r="D23" s="729" t="s">
        <v>41</v>
      </c>
      <c r="E23" s="822">
        <v>16935.6</v>
      </c>
      <c r="F23" s="823">
        <f>E23+F24+F25</f>
        <v>16935.6</v>
      </c>
      <c r="G23" s="823">
        <f aca="true" t="shared" si="3" ref="G23:N23">G24+G25+F23</f>
        <v>16935.6</v>
      </c>
      <c r="H23" s="823">
        <f t="shared" si="3"/>
        <v>16935.6</v>
      </c>
      <c r="I23" s="823">
        <f t="shared" si="3"/>
        <v>16935.6</v>
      </c>
      <c r="J23" s="823">
        <f t="shared" si="3"/>
        <v>31584.42</v>
      </c>
      <c r="K23" s="823">
        <f t="shared" si="3"/>
        <v>31584.42</v>
      </c>
      <c r="L23" s="823">
        <f t="shared" si="3"/>
        <v>31584.42</v>
      </c>
      <c r="M23" s="823">
        <f t="shared" si="3"/>
        <v>31584.42</v>
      </c>
      <c r="N23" s="823">
        <f t="shared" si="3"/>
        <v>31584.42</v>
      </c>
    </row>
    <row r="24" spans="1:14" ht="12.75" customHeight="1">
      <c r="A24" s="1074"/>
      <c r="B24" s="1075"/>
      <c r="C24" s="1076"/>
      <c r="D24" s="729" t="s">
        <v>42</v>
      </c>
      <c r="E24" s="822"/>
      <c r="F24" s="824"/>
      <c r="G24" s="823"/>
      <c r="H24" s="824"/>
      <c r="I24" s="824"/>
      <c r="J24" s="824"/>
      <c r="K24" s="824"/>
      <c r="L24" s="824"/>
      <c r="M24" s="824"/>
      <c r="N24" s="824">
        <v>-5008</v>
      </c>
    </row>
    <row r="25" spans="1:14" ht="12.75" customHeight="1">
      <c r="A25" s="1074"/>
      <c r="B25" s="1075"/>
      <c r="C25" s="1076"/>
      <c r="D25" s="729" t="s">
        <v>43</v>
      </c>
      <c r="E25" s="822"/>
      <c r="F25" s="824"/>
      <c r="G25" s="823"/>
      <c r="H25" s="824"/>
      <c r="I25" s="824"/>
      <c r="J25" s="824">
        <v>14648.82</v>
      </c>
      <c r="K25" s="824"/>
      <c r="L25" s="824"/>
      <c r="M25" s="824"/>
      <c r="N25" s="824">
        <v>5008</v>
      </c>
    </row>
    <row r="26" spans="1:14" ht="12.75" customHeight="1">
      <c r="A26" s="1074"/>
      <c r="B26" s="1075"/>
      <c r="C26" s="1076"/>
      <c r="D26" s="729" t="s">
        <v>44</v>
      </c>
      <c r="E26" s="822"/>
      <c r="F26" s="824"/>
      <c r="G26" s="823"/>
      <c r="H26" s="824"/>
      <c r="I26" s="825"/>
      <c r="J26" s="825"/>
      <c r="K26" s="824"/>
      <c r="L26" s="824"/>
      <c r="M26" s="824"/>
      <c r="N26" s="824"/>
    </row>
    <row r="27" spans="1:14" ht="12.75" customHeight="1">
      <c r="A27" s="1069">
        <v>5</v>
      </c>
      <c r="B27" s="1070" t="s">
        <v>51</v>
      </c>
      <c r="C27" s="1071" t="s">
        <v>684</v>
      </c>
      <c r="D27" s="817" t="s">
        <v>41</v>
      </c>
      <c r="E27" s="818">
        <v>860870.64</v>
      </c>
      <c r="F27" s="819">
        <f>E27+F28+F29</f>
        <v>860870.64</v>
      </c>
      <c r="G27" s="819">
        <f aca="true" t="shared" si="4" ref="G27:N27">G28+G29+F27</f>
        <v>860870.64</v>
      </c>
      <c r="H27" s="819">
        <f t="shared" si="4"/>
        <v>898378.76</v>
      </c>
      <c r="I27" s="819">
        <f t="shared" si="4"/>
        <v>898378.76</v>
      </c>
      <c r="J27" s="819">
        <f t="shared" si="4"/>
        <v>898378.76</v>
      </c>
      <c r="K27" s="819">
        <f t="shared" si="4"/>
        <v>898378.76</v>
      </c>
      <c r="L27" s="819">
        <f t="shared" si="4"/>
        <v>898378.76</v>
      </c>
      <c r="M27" s="819">
        <f t="shared" si="4"/>
        <v>898378.76</v>
      </c>
      <c r="N27" s="819">
        <f t="shared" si="4"/>
        <v>898378.76</v>
      </c>
    </row>
    <row r="28" spans="1:14" ht="12.75" customHeight="1">
      <c r="A28" s="1069"/>
      <c r="B28" s="1070"/>
      <c r="C28" s="1071"/>
      <c r="D28" s="817" t="s">
        <v>42</v>
      </c>
      <c r="E28" s="818"/>
      <c r="F28" s="821"/>
      <c r="G28" s="819"/>
      <c r="H28" s="821"/>
      <c r="I28" s="821">
        <v>-190</v>
      </c>
      <c r="J28" s="821"/>
      <c r="K28" s="821"/>
      <c r="L28" s="821"/>
      <c r="M28" s="821"/>
      <c r="N28" s="821"/>
    </row>
    <row r="29" spans="1:14" ht="12.75" customHeight="1">
      <c r="A29" s="1069"/>
      <c r="B29" s="1070"/>
      <c r="C29" s="1071"/>
      <c r="D29" s="817" t="s">
        <v>43</v>
      </c>
      <c r="E29" s="818"/>
      <c r="F29" s="821"/>
      <c r="G29" s="819"/>
      <c r="H29" s="821">
        <v>37508.12</v>
      </c>
      <c r="I29" s="821">
        <v>190</v>
      </c>
      <c r="J29" s="821"/>
      <c r="K29" s="821"/>
      <c r="L29" s="821"/>
      <c r="M29" s="821"/>
      <c r="N29" s="821"/>
    </row>
    <row r="30" spans="1:14" ht="12.75" customHeight="1">
      <c r="A30" s="1069"/>
      <c r="B30" s="1070"/>
      <c r="C30" s="1071"/>
      <c r="D30" s="817" t="s">
        <v>44</v>
      </c>
      <c r="E30" s="818"/>
      <c r="F30" s="821"/>
      <c r="G30" s="819"/>
      <c r="H30" s="821"/>
      <c r="I30" s="826"/>
      <c r="J30" s="826"/>
      <c r="K30" s="821"/>
      <c r="L30" s="821"/>
      <c r="M30" s="821"/>
      <c r="N30" s="821"/>
    </row>
    <row r="31" spans="1:14" ht="12.75" customHeight="1">
      <c r="A31" s="1077">
        <v>6</v>
      </c>
      <c r="B31" s="1078" t="s">
        <v>52</v>
      </c>
      <c r="C31" s="1079" t="s">
        <v>684</v>
      </c>
      <c r="D31" s="827" t="s">
        <v>41</v>
      </c>
      <c r="E31" s="828">
        <v>13259727.66</v>
      </c>
      <c r="F31" s="829">
        <f>E31+F33+F32</f>
        <v>13259727.66</v>
      </c>
      <c r="G31" s="829">
        <f aca="true" t="shared" si="5" ref="G31:N31">F31+G33+G32</f>
        <v>17964254.8</v>
      </c>
      <c r="H31" s="829">
        <f t="shared" si="5"/>
        <v>17964254.8</v>
      </c>
      <c r="I31" s="829">
        <f t="shared" si="5"/>
        <v>17964254.8</v>
      </c>
      <c r="J31" s="829">
        <f t="shared" si="5"/>
        <v>17964254.8</v>
      </c>
      <c r="K31" s="829">
        <f t="shared" si="5"/>
        <v>17964254.8</v>
      </c>
      <c r="L31" s="829">
        <f t="shared" si="5"/>
        <v>17964254.8</v>
      </c>
      <c r="M31" s="829">
        <f t="shared" si="5"/>
        <v>17964254.8</v>
      </c>
      <c r="N31" s="829">
        <f t="shared" si="5"/>
        <v>17964254.8</v>
      </c>
    </row>
    <row r="32" spans="1:14" ht="12.75" customHeight="1">
      <c r="A32" s="1077"/>
      <c r="B32" s="1078"/>
      <c r="C32" s="1079"/>
      <c r="D32" s="827" t="s">
        <v>42</v>
      </c>
      <c r="E32" s="828"/>
      <c r="F32" s="830"/>
      <c r="G32" s="829"/>
      <c r="H32" s="830"/>
      <c r="I32" s="830"/>
      <c r="J32" s="830"/>
      <c r="K32" s="830"/>
      <c r="L32" s="830"/>
      <c r="M32" s="830"/>
      <c r="N32" s="830"/>
    </row>
    <row r="33" spans="1:14" ht="12.75" customHeight="1">
      <c r="A33" s="1077"/>
      <c r="B33" s="1078"/>
      <c r="C33" s="1079"/>
      <c r="D33" s="827" t="s">
        <v>43</v>
      </c>
      <c r="E33" s="828"/>
      <c r="F33" s="830"/>
      <c r="G33" s="829">
        <v>4704527.14</v>
      </c>
      <c r="H33" s="830"/>
      <c r="I33" s="830"/>
      <c r="J33" s="830"/>
      <c r="K33" s="830"/>
      <c r="L33" s="830"/>
      <c r="M33" s="830"/>
      <c r="N33" s="830"/>
    </row>
    <row r="34" spans="1:14" ht="12.75" customHeight="1">
      <c r="A34" s="1077"/>
      <c r="B34" s="1078"/>
      <c r="C34" s="1079"/>
      <c r="D34" s="827" t="s">
        <v>44</v>
      </c>
      <c r="E34" s="828"/>
      <c r="F34" s="830"/>
      <c r="G34" s="829"/>
      <c r="H34" s="830"/>
      <c r="I34" s="830"/>
      <c r="J34" s="830"/>
      <c r="K34" s="830"/>
      <c r="L34" s="830"/>
      <c r="M34" s="830"/>
      <c r="N34" s="830"/>
    </row>
    <row r="35" spans="1:14" ht="12.75" customHeight="1">
      <c r="A35" s="1069">
        <v>7</v>
      </c>
      <c r="B35" s="1070" t="s">
        <v>53</v>
      </c>
      <c r="C35" s="1071" t="s">
        <v>684</v>
      </c>
      <c r="D35" s="817" t="s">
        <v>41</v>
      </c>
      <c r="E35" s="818">
        <v>159900</v>
      </c>
      <c r="F35" s="819">
        <f>E35+F37+F36</f>
        <v>159900</v>
      </c>
      <c r="G35" s="819">
        <f aca="true" t="shared" si="6" ref="G35:N35">F35+G37+G36</f>
        <v>159900</v>
      </c>
      <c r="H35" s="819">
        <f t="shared" si="6"/>
        <v>159900</v>
      </c>
      <c r="I35" s="819">
        <f t="shared" si="6"/>
        <v>159900</v>
      </c>
      <c r="J35" s="819">
        <f t="shared" si="6"/>
        <v>159900</v>
      </c>
      <c r="K35" s="819">
        <f t="shared" si="6"/>
        <v>159900</v>
      </c>
      <c r="L35" s="819">
        <f t="shared" si="6"/>
        <v>159900</v>
      </c>
      <c r="M35" s="819">
        <f t="shared" si="6"/>
        <v>159900</v>
      </c>
      <c r="N35" s="819">
        <f t="shared" si="6"/>
        <v>159900</v>
      </c>
    </row>
    <row r="36" spans="1:14" ht="12.75" customHeight="1">
      <c r="A36" s="1069"/>
      <c r="B36" s="1070"/>
      <c r="C36" s="1071"/>
      <c r="D36" s="817" t="s">
        <v>42</v>
      </c>
      <c r="E36" s="818"/>
      <c r="F36" s="821"/>
      <c r="G36" s="819"/>
      <c r="H36" s="821"/>
      <c r="I36" s="821"/>
      <c r="J36" s="821"/>
      <c r="K36" s="821"/>
      <c r="L36" s="821"/>
      <c r="M36" s="821"/>
      <c r="N36" s="821"/>
    </row>
    <row r="37" spans="1:14" ht="12.75" customHeight="1">
      <c r="A37" s="1069"/>
      <c r="B37" s="1070"/>
      <c r="C37" s="1071"/>
      <c r="D37" s="817" t="s">
        <v>43</v>
      </c>
      <c r="E37" s="818"/>
      <c r="F37" s="821"/>
      <c r="G37" s="819"/>
      <c r="H37" s="821"/>
      <c r="I37" s="821"/>
      <c r="J37" s="821"/>
      <c r="K37" s="821"/>
      <c r="L37" s="821"/>
      <c r="M37" s="821"/>
      <c r="N37" s="821"/>
    </row>
    <row r="38" spans="1:14" ht="12.75" customHeight="1">
      <c r="A38" s="1069"/>
      <c r="B38" s="1070"/>
      <c r="C38" s="1071"/>
      <c r="D38" s="817" t="s">
        <v>44</v>
      </c>
      <c r="E38" s="818"/>
      <c r="F38" s="821"/>
      <c r="G38" s="819"/>
      <c r="H38" s="826"/>
      <c r="I38" s="821"/>
      <c r="J38" s="821"/>
      <c r="K38" s="821"/>
      <c r="L38" s="821"/>
      <c r="M38" s="821"/>
      <c r="N38" s="821"/>
    </row>
    <row r="39" spans="1:14" ht="12.75" customHeight="1">
      <c r="A39" s="1077">
        <v>8</v>
      </c>
      <c r="B39" s="1078" t="s">
        <v>54</v>
      </c>
      <c r="C39" s="1079" t="s">
        <v>55</v>
      </c>
      <c r="D39" s="827" t="s">
        <v>41</v>
      </c>
      <c r="E39" s="828">
        <v>0</v>
      </c>
      <c r="F39" s="829">
        <f>E39+F41+F40</f>
        <v>0</v>
      </c>
      <c r="G39" s="829">
        <f aca="true" t="shared" si="7" ref="G39:N39">F39+G41+G40</f>
        <v>0</v>
      </c>
      <c r="H39" s="829">
        <f t="shared" si="7"/>
        <v>0</v>
      </c>
      <c r="I39" s="829">
        <f t="shared" si="7"/>
        <v>0</v>
      </c>
      <c r="J39" s="829">
        <f t="shared" si="7"/>
        <v>72432</v>
      </c>
      <c r="K39" s="829">
        <f t="shared" si="7"/>
        <v>72432</v>
      </c>
      <c r="L39" s="829">
        <f t="shared" si="7"/>
        <v>72432</v>
      </c>
      <c r="M39" s="829">
        <f t="shared" si="7"/>
        <v>72432</v>
      </c>
      <c r="N39" s="829">
        <f t="shared" si="7"/>
        <v>72432</v>
      </c>
    </row>
    <row r="40" spans="1:14" ht="12.75" customHeight="1">
      <c r="A40" s="1077"/>
      <c r="B40" s="1078"/>
      <c r="C40" s="1079"/>
      <c r="D40" s="827" t="s">
        <v>42</v>
      </c>
      <c r="E40" s="828"/>
      <c r="F40" s="830"/>
      <c r="G40" s="829"/>
      <c r="H40" s="830"/>
      <c r="I40" s="830"/>
      <c r="J40" s="830"/>
      <c r="K40" s="830"/>
      <c r="L40" s="830"/>
      <c r="M40" s="830"/>
      <c r="N40" s="830"/>
    </row>
    <row r="41" spans="1:14" ht="12.75" customHeight="1">
      <c r="A41" s="1077"/>
      <c r="B41" s="1078"/>
      <c r="C41" s="1079"/>
      <c r="D41" s="827" t="s">
        <v>43</v>
      </c>
      <c r="E41" s="828"/>
      <c r="F41" s="830"/>
      <c r="G41" s="829"/>
      <c r="H41" s="830"/>
      <c r="I41" s="830"/>
      <c r="J41" s="830">
        <v>72432</v>
      </c>
      <c r="K41" s="830"/>
      <c r="L41" s="830"/>
      <c r="M41" s="830"/>
      <c r="N41" s="830"/>
    </row>
    <row r="42" spans="1:14" ht="12.75" customHeight="1">
      <c r="A42" s="1077"/>
      <c r="B42" s="1078"/>
      <c r="C42" s="1079"/>
      <c r="D42" s="827" t="s">
        <v>44</v>
      </c>
      <c r="E42" s="828"/>
      <c r="F42" s="830"/>
      <c r="G42" s="829"/>
      <c r="H42" s="830"/>
      <c r="I42" s="830"/>
      <c r="J42" s="830" t="s">
        <v>56</v>
      </c>
      <c r="K42" s="830"/>
      <c r="L42" s="830"/>
      <c r="M42" s="830"/>
      <c r="N42" s="830"/>
    </row>
    <row r="43" spans="1:14" s="259" customFormat="1" ht="20.25" customHeight="1">
      <c r="A43" s="812"/>
      <c r="B43" s="813" t="s">
        <v>57</v>
      </c>
      <c r="C43" s="814"/>
      <c r="D43" s="814"/>
      <c r="E43" s="815" t="s">
        <v>30</v>
      </c>
      <c r="F43" s="816" t="s">
        <v>31</v>
      </c>
      <c r="G43" s="816" t="s">
        <v>32</v>
      </c>
      <c r="H43" s="816" t="s">
        <v>33</v>
      </c>
      <c r="I43" s="816" t="s">
        <v>34</v>
      </c>
      <c r="J43" s="816" t="s">
        <v>35</v>
      </c>
      <c r="K43" s="816" t="s">
        <v>36</v>
      </c>
      <c r="L43" s="816" t="s">
        <v>37</v>
      </c>
      <c r="M43" s="816" t="s">
        <v>38</v>
      </c>
      <c r="N43" s="816" t="s">
        <v>39</v>
      </c>
    </row>
    <row r="44" spans="1:14" ht="12.75" customHeight="1">
      <c r="A44" s="1069">
        <v>9</v>
      </c>
      <c r="B44" s="1070" t="s">
        <v>58</v>
      </c>
      <c r="C44" s="1080" t="s">
        <v>59</v>
      </c>
      <c r="D44" s="817" t="s">
        <v>41</v>
      </c>
      <c r="E44" s="831">
        <v>0</v>
      </c>
      <c r="F44" s="819">
        <f>E44+F45+F46</f>
        <v>0</v>
      </c>
      <c r="G44" s="819">
        <f aca="true" t="shared" si="8" ref="G44:N44">F44+G45+G46</f>
        <v>0</v>
      </c>
      <c r="H44" s="819">
        <f t="shared" si="8"/>
        <v>0</v>
      </c>
      <c r="I44" s="819">
        <f t="shared" si="8"/>
        <v>0</v>
      </c>
      <c r="J44" s="819">
        <f t="shared" si="8"/>
        <v>104678</v>
      </c>
      <c r="K44" s="819">
        <f t="shared" si="8"/>
        <v>104678</v>
      </c>
      <c r="L44" s="819">
        <f t="shared" si="8"/>
        <v>104678</v>
      </c>
      <c r="M44" s="819">
        <f t="shared" si="8"/>
        <v>104678</v>
      </c>
      <c r="N44" s="819">
        <f t="shared" si="8"/>
        <v>104678</v>
      </c>
    </row>
    <row r="45" spans="1:14" ht="12.75" customHeight="1">
      <c r="A45" s="1069"/>
      <c r="B45" s="1070"/>
      <c r="C45" s="1080"/>
      <c r="D45" s="817" t="s">
        <v>42</v>
      </c>
      <c r="E45" s="832"/>
      <c r="F45" s="821"/>
      <c r="G45" s="821"/>
      <c r="H45" s="821"/>
      <c r="I45" s="821"/>
      <c r="J45" s="821"/>
      <c r="K45" s="821"/>
      <c r="L45" s="821"/>
      <c r="M45" s="821"/>
      <c r="N45" s="821"/>
    </row>
    <row r="46" spans="1:14" ht="12.75" customHeight="1">
      <c r="A46" s="1069"/>
      <c r="B46" s="1070"/>
      <c r="C46" s="1080"/>
      <c r="D46" s="817" t="s">
        <v>43</v>
      </c>
      <c r="E46" s="832"/>
      <c r="F46" s="821"/>
      <c r="G46" s="821"/>
      <c r="H46" s="821"/>
      <c r="I46" s="821"/>
      <c r="J46" s="821">
        <v>104678</v>
      </c>
      <c r="K46" s="821"/>
      <c r="L46" s="821"/>
      <c r="M46" s="821"/>
      <c r="N46" s="821"/>
    </row>
    <row r="47" spans="1:14" ht="12.75" customHeight="1">
      <c r="A47" s="1069"/>
      <c r="B47" s="1070"/>
      <c r="C47" s="1080"/>
      <c r="D47" s="817" t="s">
        <v>44</v>
      </c>
      <c r="E47" s="832"/>
      <c r="F47" s="821"/>
      <c r="G47" s="821"/>
      <c r="H47" s="821"/>
      <c r="I47" s="821"/>
      <c r="J47" s="821" t="s">
        <v>56</v>
      </c>
      <c r="K47" s="821"/>
      <c r="L47" s="821"/>
      <c r="M47" s="821"/>
      <c r="N47" s="821"/>
    </row>
    <row r="48" spans="1:14" ht="21.75" customHeight="1">
      <c r="A48" s="1077">
        <v>10</v>
      </c>
      <c r="B48" s="1078" t="s">
        <v>60</v>
      </c>
      <c r="C48" s="1079" t="s">
        <v>61</v>
      </c>
      <c r="D48" s="827" t="s">
        <v>41</v>
      </c>
      <c r="E48" s="828">
        <v>0</v>
      </c>
      <c r="F48" s="829">
        <f>E48+F50+F49</f>
        <v>0</v>
      </c>
      <c r="G48" s="829">
        <f aca="true" t="shared" si="9" ref="G48:N48">F48+G50+G49</f>
        <v>0</v>
      </c>
      <c r="H48" s="829">
        <f t="shared" si="9"/>
        <v>0</v>
      </c>
      <c r="I48" s="829">
        <f t="shared" si="9"/>
        <v>0</v>
      </c>
      <c r="J48" s="829">
        <f t="shared" si="9"/>
        <v>0</v>
      </c>
      <c r="K48" s="829">
        <f t="shared" si="9"/>
        <v>0</v>
      </c>
      <c r="L48" s="829">
        <f t="shared" si="9"/>
        <v>0</v>
      </c>
      <c r="M48" s="829">
        <f t="shared" si="9"/>
        <v>125000</v>
      </c>
      <c r="N48" s="829">
        <f t="shared" si="9"/>
        <v>125000</v>
      </c>
    </row>
    <row r="49" spans="1:14" ht="27.75" customHeight="1">
      <c r="A49" s="1077"/>
      <c r="B49" s="1078"/>
      <c r="C49" s="1079"/>
      <c r="D49" s="827" t="s">
        <v>42</v>
      </c>
      <c r="E49" s="828"/>
      <c r="F49" s="830"/>
      <c r="G49" s="829"/>
      <c r="H49" s="830"/>
      <c r="I49" s="830"/>
      <c r="J49" s="830"/>
      <c r="K49" s="830"/>
      <c r="L49" s="830"/>
      <c r="M49" s="830"/>
      <c r="N49" s="830"/>
    </row>
    <row r="50" spans="1:14" ht="18" customHeight="1">
      <c r="A50" s="1077"/>
      <c r="B50" s="1078"/>
      <c r="C50" s="1079"/>
      <c r="D50" s="827" t="s">
        <v>43</v>
      </c>
      <c r="E50" s="828"/>
      <c r="F50" s="830"/>
      <c r="G50" s="829"/>
      <c r="H50" s="830"/>
      <c r="I50" s="830"/>
      <c r="J50" s="830"/>
      <c r="K50" s="830"/>
      <c r="L50" s="830"/>
      <c r="M50" s="830">
        <v>125000</v>
      </c>
      <c r="N50" s="830"/>
    </row>
    <row r="51" spans="1:14" ht="12.75" customHeight="1">
      <c r="A51" s="1077"/>
      <c r="B51" s="1078"/>
      <c r="C51" s="1079"/>
      <c r="D51" s="827" t="s">
        <v>44</v>
      </c>
      <c r="E51" s="828"/>
      <c r="F51" s="830"/>
      <c r="G51" s="829"/>
      <c r="H51" s="830"/>
      <c r="I51" s="830"/>
      <c r="J51" s="830"/>
      <c r="K51" s="830"/>
      <c r="L51" s="830"/>
      <c r="M51" s="830" t="s">
        <v>56</v>
      </c>
      <c r="N51" s="830"/>
    </row>
    <row r="52" spans="1:14" ht="12.75" customHeight="1">
      <c r="A52" s="1069">
        <v>11</v>
      </c>
      <c r="B52" s="1070" t="s">
        <v>62</v>
      </c>
      <c r="C52" s="1080" t="s">
        <v>63</v>
      </c>
      <c r="D52" s="817" t="s">
        <v>41</v>
      </c>
      <c r="E52" s="831">
        <v>0</v>
      </c>
      <c r="F52" s="819">
        <f>E52+F53+F54</f>
        <v>0</v>
      </c>
      <c r="G52" s="819">
        <f aca="true" t="shared" si="10" ref="G52:N52">F52+G53+G54</f>
        <v>0</v>
      </c>
      <c r="H52" s="819">
        <f t="shared" si="10"/>
        <v>0</v>
      </c>
      <c r="I52" s="819">
        <f t="shared" si="10"/>
        <v>0</v>
      </c>
      <c r="J52" s="819">
        <f t="shared" si="10"/>
        <v>0</v>
      </c>
      <c r="K52" s="819">
        <f t="shared" si="10"/>
        <v>0</v>
      </c>
      <c r="L52" s="819">
        <f t="shared" si="10"/>
        <v>0</v>
      </c>
      <c r="M52" s="819">
        <f t="shared" si="10"/>
        <v>64969.06</v>
      </c>
      <c r="N52" s="819">
        <f t="shared" si="10"/>
        <v>64969.06</v>
      </c>
    </row>
    <row r="53" spans="1:14" ht="12.75" customHeight="1">
      <c r="A53" s="1069"/>
      <c r="B53" s="1070"/>
      <c r="C53" s="1080"/>
      <c r="D53" s="817" t="s">
        <v>42</v>
      </c>
      <c r="E53" s="832"/>
      <c r="F53" s="821"/>
      <c r="G53" s="821"/>
      <c r="H53" s="821"/>
      <c r="I53" s="821"/>
      <c r="J53" s="821"/>
      <c r="K53" s="821"/>
      <c r="L53" s="821"/>
      <c r="M53" s="821"/>
      <c r="N53" s="821"/>
    </row>
    <row r="54" spans="1:14" ht="12.75" customHeight="1">
      <c r="A54" s="1069"/>
      <c r="B54" s="1070"/>
      <c r="C54" s="1080"/>
      <c r="D54" s="817" t="s">
        <v>43</v>
      </c>
      <c r="E54" s="832"/>
      <c r="F54" s="821"/>
      <c r="G54" s="821"/>
      <c r="H54" s="821"/>
      <c r="I54" s="821"/>
      <c r="J54" s="821"/>
      <c r="K54" s="821"/>
      <c r="L54" s="821"/>
      <c r="M54" s="821">
        <v>64969.06</v>
      </c>
      <c r="N54" s="821"/>
    </row>
    <row r="55" spans="1:14" ht="12.75" customHeight="1">
      <c r="A55" s="1069"/>
      <c r="B55" s="1070"/>
      <c r="C55" s="1080"/>
      <c r="D55" s="817" t="s">
        <v>44</v>
      </c>
      <c r="E55" s="832"/>
      <c r="F55" s="821"/>
      <c r="G55" s="821"/>
      <c r="H55" s="821"/>
      <c r="I55" s="821"/>
      <c r="J55" s="821"/>
      <c r="K55" s="821"/>
      <c r="L55" s="821"/>
      <c r="M55" s="821" t="s">
        <v>56</v>
      </c>
      <c r="N55" s="821"/>
    </row>
    <row r="56" spans="1:17" s="259" customFormat="1" ht="25.5" customHeight="1">
      <c r="A56" s="1081" t="s">
        <v>64</v>
      </c>
      <c r="B56" s="1082"/>
      <c r="C56" s="1082"/>
      <c r="D56" s="1083"/>
      <c r="E56" s="833">
        <f>E11+E15+E19+E23+E27+E31+E35</f>
        <v>14776942.58</v>
      </c>
      <c r="F56" s="833">
        <f>F11+F15+F19+F23+F27+F31+F35</f>
        <v>14776942.58</v>
      </c>
      <c r="G56" s="833">
        <f>G11+G15+G19+G23+G27+G31+G35</f>
        <v>19481469.72</v>
      </c>
      <c r="H56" s="833">
        <f aca="true" t="shared" si="11" ref="H56:N56">H11+H15+H19+H23+H27+H31+H35+H39+H44+H48+H52</f>
        <v>19518977.84</v>
      </c>
      <c r="I56" s="833">
        <f t="shared" si="11"/>
        <v>19518977.84</v>
      </c>
      <c r="J56" s="833">
        <f t="shared" si="11"/>
        <v>19725302.29</v>
      </c>
      <c r="K56" s="833">
        <f t="shared" si="11"/>
        <v>19725302.29</v>
      </c>
      <c r="L56" s="833">
        <f t="shared" si="11"/>
        <v>19725302.29</v>
      </c>
      <c r="M56" s="833">
        <f t="shared" si="11"/>
        <v>19915271.349999998</v>
      </c>
      <c r="N56" s="833">
        <f t="shared" si="11"/>
        <v>19915271.349999998</v>
      </c>
      <c r="Q56" s="834"/>
    </row>
    <row r="57" spans="1:13" ht="18" customHeight="1">
      <c r="A57" s="835"/>
      <c r="B57" s="40"/>
      <c r="C57" s="40"/>
      <c r="D57" s="40"/>
      <c r="E57" s="40"/>
      <c r="F57" s="124"/>
      <c r="G57" s="650"/>
      <c r="H57" s="650"/>
      <c r="I57" s="650"/>
      <c r="J57" s="650"/>
      <c r="K57" s="650"/>
      <c r="L57" s="650"/>
      <c r="M57" s="650"/>
    </row>
    <row r="58" spans="1:13" ht="12.75">
      <c r="A58" s="40"/>
      <c r="B58" s="835" t="s">
        <v>160</v>
      </c>
      <c r="C58" s="40"/>
      <c r="D58" s="40"/>
      <c r="F58" s="650"/>
      <c r="G58" s="650"/>
      <c r="H58" s="650"/>
      <c r="I58" s="836"/>
      <c r="J58" s="650"/>
      <c r="K58" s="650"/>
      <c r="L58" s="650"/>
      <c r="M58" s="650"/>
    </row>
    <row r="59" spans="6:13" ht="12.75">
      <c r="F59" s="650"/>
      <c r="G59" s="650"/>
      <c r="H59" s="650"/>
      <c r="I59" s="650"/>
      <c r="J59" s="650"/>
      <c r="K59" s="650"/>
      <c r="L59" s="650"/>
      <c r="M59" s="650"/>
    </row>
    <row r="60" spans="6:13" ht="12.75">
      <c r="F60" s="650"/>
      <c r="G60" s="650"/>
      <c r="H60" s="650"/>
      <c r="I60" s="650"/>
      <c r="J60" s="650"/>
      <c r="K60" s="650"/>
      <c r="L60" s="650"/>
      <c r="M60" s="650"/>
    </row>
    <row r="61" spans="6:13" ht="12.75">
      <c r="F61" s="650"/>
      <c r="G61" s="650"/>
      <c r="H61" s="650"/>
      <c r="I61" s="650"/>
      <c r="J61" s="650"/>
      <c r="K61" s="650"/>
      <c r="L61" s="650"/>
      <c r="M61" s="650"/>
    </row>
    <row r="62" spans="5:13" ht="12.75">
      <c r="E62" s="836"/>
      <c r="F62" s="836"/>
      <c r="G62" s="650"/>
      <c r="H62" s="650"/>
      <c r="I62" s="650"/>
      <c r="J62" s="650"/>
      <c r="K62" s="650"/>
      <c r="L62" s="650"/>
      <c r="M62" s="650"/>
    </row>
    <row r="63" spans="5:13" ht="12.75">
      <c r="E63" s="836"/>
      <c r="F63" s="836"/>
      <c r="G63" s="650"/>
      <c r="H63" s="650"/>
      <c r="I63" s="650"/>
      <c r="J63" s="650"/>
      <c r="K63" s="650"/>
      <c r="L63" s="650"/>
      <c r="M63" s="650"/>
    </row>
    <row r="64" spans="5:13" ht="12.75">
      <c r="E64" s="836"/>
      <c r="F64" s="836"/>
      <c r="G64" s="650"/>
      <c r="H64" s="650"/>
      <c r="I64" s="650"/>
      <c r="J64" s="650"/>
      <c r="K64" s="650"/>
      <c r="L64" s="650"/>
      <c r="M64" s="650"/>
    </row>
    <row r="65" spans="5:13" ht="12.75">
      <c r="E65" s="836"/>
      <c r="F65" s="836"/>
      <c r="G65" s="650"/>
      <c r="H65" s="650"/>
      <c r="I65" s="650"/>
      <c r="J65" s="650"/>
      <c r="K65" s="650"/>
      <c r="L65" s="650"/>
      <c r="M65" s="650"/>
    </row>
    <row r="66" spans="5:13" ht="12.75">
      <c r="E66" s="836"/>
      <c r="F66" s="836"/>
      <c r="G66" s="650"/>
      <c r="H66" s="650"/>
      <c r="I66" s="650"/>
      <c r="J66" s="650"/>
      <c r="K66" s="650"/>
      <c r="L66" s="650"/>
      <c r="M66" s="650"/>
    </row>
    <row r="67" spans="5:13" ht="12.75">
      <c r="E67" s="836"/>
      <c r="F67" s="836"/>
      <c r="G67" s="650"/>
      <c r="H67" s="650"/>
      <c r="I67" s="650"/>
      <c r="J67" s="650"/>
      <c r="K67" s="650"/>
      <c r="L67" s="650"/>
      <c r="M67" s="650"/>
    </row>
    <row r="68" spans="5:13" ht="12.75">
      <c r="E68" s="836"/>
      <c r="F68" s="836"/>
      <c r="G68" s="650"/>
      <c r="H68" s="650"/>
      <c r="I68" s="650"/>
      <c r="J68" s="650"/>
      <c r="K68" s="650"/>
      <c r="L68" s="650"/>
      <c r="M68" s="650"/>
    </row>
    <row r="69" spans="5:13" ht="19.5" customHeight="1">
      <c r="E69" s="836"/>
      <c r="F69" s="836"/>
      <c r="G69" s="650"/>
      <c r="H69" s="650"/>
      <c r="I69" s="650"/>
      <c r="J69" s="650"/>
      <c r="K69" s="650"/>
      <c r="L69" s="650"/>
      <c r="M69" s="650"/>
    </row>
    <row r="70" spans="5:13" ht="12.75">
      <c r="E70" s="836"/>
      <c r="F70" s="836"/>
      <c r="G70" s="650"/>
      <c r="H70" s="650"/>
      <c r="I70" s="650"/>
      <c r="J70" s="650"/>
      <c r="K70" s="650"/>
      <c r="L70" s="650"/>
      <c r="M70" s="650"/>
    </row>
    <row r="71" spans="5:13" ht="12.75">
      <c r="E71" s="836"/>
      <c r="F71" s="836"/>
      <c r="G71" s="650"/>
      <c r="H71" s="650"/>
      <c r="I71" s="650"/>
      <c r="J71" s="650"/>
      <c r="K71" s="650"/>
      <c r="L71" s="650"/>
      <c r="M71" s="650"/>
    </row>
    <row r="72" spans="5:13" ht="12.75">
      <c r="E72" s="836"/>
      <c r="F72" s="836"/>
      <c r="G72" s="650"/>
      <c r="H72" s="650"/>
      <c r="I72" s="650"/>
      <c r="J72" s="650"/>
      <c r="K72" s="650"/>
      <c r="L72" s="650"/>
      <c r="M72" s="650"/>
    </row>
    <row r="73" spans="5:13" ht="12.75">
      <c r="E73" s="836"/>
      <c r="F73" s="836"/>
      <c r="G73" s="650"/>
      <c r="H73" s="650"/>
      <c r="I73" s="650"/>
      <c r="J73" s="650"/>
      <c r="K73" s="650"/>
      <c r="L73" s="650"/>
      <c r="M73" s="650"/>
    </row>
    <row r="74" spans="5:13" ht="12.75">
      <c r="E74" s="836"/>
      <c r="F74" s="836"/>
      <c r="G74" s="650"/>
      <c r="H74" s="650"/>
      <c r="I74" s="650"/>
      <c r="J74" s="650"/>
      <c r="K74" s="650"/>
      <c r="L74" s="650"/>
      <c r="M74" s="650"/>
    </row>
    <row r="75" spans="5:13" ht="12.75">
      <c r="E75" s="836"/>
      <c r="F75" s="836"/>
      <c r="G75" s="650"/>
      <c r="H75" s="650"/>
      <c r="I75" s="650"/>
      <c r="J75" s="650"/>
      <c r="K75" s="650"/>
      <c r="L75" s="650"/>
      <c r="M75" s="650"/>
    </row>
    <row r="76" spans="5:13" ht="12.75">
      <c r="E76" s="836"/>
      <c r="F76" s="836"/>
      <c r="G76" s="650"/>
      <c r="H76" s="650"/>
      <c r="I76" s="650"/>
      <c r="J76" s="650"/>
      <c r="K76" s="650"/>
      <c r="L76" s="650"/>
      <c r="M76" s="650"/>
    </row>
    <row r="77" spans="5:13" ht="12.75">
      <c r="E77" s="836"/>
      <c r="F77" s="836"/>
      <c r="G77" s="650"/>
      <c r="H77" s="650"/>
      <c r="I77" s="650"/>
      <c r="J77" s="650"/>
      <c r="K77" s="650"/>
      <c r="L77" s="650"/>
      <c r="M77" s="650"/>
    </row>
    <row r="78" spans="5:13" ht="12.75">
      <c r="E78" s="836"/>
      <c r="F78" s="836"/>
      <c r="G78" s="650"/>
      <c r="H78" s="650"/>
      <c r="I78" s="650"/>
      <c r="J78" s="650"/>
      <c r="K78" s="650"/>
      <c r="L78" s="650"/>
      <c r="M78" s="650"/>
    </row>
    <row r="79" spans="5:13" ht="12.75">
      <c r="E79" s="836"/>
      <c r="F79" s="836"/>
      <c r="G79" s="650"/>
      <c r="H79" s="650"/>
      <c r="I79" s="650"/>
      <c r="J79" s="650"/>
      <c r="K79" s="650"/>
      <c r="L79" s="650"/>
      <c r="M79" s="650"/>
    </row>
    <row r="80" spans="5:13" ht="12.75">
      <c r="E80" s="836"/>
      <c r="F80" s="836"/>
      <c r="G80" s="650"/>
      <c r="H80" s="650"/>
      <c r="I80" s="650"/>
      <c r="J80" s="650"/>
      <c r="K80" s="650"/>
      <c r="L80" s="650"/>
      <c r="M80" s="650"/>
    </row>
    <row r="81" spans="5:13" ht="12.75">
      <c r="E81" s="836"/>
      <c r="F81" s="836"/>
      <c r="G81" s="650"/>
      <c r="H81" s="650"/>
      <c r="I81" s="650"/>
      <c r="J81" s="650"/>
      <c r="K81" s="650"/>
      <c r="L81" s="650"/>
      <c r="M81" s="650"/>
    </row>
    <row r="82" spans="5:13" ht="12.75">
      <c r="E82" s="837"/>
      <c r="F82" s="836"/>
      <c r="G82" s="650"/>
      <c r="H82" s="650"/>
      <c r="I82" s="650"/>
      <c r="J82" s="650"/>
      <c r="K82" s="650"/>
      <c r="L82" s="650"/>
      <c r="M82" s="650"/>
    </row>
    <row r="83" spans="6:13" ht="12.75">
      <c r="F83" s="650"/>
      <c r="G83" s="650"/>
      <c r="H83" s="650"/>
      <c r="I83" s="650"/>
      <c r="J83" s="650"/>
      <c r="K83" s="650"/>
      <c r="L83" s="650"/>
      <c r="M83" s="650"/>
    </row>
    <row r="84" spans="6:13" ht="12.75">
      <c r="F84" s="650"/>
      <c r="G84" s="650"/>
      <c r="H84" s="650"/>
      <c r="I84" s="650"/>
      <c r="J84" s="650"/>
      <c r="K84" s="650"/>
      <c r="L84" s="650"/>
      <c r="M84" s="650"/>
    </row>
    <row r="85" spans="6:13" ht="12.75">
      <c r="F85" s="650"/>
      <c r="G85" s="650"/>
      <c r="H85" s="650"/>
      <c r="I85" s="650"/>
      <c r="J85" s="650"/>
      <c r="K85" s="650"/>
      <c r="L85" s="650"/>
      <c r="M85" s="650"/>
    </row>
    <row r="86" spans="6:13" ht="12.75">
      <c r="F86" s="650"/>
      <c r="G86" s="650"/>
      <c r="H86" s="650"/>
      <c r="I86" s="650"/>
      <c r="J86" s="650"/>
      <c r="K86" s="650"/>
      <c r="L86" s="650"/>
      <c r="M86" s="650"/>
    </row>
    <row r="87" spans="6:13" ht="12.75">
      <c r="F87" s="650"/>
      <c r="G87" s="650"/>
      <c r="H87" s="650"/>
      <c r="I87" s="650"/>
      <c r="J87" s="650"/>
      <c r="K87" s="650"/>
      <c r="L87" s="650"/>
      <c r="M87" s="650"/>
    </row>
    <row r="88" spans="6:13" ht="12.75">
      <c r="F88" s="650"/>
      <c r="G88" s="650"/>
      <c r="H88" s="650"/>
      <c r="I88" s="650"/>
      <c r="J88" s="650"/>
      <c r="K88" s="650"/>
      <c r="L88" s="650"/>
      <c r="M88" s="650"/>
    </row>
    <row r="89" spans="6:13" ht="12.75">
      <c r="F89" s="650"/>
      <c r="G89" s="650"/>
      <c r="H89" s="650"/>
      <c r="I89" s="650"/>
      <c r="J89" s="650"/>
      <c r="K89" s="650"/>
      <c r="L89" s="650"/>
      <c r="M89" s="650"/>
    </row>
    <row r="90" spans="6:13" ht="12.75">
      <c r="F90" s="650"/>
      <c r="G90" s="650"/>
      <c r="H90" s="650"/>
      <c r="I90" s="650"/>
      <c r="J90" s="650"/>
      <c r="K90" s="650"/>
      <c r="L90" s="650"/>
      <c r="M90" s="650"/>
    </row>
    <row r="91" spans="6:13" ht="12.75">
      <c r="F91" s="650"/>
      <c r="G91" s="650"/>
      <c r="H91" s="650"/>
      <c r="I91" s="650"/>
      <c r="J91" s="650"/>
      <c r="K91" s="650"/>
      <c r="L91" s="650"/>
      <c r="M91" s="650"/>
    </row>
    <row r="92" spans="6:13" ht="12.75">
      <c r="F92" s="650"/>
      <c r="G92" s="650"/>
      <c r="H92" s="650"/>
      <c r="I92" s="650"/>
      <c r="J92" s="650"/>
      <c r="K92" s="650"/>
      <c r="L92" s="650"/>
      <c r="M92" s="650"/>
    </row>
    <row r="93" spans="6:13" ht="12.75">
      <c r="F93" s="650"/>
      <c r="G93" s="650"/>
      <c r="H93" s="650"/>
      <c r="I93" s="650"/>
      <c r="J93" s="650"/>
      <c r="K93" s="650"/>
      <c r="L93" s="650"/>
      <c r="M93" s="650"/>
    </row>
    <row r="94" spans="6:13" ht="12.75">
      <c r="F94" s="650"/>
      <c r="G94" s="650"/>
      <c r="H94" s="650"/>
      <c r="I94" s="650"/>
      <c r="J94" s="650"/>
      <c r="K94" s="650"/>
      <c r="L94" s="650"/>
      <c r="M94" s="650"/>
    </row>
    <row r="95" spans="6:13" ht="12.75">
      <c r="F95" s="650"/>
      <c r="G95" s="650"/>
      <c r="H95" s="650"/>
      <c r="I95" s="650"/>
      <c r="J95" s="650"/>
      <c r="K95" s="650"/>
      <c r="L95" s="650"/>
      <c r="M95" s="650"/>
    </row>
    <row r="96" spans="6:13" ht="12.75">
      <c r="F96" s="650"/>
      <c r="G96" s="650"/>
      <c r="H96" s="650"/>
      <c r="I96" s="650"/>
      <c r="J96" s="650"/>
      <c r="K96" s="650"/>
      <c r="L96" s="650"/>
      <c r="M96" s="650"/>
    </row>
    <row r="97" spans="6:13" ht="12.75">
      <c r="F97" s="650"/>
      <c r="G97" s="650"/>
      <c r="H97" s="650"/>
      <c r="I97" s="650"/>
      <c r="J97" s="650"/>
      <c r="K97" s="650"/>
      <c r="L97" s="650"/>
      <c r="M97" s="650"/>
    </row>
    <row r="98" spans="6:13" ht="12.75">
      <c r="F98" s="650"/>
      <c r="G98" s="650"/>
      <c r="H98" s="650"/>
      <c r="I98" s="650"/>
      <c r="J98" s="650"/>
      <c r="K98" s="650"/>
      <c r="L98" s="650"/>
      <c r="M98" s="650"/>
    </row>
    <row r="99" spans="6:13" ht="12.75">
      <c r="F99" s="650"/>
      <c r="G99" s="650"/>
      <c r="H99" s="650"/>
      <c r="I99" s="650"/>
      <c r="J99" s="650"/>
      <c r="K99" s="650"/>
      <c r="L99" s="650"/>
      <c r="M99" s="650"/>
    </row>
    <row r="100" spans="6:13" ht="12.75">
      <c r="F100" s="650"/>
      <c r="G100" s="650"/>
      <c r="H100" s="650"/>
      <c r="I100" s="650"/>
      <c r="J100" s="650"/>
      <c r="K100" s="650"/>
      <c r="L100" s="650"/>
      <c r="M100" s="650"/>
    </row>
    <row r="101" spans="6:13" ht="12.75">
      <c r="F101" s="650"/>
      <c r="G101" s="650"/>
      <c r="H101" s="650"/>
      <c r="I101" s="650"/>
      <c r="J101" s="650"/>
      <c r="K101" s="650"/>
      <c r="L101" s="650"/>
      <c r="M101" s="650"/>
    </row>
    <row r="102" spans="6:13" ht="12.75">
      <c r="F102" s="650"/>
      <c r="G102" s="650"/>
      <c r="H102" s="650"/>
      <c r="I102" s="650"/>
      <c r="J102" s="650"/>
      <c r="K102" s="650"/>
      <c r="L102" s="650"/>
      <c r="M102" s="650"/>
    </row>
    <row r="103" spans="6:13" ht="12.75">
      <c r="F103" s="650"/>
      <c r="G103" s="650"/>
      <c r="H103" s="650"/>
      <c r="I103" s="650"/>
      <c r="J103" s="650"/>
      <c r="K103" s="650"/>
      <c r="L103" s="650"/>
      <c r="M103" s="650"/>
    </row>
  </sheetData>
  <mergeCells count="39">
    <mergeCell ref="A52:A55"/>
    <mergeCell ref="B52:B55"/>
    <mergeCell ref="C52:C55"/>
    <mergeCell ref="A56:D56"/>
    <mergeCell ref="A44:A47"/>
    <mergeCell ref="B44:B47"/>
    <mergeCell ref="C44:C47"/>
    <mergeCell ref="A48:A51"/>
    <mergeCell ref="B48:B51"/>
    <mergeCell ref="C48:C51"/>
    <mergeCell ref="A39:A42"/>
    <mergeCell ref="B39:B42"/>
    <mergeCell ref="C39:C42"/>
    <mergeCell ref="A31:A34"/>
    <mergeCell ref="B31:B34"/>
    <mergeCell ref="C31:C34"/>
    <mergeCell ref="A35:A38"/>
    <mergeCell ref="B35:B38"/>
    <mergeCell ref="C35:C38"/>
    <mergeCell ref="A23:A26"/>
    <mergeCell ref="B23:B26"/>
    <mergeCell ref="C23:C26"/>
    <mergeCell ref="A27:A30"/>
    <mergeCell ref="B27:B30"/>
    <mergeCell ref="C27:C30"/>
    <mergeCell ref="A15:A18"/>
    <mergeCell ref="B15:B18"/>
    <mergeCell ref="C15:C18"/>
    <mergeCell ref="A19:A22"/>
    <mergeCell ref="B19:B22"/>
    <mergeCell ref="C19:C22"/>
    <mergeCell ref="E7:M8"/>
    <mergeCell ref="A11:A14"/>
    <mergeCell ref="B11:B14"/>
    <mergeCell ref="C11:C14"/>
    <mergeCell ref="A7:A9"/>
    <mergeCell ref="B7:B9"/>
    <mergeCell ref="C7:C9"/>
    <mergeCell ref="D7:D9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X198"/>
  <sheetViews>
    <sheetView workbookViewId="0" topLeftCell="A1">
      <selection activeCell="B15" sqref="B15"/>
    </sheetView>
  </sheetViews>
  <sheetFormatPr defaultColWidth="9.140625" defaultRowHeight="12.75"/>
  <cols>
    <col min="1" max="1" width="4.28125" style="22" customWidth="1"/>
    <col min="2" max="2" width="31.28125" style="22" customWidth="1"/>
    <col min="3" max="3" width="13.57421875" style="22" customWidth="1"/>
    <col min="4" max="4" width="31.57421875" style="626" customWidth="1"/>
    <col min="5" max="5" width="23.28125" style="626" customWidth="1"/>
    <col min="6" max="6" width="17.7109375" style="626" customWidth="1"/>
    <col min="7" max="7" width="18.421875" style="626" customWidth="1"/>
    <col min="8" max="8" width="13.140625" style="22" customWidth="1"/>
    <col min="9" max="9" width="16.00390625" style="22" customWidth="1"/>
    <col min="10" max="10" width="14.00390625" style="22" customWidth="1"/>
    <col min="11" max="11" width="9.140625" style="22" customWidth="1"/>
    <col min="12" max="12" width="14.57421875" style="22" customWidth="1"/>
    <col min="13" max="16384" width="9.140625" style="22" customWidth="1"/>
  </cols>
  <sheetData>
    <row r="1" spans="1:24" ht="18.75">
      <c r="A1" s="40"/>
      <c r="B1" s="40"/>
      <c r="C1" s="40"/>
      <c r="D1" s="164"/>
      <c r="E1" s="164"/>
      <c r="F1" s="164"/>
      <c r="G1" s="164"/>
      <c r="H1" s="40"/>
      <c r="I1" s="40"/>
      <c r="J1" s="123"/>
      <c r="K1" s="124"/>
      <c r="L1" s="124"/>
      <c r="M1" s="124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8.75">
      <c r="A2" s="40"/>
      <c r="B2" s="40"/>
      <c r="C2" s="40"/>
      <c r="D2" s="164"/>
      <c r="E2" s="164"/>
      <c r="F2" s="164"/>
      <c r="G2" s="164"/>
      <c r="H2" s="40"/>
      <c r="I2" s="40"/>
      <c r="J2" s="123"/>
      <c r="K2" s="124"/>
      <c r="L2" s="124"/>
      <c r="M2" s="124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8.75">
      <c r="A3" s="40"/>
      <c r="B3" s="40"/>
      <c r="C3" s="40"/>
      <c r="D3" s="164"/>
      <c r="E3" s="164"/>
      <c r="F3" s="164"/>
      <c r="G3" s="164"/>
      <c r="H3" s="40"/>
      <c r="I3" s="40"/>
      <c r="J3" s="123"/>
      <c r="K3" s="124"/>
      <c r="L3" s="124"/>
      <c r="M3" s="124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8.75">
      <c r="A4" s="40"/>
      <c r="B4" s="40"/>
      <c r="C4" s="40"/>
      <c r="D4" s="164"/>
      <c r="E4" s="164"/>
      <c r="F4" s="164"/>
      <c r="G4" s="164"/>
      <c r="H4" s="40"/>
      <c r="I4" s="40"/>
      <c r="J4" s="123"/>
      <c r="K4" s="124"/>
      <c r="L4" s="124"/>
      <c r="M4" s="124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18.75">
      <c r="A5" s="40"/>
      <c r="B5" s="40"/>
      <c r="C5" s="40"/>
      <c r="D5" s="164"/>
      <c r="E5" s="164"/>
      <c r="F5" s="164"/>
      <c r="G5" s="164"/>
      <c r="H5" s="40"/>
      <c r="I5" s="40"/>
      <c r="J5" s="123"/>
      <c r="K5" s="124"/>
      <c r="L5" s="124"/>
      <c r="M5" s="124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18.75">
      <c r="A6" s="40"/>
      <c r="B6" s="40"/>
      <c r="C6" s="40"/>
      <c r="D6" s="164"/>
      <c r="E6" s="164"/>
      <c r="F6" s="164"/>
      <c r="G6" s="164"/>
      <c r="H6" s="40"/>
      <c r="I6" s="40"/>
      <c r="J6" s="123"/>
      <c r="K6" s="124"/>
      <c r="L6" s="124"/>
      <c r="M6" s="124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18.75">
      <c r="A7" s="40"/>
      <c r="B7" s="40"/>
      <c r="C7" s="40"/>
      <c r="D7" s="164"/>
      <c r="E7" s="164"/>
      <c r="F7" s="164"/>
      <c r="G7" s="164"/>
      <c r="H7" s="40"/>
      <c r="I7" s="40"/>
      <c r="J7" s="123"/>
      <c r="K7" s="124"/>
      <c r="L7" s="124"/>
      <c r="M7" s="124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18.75">
      <c r="A8" s="40"/>
      <c r="B8" s="40"/>
      <c r="C8" s="40"/>
      <c r="D8" s="164"/>
      <c r="E8" s="164"/>
      <c r="F8" s="164"/>
      <c r="G8" s="164"/>
      <c r="H8" s="40"/>
      <c r="I8" s="40"/>
      <c r="J8" s="123"/>
      <c r="K8" s="124"/>
      <c r="L8" s="124"/>
      <c r="M8" s="124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8.75">
      <c r="A9" s="40"/>
      <c r="B9" s="40"/>
      <c r="C9" s="360"/>
      <c r="D9" s="627"/>
      <c r="E9" s="627"/>
      <c r="F9" s="164"/>
      <c r="G9" s="164"/>
      <c r="H9" s="40"/>
      <c r="I9" s="40"/>
      <c r="J9" s="123"/>
      <c r="K9" s="124"/>
      <c r="L9" s="124"/>
      <c r="M9" s="124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ht="18.75">
      <c r="A10" s="40"/>
      <c r="B10" s="40"/>
      <c r="C10" s="40"/>
      <c r="D10" s="164"/>
      <c r="E10" s="164"/>
      <c r="F10" s="164"/>
      <c r="G10" s="164"/>
      <c r="H10" s="40"/>
      <c r="I10" s="40"/>
      <c r="J10" s="123"/>
      <c r="K10" s="124"/>
      <c r="L10" s="124"/>
      <c r="M10" s="12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18.75">
      <c r="A11" s="40"/>
      <c r="B11" s="40"/>
      <c r="C11" s="40"/>
      <c r="D11" s="164"/>
      <c r="E11" s="164"/>
      <c r="F11" s="164"/>
      <c r="G11" s="164"/>
      <c r="H11" s="40"/>
      <c r="I11" s="40"/>
      <c r="J11" s="123"/>
      <c r="K11" s="124"/>
      <c r="L11" s="124"/>
      <c r="M11" s="124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18.75">
      <c r="A12" s="40"/>
      <c r="B12" s="40"/>
      <c r="C12" s="40"/>
      <c r="D12" s="164"/>
      <c r="E12" s="164"/>
      <c r="F12" s="164"/>
      <c r="G12" s="164"/>
      <c r="H12" s="40"/>
      <c r="I12" s="40"/>
      <c r="J12" s="123"/>
      <c r="K12" s="124"/>
      <c r="L12" s="124"/>
      <c r="M12" s="124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ht="18.75">
      <c r="A13" s="40"/>
      <c r="B13" s="40"/>
      <c r="C13" s="40"/>
      <c r="D13" s="164"/>
      <c r="E13" s="164"/>
      <c r="F13" s="164"/>
      <c r="G13" s="164"/>
      <c r="H13" s="40"/>
      <c r="I13" s="40"/>
      <c r="J13" s="123"/>
      <c r="K13" s="124"/>
      <c r="L13" s="124"/>
      <c r="M13" s="124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ht="18.75">
      <c r="A14" s="40"/>
      <c r="B14" s="40"/>
      <c r="C14" s="360"/>
      <c r="D14" s="627"/>
      <c r="E14" s="627"/>
      <c r="F14" s="164"/>
      <c r="G14" s="164"/>
      <c r="H14" s="40"/>
      <c r="I14" s="40"/>
      <c r="J14" s="123"/>
      <c r="K14" s="124"/>
      <c r="L14" s="124"/>
      <c r="M14" s="124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4" ht="18.75">
      <c r="A15" s="40"/>
      <c r="B15" s="40"/>
      <c r="C15" s="40"/>
      <c r="D15" s="164"/>
      <c r="E15" s="164"/>
      <c r="F15" s="164"/>
      <c r="G15" s="164"/>
      <c r="H15" s="40"/>
      <c r="I15" s="40"/>
      <c r="J15" s="123"/>
      <c r="K15" s="124"/>
      <c r="L15" s="124"/>
      <c r="M15" s="124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18.75">
      <c r="A16" s="40"/>
      <c r="B16" s="40"/>
      <c r="C16" s="40"/>
      <c r="D16" s="164"/>
      <c r="E16" s="164"/>
      <c r="F16" s="164"/>
      <c r="G16" s="164"/>
      <c r="H16" s="40"/>
      <c r="I16" s="40"/>
      <c r="J16" s="123"/>
      <c r="K16" s="124"/>
      <c r="L16" s="124"/>
      <c r="M16" s="124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18.75">
      <c r="A17" s="40"/>
      <c r="B17" s="40"/>
      <c r="C17" s="40"/>
      <c r="D17" s="164"/>
      <c r="E17" s="164"/>
      <c r="F17" s="164"/>
      <c r="G17" s="164"/>
      <c r="H17" s="40"/>
      <c r="I17" s="40"/>
      <c r="J17" s="123"/>
      <c r="K17" s="124"/>
      <c r="L17" s="124"/>
      <c r="M17" s="124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18.75">
      <c r="A18" s="40"/>
      <c r="B18" s="40"/>
      <c r="C18" s="40"/>
      <c r="D18" s="164"/>
      <c r="E18" s="164"/>
      <c r="F18" s="164"/>
      <c r="G18" s="164"/>
      <c r="H18" s="40"/>
      <c r="I18" s="40"/>
      <c r="J18" s="123"/>
      <c r="K18" s="124"/>
      <c r="L18" s="124"/>
      <c r="M18" s="124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18.75">
      <c r="A19" s="40"/>
      <c r="B19" s="40"/>
      <c r="C19" s="40"/>
      <c r="D19" s="164"/>
      <c r="E19" s="164"/>
      <c r="F19" s="164"/>
      <c r="G19" s="164"/>
      <c r="H19" s="40"/>
      <c r="I19" s="40"/>
      <c r="J19" s="123"/>
      <c r="K19" s="124"/>
      <c r="L19" s="124"/>
      <c r="M19" s="124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18.75">
      <c r="A20" s="40"/>
      <c r="B20" s="40"/>
      <c r="C20" s="40"/>
      <c r="D20" s="164"/>
      <c r="E20" s="164"/>
      <c r="F20" s="164"/>
      <c r="G20" s="164"/>
      <c r="H20" s="40"/>
      <c r="I20" s="40"/>
      <c r="J20" s="123"/>
      <c r="K20" s="124"/>
      <c r="L20" s="124"/>
      <c r="M20" s="124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18.75">
      <c r="A21" s="40"/>
      <c r="B21" s="40"/>
      <c r="C21" s="40"/>
      <c r="D21" s="164"/>
      <c r="E21" s="164"/>
      <c r="F21" s="164"/>
      <c r="G21" s="164"/>
      <c r="H21" s="40"/>
      <c r="I21" s="40"/>
      <c r="J21" s="123"/>
      <c r="K21" s="124"/>
      <c r="L21" s="124"/>
      <c r="M21" s="124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18.75">
      <c r="A22" s="40"/>
      <c r="B22" s="40"/>
      <c r="C22" s="40"/>
      <c r="D22" s="164"/>
      <c r="E22" s="164"/>
      <c r="F22" s="164"/>
      <c r="G22" s="164"/>
      <c r="H22" s="40"/>
      <c r="I22" s="40"/>
      <c r="J22" s="123"/>
      <c r="K22" s="124"/>
      <c r="L22" s="124"/>
      <c r="M22" s="124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18.75">
      <c r="A23" s="40"/>
      <c r="B23" s="40"/>
      <c r="C23" s="40"/>
      <c r="D23" s="164"/>
      <c r="E23" s="164"/>
      <c r="F23" s="164"/>
      <c r="G23" s="164"/>
      <c r="H23" s="40"/>
      <c r="I23" s="40"/>
      <c r="J23" s="123"/>
      <c r="K23" s="124"/>
      <c r="L23" s="124"/>
      <c r="M23" s="124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18.75">
      <c r="A24" s="40"/>
      <c r="B24" s="40"/>
      <c r="C24" s="40"/>
      <c r="D24" s="164"/>
      <c r="E24" s="164"/>
      <c r="F24" s="164"/>
      <c r="G24" s="164"/>
      <c r="H24" s="40"/>
      <c r="I24" s="40"/>
      <c r="J24" s="123"/>
      <c r="K24" s="124"/>
      <c r="L24" s="124"/>
      <c r="M24" s="124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18.75">
      <c r="A25" s="40"/>
      <c r="B25" s="40"/>
      <c r="C25" s="40"/>
      <c r="D25" s="164"/>
      <c r="E25" s="164"/>
      <c r="F25" s="164"/>
      <c r="G25" s="164"/>
      <c r="H25" s="40"/>
      <c r="I25" s="40"/>
      <c r="J25" s="123"/>
      <c r="K25" s="124"/>
      <c r="L25" s="124"/>
      <c r="M25" s="124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18.75">
      <c r="A26" s="40"/>
      <c r="B26" s="40"/>
      <c r="C26" s="40"/>
      <c r="D26" s="164"/>
      <c r="E26" s="164"/>
      <c r="F26" s="164"/>
      <c r="G26" s="164"/>
      <c r="H26" s="40"/>
      <c r="I26" s="40"/>
      <c r="J26" s="123"/>
      <c r="K26" s="124"/>
      <c r="L26" s="124"/>
      <c r="M26" s="124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ht="18.75">
      <c r="A27" s="40"/>
      <c r="B27" s="40"/>
      <c r="C27" s="40"/>
      <c r="D27" s="164"/>
      <c r="E27" s="164"/>
      <c r="F27" s="164"/>
      <c r="G27" s="164"/>
      <c r="H27" s="40"/>
      <c r="I27" s="40"/>
      <c r="J27" s="123"/>
      <c r="K27" s="124"/>
      <c r="L27" s="124"/>
      <c r="M27" s="124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18.75">
      <c r="A28" s="40"/>
      <c r="B28" s="40"/>
      <c r="C28" s="40"/>
      <c r="D28" s="164"/>
      <c r="E28" s="164"/>
      <c r="F28" s="164"/>
      <c r="G28" s="164"/>
      <c r="H28" s="40"/>
      <c r="I28" s="40"/>
      <c r="J28" s="123"/>
      <c r="K28" s="124"/>
      <c r="L28" s="124"/>
      <c r="M28" s="124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18.75">
      <c r="A29" s="40"/>
      <c r="B29" s="40"/>
      <c r="C29" s="40"/>
      <c r="D29" s="164"/>
      <c r="E29" s="164"/>
      <c r="F29" s="164"/>
      <c r="G29" s="164"/>
      <c r="H29" s="40"/>
      <c r="I29" s="40"/>
      <c r="J29" s="123"/>
      <c r="K29" s="124"/>
      <c r="L29" s="124"/>
      <c r="M29" s="124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18.75">
      <c r="A30" s="40"/>
      <c r="B30" s="40"/>
      <c r="C30" s="40"/>
      <c r="D30" s="164"/>
      <c r="E30" s="164"/>
      <c r="F30" s="164"/>
      <c r="G30" s="164"/>
      <c r="H30" s="40"/>
      <c r="I30" s="40"/>
      <c r="J30" s="123"/>
      <c r="K30" s="124"/>
      <c r="L30" s="124"/>
      <c r="M30" s="124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18.75">
      <c r="A31" s="40"/>
      <c r="B31" s="40"/>
      <c r="C31" s="40"/>
      <c r="D31" s="164"/>
      <c r="E31" s="164"/>
      <c r="F31" s="164"/>
      <c r="G31" s="164"/>
      <c r="H31" s="40"/>
      <c r="I31" s="40"/>
      <c r="J31" s="123"/>
      <c r="K31" s="124"/>
      <c r="L31" s="124"/>
      <c r="M31" s="124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18.75">
      <c r="A32" s="40"/>
      <c r="B32" s="40"/>
      <c r="C32" s="40"/>
      <c r="D32" s="164"/>
      <c r="E32" s="164"/>
      <c r="F32" s="164"/>
      <c r="G32" s="164"/>
      <c r="H32" s="40"/>
      <c r="I32" s="40"/>
      <c r="J32" s="123"/>
      <c r="K32" s="124"/>
      <c r="L32" s="124"/>
      <c r="M32" s="124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18.75">
      <c r="A33" s="40"/>
      <c r="B33" s="40"/>
      <c r="C33" s="40"/>
      <c r="D33" s="164"/>
      <c r="E33" s="164"/>
      <c r="F33" s="164"/>
      <c r="G33" s="164"/>
      <c r="H33" s="40"/>
      <c r="I33" s="40"/>
      <c r="J33" s="123"/>
      <c r="K33" s="124"/>
      <c r="L33" s="124"/>
      <c r="M33" s="124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18.75">
      <c r="A34" s="40"/>
      <c r="B34" s="40"/>
      <c r="C34" s="40"/>
      <c r="D34" s="164"/>
      <c r="E34" s="164"/>
      <c r="F34" s="164"/>
      <c r="G34" s="164"/>
      <c r="H34" s="40"/>
      <c r="I34" s="40"/>
      <c r="J34" s="123"/>
      <c r="K34" s="124"/>
      <c r="L34" s="124"/>
      <c r="M34" s="124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ht="18.75">
      <c r="A35" s="40"/>
      <c r="B35" s="40"/>
      <c r="C35" s="40"/>
      <c r="D35" s="164"/>
      <c r="E35" s="164"/>
      <c r="F35" s="164"/>
      <c r="G35" s="164"/>
      <c r="H35" s="40"/>
      <c r="I35" s="40"/>
      <c r="J35" s="123"/>
      <c r="K35" s="124"/>
      <c r="L35" s="124"/>
      <c r="M35" s="124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18.75">
      <c r="A36" s="40"/>
      <c r="B36" s="40"/>
      <c r="C36" s="40"/>
      <c r="D36" s="164"/>
      <c r="E36" s="164"/>
      <c r="F36" s="164"/>
      <c r="G36" s="164"/>
      <c r="H36" s="40"/>
      <c r="I36" s="40"/>
      <c r="J36" s="123"/>
      <c r="K36" s="124"/>
      <c r="L36" s="124"/>
      <c r="M36" s="124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ht="18.75">
      <c r="A37" s="40"/>
      <c r="B37" s="40"/>
      <c r="C37" s="40"/>
      <c r="D37" s="164"/>
      <c r="E37" s="164"/>
      <c r="F37" s="164"/>
      <c r="G37" s="164"/>
      <c r="H37" s="40"/>
      <c r="I37" s="40"/>
      <c r="J37" s="123"/>
      <c r="K37" s="124"/>
      <c r="L37" s="124"/>
      <c r="M37" s="124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1:24" ht="18.75">
      <c r="A38" s="40"/>
      <c r="B38" s="40"/>
      <c r="C38" s="40"/>
      <c r="D38" s="164"/>
      <c r="E38" s="164"/>
      <c r="F38" s="164"/>
      <c r="G38" s="164"/>
      <c r="H38" s="40"/>
      <c r="I38" s="40"/>
      <c r="J38" s="123"/>
      <c r="K38" s="124"/>
      <c r="L38" s="124"/>
      <c r="M38" s="124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18.75">
      <c r="A39" s="40"/>
      <c r="B39" s="40"/>
      <c r="C39" s="40"/>
      <c r="D39" s="164"/>
      <c r="E39" s="164"/>
      <c r="F39" s="164"/>
      <c r="G39" s="164"/>
      <c r="H39" s="40"/>
      <c r="I39" s="40"/>
      <c r="J39" s="123"/>
      <c r="K39" s="124"/>
      <c r="L39" s="124"/>
      <c r="M39" s="124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8.75">
      <c r="A40" s="40"/>
      <c r="B40" s="40"/>
      <c r="C40" s="40"/>
      <c r="D40" s="164"/>
      <c r="E40" s="164"/>
      <c r="F40" s="164"/>
      <c r="G40" s="164"/>
      <c r="H40" s="40"/>
      <c r="I40" s="40"/>
      <c r="J40" s="123"/>
      <c r="K40" s="124"/>
      <c r="L40" s="124"/>
      <c r="M40" s="124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18.75">
      <c r="A41" s="40"/>
      <c r="B41" s="40"/>
      <c r="C41" s="40"/>
      <c r="D41" s="164"/>
      <c r="E41" s="164"/>
      <c r="F41" s="164"/>
      <c r="G41" s="164"/>
      <c r="H41" s="40"/>
      <c r="I41" s="40"/>
      <c r="J41" s="123"/>
      <c r="K41" s="124"/>
      <c r="L41" s="124"/>
      <c r="M41" s="124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18.75">
      <c r="A42" s="40"/>
      <c r="B42" s="40"/>
      <c r="C42" s="40"/>
      <c r="D42" s="164"/>
      <c r="E42" s="164"/>
      <c r="F42" s="164"/>
      <c r="G42" s="164"/>
      <c r="H42" s="40"/>
      <c r="I42" s="40"/>
      <c r="J42" s="123"/>
      <c r="K42" s="124"/>
      <c r="L42" s="124"/>
      <c r="M42" s="124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18.75">
      <c r="A43" s="40"/>
      <c r="B43" s="40"/>
      <c r="C43" s="40"/>
      <c r="D43" s="164"/>
      <c r="E43" s="164"/>
      <c r="F43" s="164"/>
      <c r="G43" s="164"/>
      <c r="H43" s="40"/>
      <c r="I43" s="40"/>
      <c r="J43" s="123"/>
      <c r="K43" s="124"/>
      <c r="L43" s="124"/>
      <c r="M43" s="124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ht="18.75">
      <c r="A44" s="40"/>
      <c r="B44" s="40"/>
      <c r="C44" s="40"/>
      <c r="D44" s="164"/>
      <c r="E44" s="164"/>
      <c r="F44" s="164"/>
      <c r="G44" s="164"/>
      <c r="H44" s="40"/>
      <c r="I44" s="40"/>
      <c r="J44" s="123"/>
      <c r="K44" s="124"/>
      <c r="L44" s="124"/>
      <c r="M44" s="124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ht="18.75">
      <c r="A45" s="40"/>
      <c r="B45" s="40"/>
      <c r="C45" s="40"/>
      <c r="D45" s="164"/>
      <c r="E45" s="164"/>
      <c r="F45" s="164"/>
      <c r="G45" s="164"/>
      <c r="H45" s="40"/>
      <c r="I45" s="40"/>
      <c r="J45" s="123"/>
      <c r="K45" s="124"/>
      <c r="L45" s="124"/>
      <c r="M45" s="124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ht="18.75">
      <c r="A46" s="40"/>
      <c r="B46" s="40"/>
      <c r="C46" s="40"/>
      <c r="D46" s="164"/>
      <c r="E46" s="164"/>
      <c r="F46" s="164"/>
      <c r="G46" s="164"/>
      <c r="H46" s="40"/>
      <c r="I46" s="40"/>
      <c r="J46" s="123"/>
      <c r="K46" s="124"/>
      <c r="L46" s="124"/>
      <c r="M46" s="124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18.75">
      <c r="A47" s="40"/>
      <c r="B47" s="40"/>
      <c r="C47" s="40"/>
      <c r="D47" s="164"/>
      <c r="E47" s="164"/>
      <c r="F47" s="164"/>
      <c r="G47" s="164"/>
      <c r="H47" s="40"/>
      <c r="I47" s="40"/>
      <c r="J47" s="123"/>
      <c r="K47" s="124"/>
      <c r="L47" s="124"/>
      <c r="M47" s="124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ht="18.75">
      <c r="A48" s="40"/>
      <c r="B48" s="40"/>
      <c r="C48" s="40"/>
      <c r="D48" s="164"/>
      <c r="E48" s="164"/>
      <c r="F48" s="164"/>
      <c r="G48" s="164"/>
      <c r="H48" s="40"/>
      <c r="I48" s="40"/>
      <c r="J48" s="123"/>
      <c r="K48" s="124"/>
      <c r="L48" s="124"/>
      <c r="M48" s="124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24" ht="18.75">
      <c r="A49" s="40"/>
      <c r="B49" s="40"/>
      <c r="C49" s="40"/>
      <c r="D49" s="164"/>
      <c r="E49" s="164"/>
      <c r="F49" s="164"/>
      <c r="G49" s="164"/>
      <c r="H49" s="40"/>
      <c r="I49" s="40"/>
      <c r="J49" s="123"/>
      <c r="K49" s="124"/>
      <c r="L49" s="124"/>
      <c r="M49" s="124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1:24" ht="18.75">
      <c r="A50" s="40"/>
      <c r="B50" s="40"/>
      <c r="C50" s="40"/>
      <c r="D50" s="164"/>
      <c r="E50" s="164"/>
      <c r="F50" s="164"/>
      <c r="G50" s="164"/>
      <c r="H50" s="40"/>
      <c r="I50" s="40"/>
      <c r="J50" s="123"/>
      <c r="K50" s="124"/>
      <c r="L50" s="124"/>
      <c r="M50" s="124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ht="18.75">
      <c r="A51" s="40"/>
      <c r="B51" s="40"/>
      <c r="C51" s="40"/>
      <c r="D51" s="164"/>
      <c r="E51" s="164"/>
      <c r="F51" s="164"/>
      <c r="G51" s="164"/>
      <c r="H51" s="40"/>
      <c r="I51" s="40"/>
      <c r="J51" s="123"/>
      <c r="K51" s="124"/>
      <c r="L51" s="124"/>
      <c r="M51" s="124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ht="18.75">
      <c r="A52" s="40"/>
      <c r="B52" s="40"/>
      <c r="C52" s="40"/>
      <c r="D52" s="164"/>
      <c r="E52" s="164"/>
      <c r="F52" s="164"/>
      <c r="G52" s="164"/>
      <c r="H52" s="40"/>
      <c r="I52" s="40"/>
      <c r="J52" s="123"/>
      <c r="K52" s="124"/>
      <c r="L52" s="124"/>
      <c r="M52" s="124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4" ht="18.75">
      <c r="A53" s="40"/>
      <c r="B53" s="40"/>
      <c r="C53" s="40"/>
      <c r="D53" s="164"/>
      <c r="E53" s="164"/>
      <c r="F53" s="164"/>
      <c r="G53" s="164"/>
      <c r="H53" s="40"/>
      <c r="I53" s="40"/>
      <c r="J53" s="123"/>
      <c r="K53" s="124"/>
      <c r="L53" s="124"/>
      <c r="M53" s="124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4" ht="18.75">
      <c r="A54" s="40"/>
      <c r="B54" s="40"/>
      <c r="C54" s="40"/>
      <c r="D54" s="164"/>
      <c r="E54" s="164"/>
      <c r="F54" s="164"/>
      <c r="G54" s="164"/>
      <c r="H54" s="40"/>
      <c r="I54" s="40"/>
      <c r="J54" s="123"/>
      <c r="K54" s="124"/>
      <c r="L54" s="124"/>
      <c r="M54" s="124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1:24" ht="18.75">
      <c r="A55" s="40"/>
      <c r="B55" s="40"/>
      <c r="C55" s="40"/>
      <c r="D55" s="164"/>
      <c r="E55" s="164"/>
      <c r="F55" s="164"/>
      <c r="G55" s="164"/>
      <c r="H55" s="40"/>
      <c r="I55" s="40"/>
      <c r="J55" s="123"/>
      <c r="K55" s="124"/>
      <c r="L55" s="124"/>
      <c r="M55" s="124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ht="18.75">
      <c r="A56" s="40"/>
      <c r="B56" s="40"/>
      <c r="C56" s="40"/>
      <c r="D56" s="164"/>
      <c r="E56" s="164"/>
      <c r="F56" s="164"/>
      <c r="G56" s="164"/>
      <c r="H56" s="40"/>
      <c r="I56" s="40"/>
      <c r="J56" s="123"/>
      <c r="K56" s="124"/>
      <c r="L56" s="124"/>
      <c r="M56" s="124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ht="18.75">
      <c r="A57" s="40"/>
      <c r="B57" s="40"/>
      <c r="C57" s="40"/>
      <c r="D57" s="164"/>
      <c r="E57" s="164"/>
      <c r="F57" s="164"/>
      <c r="G57" s="164"/>
      <c r="H57" s="40"/>
      <c r="I57" s="40"/>
      <c r="J57" s="123"/>
      <c r="K57" s="124"/>
      <c r="L57" s="124"/>
      <c r="M57" s="124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ht="18.75">
      <c r="A58" s="40"/>
      <c r="B58" s="40"/>
      <c r="C58" s="40"/>
      <c r="D58" s="164"/>
      <c r="E58" s="164"/>
      <c r="F58" s="164"/>
      <c r="G58" s="164"/>
      <c r="H58" s="40"/>
      <c r="I58" s="40"/>
      <c r="J58" s="123"/>
      <c r="K58" s="124"/>
      <c r="L58" s="124"/>
      <c r="M58" s="124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ht="18.75">
      <c r="A59" s="40"/>
      <c r="B59" s="40"/>
      <c r="C59" s="40"/>
      <c r="D59" s="164"/>
      <c r="E59" s="164"/>
      <c r="F59" s="164"/>
      <c r="G59" s="164"/>
      <c r="H59" s="40"/>
      <c r="I59" s="40"/>
      <c r="J59" s="123"/>
      <c r="K59" s="124"/>
      <c r="L59" s="124"/>
      <c r="M59" s="124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ht="18.75">
      <c r="A60" s="40"/>
      <c r="B60" s="40"/>
      <c r="C60" s="40"/>
      <c r="D60" s="164"/>
      <c r="E60" s="164"/>
      <c r="F60" s="164"/>
      <c r="G60" s="164"/>
      <c r="H60" s="40"/>
      <c r="I60" s="40"/>
      <c r="J60" s="123"/>
      <c r="K60" s="124"/>
      <c r="L60" s="124"/>
      <c r="M60" s="124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ht="18.75">
      <c r="A61" s="40"/>
      <c r="B61" s="40"/>
      <c r="C61" s="40"/>
      <c r="D61" s="164"/>
      <c r="E61" s="164"/>
      <c r="F61" s="164"/>
      <c r="G61" s="164"/>
      <c r="H61" s="40"/>
      <c r="I61" s="40"/>
      <c r="J61" s="123"/>
      <c r="K61" s="124"/>
      <c r="L61" s="124"/>
      <c r="M61" s="124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1:24" ht="18.75">
      <c r="A62" s="40"/>
      <c r="B62" s="40"/>
      <c r="C62" s="40"/>
      <c r="D62" s="164"/>
      <c r="E62" s="164"/>
      <c r="F62" s="164"/>
      <c r="G62" s="164"/>
      <c r="H62" s="40"/>
      <c r="I62" s="40"/>
      <c r="J62" s="123"/>
      <c r="K62" s="124"/>
      <c r="L62" s="124"/>
      <c r="M62" s="124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24" ht="18.75">
      <c r="A63" s="40"/>
      <c r="B63" s="40"/>
      <c r="C63" s="40"/>
      <c r="D63" s="164"/>
      <c r="E63" s="164"/>
      <c r="F63" s="164"/>
      <c r="G63" s="164"/>
      <c r="H63" s="40"/>
      <c r="I63" s="40"/>
      <c r="J63" s="123"/>
      <c r="K63" s="124"/>
      <c r="L63" s="124"/>
      <c r="M63" s="124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1:24" ht="18.75">
      <c r="A64" s="40"/>
      <c r="B64" s="40"/>
      <c r="C64" s="40"/>
      <c r="D64" s="164"/>
      <c r="E64" s="164"/>
      <c r="F64" s="164"/>
      <c r="G64" s="164"/>
      <c r="H64" s="40"/>
      <c r="I64" s="40"/>
      <c r="J64" s="123"/>
      <c r="K64" s="124"/>
      <c r="L64" s="124"/>
      <c r="M64" s="124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1:24" ht="18.75">
      <c r="A65" s="40"/>
      <c r="B65" s="40"/>
      <c r="C65" s="40"/>
      <c r="D65" s="164"/>
      <c r="E65" s="164"/>
      <c r="F65" s="164"/>
      <c r="G65" s="164"/>
      <c r="H65" s="40"/>
      <c r="I65" s="40"/>
      <c r="J65" s="123"/>
      <c r="K65" s="124"/>
      <c r="L65" s="124"/>
      <c r="M65" s="124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1:24" ht="18.75">
      <c r="A66" s="40"/>
      <c r="B66" s="40"/>
      <c r="C66" s="40"/>
      <c r="D66" s="164"/>
      <c r="E66" s="164"/>
      <c r="F66" s="164"/>
      <c r="G66" s="164"/>
      <c r="H66" s="40"/>
      <c r="I66" s="40"/>
      <c r="J66" s="123"/>
      <c r="K66" s="124"/>
      <c r="L66" s="124"/>
      <c r="M66" s="124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1:24" ht="18.75">
      <c r="A67" s="40"/>
      <c r="B67" s="40"/>
      <c r="C67" s="40"/>
      <c r="D67" s="164"/>
      <c r="E67" s="164"/>
      <c r="F67" s="164"/>
      <c r="G67" s="164"/>
      <c r="H67" s="40"/>
      <c r="I67" s="40"/>
      <c r="J67" s="123"/>
      <c r="K67" s="124"/>
      <c r="L67" s="124"/>
      <c r="M67" s="124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1:24" ht="18.75">
      <c r="A68" s="40"/>
      <c r="B68" s="40"/>
      <c r="C68" s="40"/>
      <c r="D68" s="164"/>
      <c r="E68" s="164"/>
      <c r="F68" s="164"/>
      <c r="G68" s="164"/>
      <c r="H68" s="40"/>
      <c r="I68" s="40"/>
      <c r="J68" s="123"/>
      <c r="K68" s="124"/>
      <c r="L68" s="124"/>
      <c r="M68" s="124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ht="18.75">
      <c r="A69" s="40"/>
      <c r="B69" s="40"/>
      <c r="C69" s="40"/>
      <c r="D69" s="164"/>
      <c r="E69" s="164"/>
      <c r="F69" s="164"/>
      <c r="G69" s="164"/>
      <c r="H69" s="40"/>
      <c r="I69" s="40"/>
      <c r="J69" s="123"/>
      <c r="K69" s="124"/>
      <c r="L69" s="124"/>
      <c r="M69" s="124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1:24" ht="18.75">
      <c r="A70" s="40"/>
      <c r="B70" s="40"/>
      <c r="C70" s="40"/>
      <c r="D70" s="164"/>
      <c r="E70" s="164"/>
      <c r="F70" s="164"/>
      <c r="G70" s="164"/>
      <c r="H70" s="40"/>
      <c r="I70" s="40"/>
      <c r="J70" s="123"/>
      <c r="K70" s="124"/>
      <c r="L70" s="124"/>
      <c r="M70" s="124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1:24" ht="18.75">
      <c r="A71" s="40"/>
      <c r="B71" s="40"/>
      <c r="C71" s="40"/>
      <c r="D71" s="164"/>
      <c r="E71" s="164"/>
      <c r="F71" s="164"/>
      <c r="G71" s="164"/>
      <c r="H71" s="40"/>
      <c r="I71" s="40"/>
      <c r="J71" s="123"/>
      <c r="K71" s="124"/>
      <c r="L71" s="124"/>
      <c r="M71" s="124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1:24" ht="18.75">
      <c r="A72" s="40"/>
      <c r="B72" s="40"/>
      <c r="C72" s="40"/>
      <c r="D72" s="164"/>
      <c r="E72" s="164"/>
      <c r="F72" s="164"/>
      <c r="G72" s="164"/>
      <c r="H72" s="40"/>
      <c r="I72" s="40"/>
      <c r="J72" s="123"/>
      <c r="K72" s="124"/>
      <c r="L72" s="124"/>
      <c r="M72" s="124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1:24" ht="18.75">
      <c r="A73" s="40"/>
      <c r="B73" s="40"/>
      <c r="C73" s="40"/>
      <c r="D73" s="164"/>
      <c r="E73" s="164"/>
      <c r="F73" s="164"/>
      <c r="G73" s="164"/>
      <c r="H73" s="40"/>
      <c r="I73" s="40"/>
      <c r="J73" s="123"/>
      <c r="K73" s="124"/>
      <c r="L73" s="124"/>
      <c r="M73" s="124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ht="18.75">
      <c r="A74" s="40"/>
      <c r="B74" s="40"/>
      <c r="C74" s="40"/>
      <c r="D74" s="164"/>
      <c r="E74" s="164"/>
      <c r="F74" s="164"/>
      <c r="G74" s="164"/>
      <c r="H74" s="40"/>
      <c r="I74" s="40"/>
      <c r="J74" s="123"/>
      <c r="K74" s="124"/>
      <c r="L74" s="124"/>
      <c r="M74" s="124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24" ht="18.75">
      <c r="A75" s="40"/>
      <c r="B75" s="40"/>
      <c r="C75" s="40"/>
      <c r="D75" s="164"/>
      <c r="E75" s="164"/>
      <c r="F75" s="164"/>
      <c r="G75" s="164"/>
      <c r="H75" s="40"/>
      <c r="I75" s="40"/>
      <c r="J75" s="123"/>
      <c r="K75" s="124"/>
      <c r="L75" s="124"/>
      <c r="M75" s="124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</row>
    <row r="76" spans="1:24" ht="18.75">
      <c r="A76" s="40"/>
      <c r="B76" s="40"/>
      <c r="C76" s="40"/>
      <c r="D76" s="164"/>
      <c r="E76" s="164"/>
      <c r="F76" s="164"/>
      <c r="G76" s="164"/>
      <c r="H76" s="40"/>
      <c r="I76" s="40"/>
      <c r="J76" s="123"/>
      <c r="K76" s="124"/>
      <c r="L76" s="124"/>
      <c r="M76" s="124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1:24" ht="18.75">
      <c r="A77" s="40"/>
      <c r="B77" s="40"/>
      <c r="C77" s="40"/>
      <c r="D77" s="164"/>
      <c r="E77" s="164"/>
      <c r="F77" s="164"/>
      <c r="G77" s="164"/>
      <c r="H77" s="40"/>
      <c r="I77" s="40"/>
      <c r="J77" s="123"/>
      <c r="K77" s="124"/>
      <c r="L77" s="124"/>
      <c r="M77" s="124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ht="18.75">
      <c r="A78" s="40"/>
      <c r="B78" s="40"/>
      <c r="C78" s="40"/>
      <c r="D78" s="164"/>
      <c r="E78" s="164"/>
      <c r="F78" s="164"/>
      <c r="G78" s="164"/>
      <c r="H78" s="40"/>
      <c r="I78" s="40"/>
      <c r="J78" s="123"/>
      <c r="K78" s="124"/>
      <c r="L78" s="124"/>
      <c r="M78" s="124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4" ht="18.75">
      <c r="A79" s="40"/>
      <c r="B79" s="40"/>
      <c r="C79" s="40"/>
      <c r="D79" s="164"/>
      <c r="E79" s="164"/>
      <c r="F79" s="164"/>
      <c r="G79" s="164"/>
      <c r="H79" s="40"/>
      <c r="I79" s="40"/>
      <c r="J79" s="123"/>
      <c r="K79" s="124"/>
      <c r="L79" s="124"/>
      <c r="M79" s="124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</row>
    <row r="80" spans="1:24" ht="18.75">
      <c r="A80" s="40"/>
      <c r="B80" s="40"/>
      <c r="C80" s="40"/>
      <c r="D80" s="164"/>
      <c r="E80" s="164"/>
      <c r="F80" s="164"/>
      <c r="G80" s="164"/>
      <c r="H80" s="40"/>
      <c r="I80" s="40"/>
      <c r="J80" s="123"/>
      <c r="K80" s="124"/>
      <c r="L80" s="124"/>
      <c r="M80" s="124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1:24" ht="18.75">
      <c r="A81" s="40"/>
      <c r="B81" s="40"/>
      <c r="C81" s="40"/>
      <c r="D81" s="164"/>
      <c r="E81" s="164"/>
      <c r="F81" s="164"/>
      <c r="G81" s="164"/>
      <c r="H81" s="40"/>
      <c r="I81" s="40"/>
      <c r="J81" s="123"/>
      <c r="K81" s="124"/>
      <c r="L81" s="124"/>
      <c r="M81" s="124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1:24" ht="18.75">
      <c r="A82" s="40"/>
      <c r="B82" s="40"/>
      <c r="C82" s="40"/>
      <c r="D82" s="164"/>
      <c r="E82" s="164"/>
      <c r="F82" s="164"/>
      <c r="G82" s="164"/>
      <c r="H82" s="40"/>
      <c r="I82" s="40"/>
      <c r="J82" s="123"/>
      <c r="K82" s="124"/>
      <c r="L82" s="124"/>
      <c r="M82" s="124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24" ht="18.75">
      <c r="A83" s="40"/>
      <c r="B83" s="40"/>
      <c r="C83" s="40"/>
      <c r="D83" s="164"/>
      <c r="E83" s="164"/>
      <c r="F83" s="164"/>
      <c r="G83" s="164"/>
      <c r="H83" s="40"/>
      <c r="I83" s="40"/>
      <c r="J83" s="123"/>
      <c r="K83" s="124"/>
      <c r="L83" s="124"/>
      <c r="M83" s="124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1:24" ht="18.75">
      <c r="A84" s="40"/>
      <c r="B84" s="40"/>
      <c r="C84" s="40"/>
      <c r="D84" s="164"/>
      <c r="E84" s="164"/>
      <c r="F84" s="164"/>
      <c r="G84" s="164"/>
      <c r="H84" s="40"/>
      <c r="I84" s="40"/>
      <c r="J84" s="123"/>
      <c r="K84" s="124"/>
      <c r="L84" s="124"/>
      <c r="M84" s="124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1:24" ht="18.75">
      <c r="A85" s="40"/>
      <c r="B85" s="40"/>
      <c r="C85" s="40"/>
      <c r="D85" s="164"/>
      <c r="E85" s="164"/>
      <c r="F85" s="164"/>
      <c r="G85" s="164"/>
      <c r="H85" s="40"/>
      <c r="I85" s="40"/>
      <c r="J85" s="123"/>
      <c r="K85" s="124"/>
      <c r="L85" s="124"/>
      <c r="M85" s="124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1:24" ht="18.75">
      <c r="A86" s="40"/>
      <c r="B86" s="40"/>
      <c r="C86" s="40"/>
      <c r="D86" s="164"/>
      <c r="E86" s="164"/>
      <c r="F86" s="164"/>
      <c r="G86" s="164"/>
      <c r="H86" s="40"/>
      <c r="I86" s="40"/>
      <c r="J86" s="123"/>
      <c r="K86" s="124"/>
      <c r="L86" s="124"/>
      <c r="M86" s="124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:24" ht="18.75">
      <c r="A87" s="40"/>
      <c r="B87" s="40"/>
      <c r="C87" s="40"/>
      <c r="D87" s="164"/>
      <c r="E87" s="164"/>
      <c r="F87" s="164"/>
      <c r="G87" s="164"/>
      <c r="H87" s="40"/>
      <c r="I87" s="40"/>
      <c r="J87" s="123"/>
      <c r="K87" s="124"/>
      <c r="L87" s="124"/>
      <c r="M87" s="124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1:24" ht="18.75">
      <c r="A88" s="40"/>
      <c r="B88" s="40"/>
      <c r="C88" s="40"/>
      <c r="D88" s="164"/>
      <c r="E88" s="164"/>
      <c r="F88" s="164"/>
      <c r="G88" s="164"/>
      <c r="H88" s="40"/>
      <c r="I88" s="40"/>
      <c r="J88" s="123"/>
      <c r="K88" s="124"/>
      <c r="L88" s="124"/>
      <c r="M88" s="124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24" ht="18.75">
      <c r="A89" s="40"/>
      <c r="B89" s="40"/>
      <c r="C89" s="40"/>
      <c r="D89" s="164"/>
      <c r="E89" s="164"/>
      <c r="F89" s="164"/>
      <c r="G89" s="164"/>
      <c r="H89" s="40"/>
      <c r="I89" s="40"/>
      <c r="J89" s="123"/>
      <c r="K89" s="124"/>
      <c r="L89" s="124"/>
      <c r="M89" s="124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:24" ht="18.75">
      <c r="A90" s="40"/>
      <c r="B90" s="40"/>
      <c r="C90" s="40"/>
      <c r="D90" s="164"/>
      <c r="E90" s="164"/>
      <c r="F90" s="164"/>
      <c r="G90" s="164"/>
      <c r="H90" s="40"/>
      <c r="I90" s="40"/>
      <c r="J90" s="123"/>
      <c r="K90" s="124"/>
      <c r="L90" s="124"/>
      <c r="M90" s="124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:24" ht="18.75">
      <c r="A91" s="40"/>
      <c r="B91" s="40"/>
      <c r="C91" s="40"/>
      <c r="D91" s="164"/>
      <c r="E91" s="164"/>
      <c r="F91" s="164"/>
      <c r="G91" s="164"/>
      <c r="H91" s="40"/>
      <c r="I91" s="40"/>
      <c r="J91" s="123"/>
      <c r="K91" s="124"/>
      <c r="L91" s="124"/>
      <c r="M91" s="124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:24" ht="18.75">
      <c r="A92" s="40"/>
      <c r="B92" s="40"/>
      <c r="C92" s="40"/>
      <c r="D92" s="164"/>
      <c r="E92" s="164"/>
      <c r="F92" s="164"/>
      <c r="G92" s="164"/>
      <c r="H92" s="40"/>
      <c r="I92" s="40"/>
      <c r="J92" s="123"/>
      <c r="K92" s="124"/>
      <c r="L92" s="124"/>
      <c r="M92" s="124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ht="18.75">
      <c r="A93" s="40"/>
      <c r="B93" s="40"/>
      <c r="C93" s="40"/>
      <c r="D93" s="164"/>
      <c r="E93" s="164"/>
      <c r="F93" s="164"/>
      <c r="G93" s="164"/>
      <c r="H93" s="40"/>
      <c r="I93" s="40"/>
      <c r="J93" s="123"/>
      <c r="K93" s="124"/>
      <c r="L93" s="124"/>
      <c r="M93" s="124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:24" ht="18.75">
      <c r="A94" s="40"/>
      <c r="B94" s="40"/>
      <c r="C94" s="40"/>
      <c r="D94" s="164"/>
      <c r="E94" s="164"/>
      <c r="F94" s="164"/>
      <c r="G94" s="164"/>
      <c r="H94" s="40"/>
      <c r="I94" s="40"/>
      <c r="J94" s="123"/>
      <c r="K94" s="124"/>
      <c r="L94" s="124"/>
      <c r="M94" s="124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:24" ht="18.75">
      <c r="A95" s="40"/>
      <c r="B95" s="40"/>
      <c r="C95" s="40"/>
      <c r="D95" s="164"/>
      <c r="E95" s="164"/>
      <c r="F95" s="164"/>
      <c r="G95" s="164"/>
      <c r="H95" s="40"/>
      <c r="I95" s="40"/>
      <c r="J95" s="123"/>
      <c r="K95" s="124"/>
      <c r="L95" s="124"/>
      <c r="M95" s="124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4" ht="18.75">
      <c r="A96" s="40"/>
      <c r="B96" s="40"/>
      <c r="C96" s="40"/>
      <c r="D96" s="164"/>
      <c r="E96" s="164"/>
      <c r="F96" s="164"/>
      <c r="G96" s="164"/>
      <c r="H96" s="40"/>
      <c r="I96" s="40"/>
      <c r="J96" s="123"/>
      <c r="K96" s="124"/>
      <c r="L96" s="124"/>
      <c r="M96" s="124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:24" ht="18.75">
      <c r="A97" s="40"/>
      <c r="B97" s="40"/>
      <c r="C97" s="40"/>
      <c r="D97" s="164"/>
      <c r="E97" s="164"/>
      <c r="F97" s="164"/>
      <c r="G97" s="164"/>
      <c r="H97" s="40"/>
      <c r="I97" s="40"/>
      <c r="J97" s="123"/>
      <c r="K97" s="124"/>
      <c r="L97" s="124"/>
      <c r="M97" s="124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ht="18.75">
      <c r="A98" s="40"/>
      <c r="B98" s="40"/>
      <c r="C98" s="40"/>
      <c r="D98" s="164"/>
      <c r="E98" s="164"/>
      <c r="F98" s="164"/>
      <c r="G98" s="164"/>
      <c r="H98" s="40"/>
      <c r="I98" s="40"/>
      <c r="J98" s="123"/>
      <c r="K98" s="124"/>
      <c r="L98" s="124"/>
      <c r="M98" s="124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:24" ht="18.75">
      <c r="A99" s="40"/>
      <c r="B99" s="40"/>
      <c r="C99" s="40"/>
      <c r="D99" s="164"/>
      <c r="E99" s="164"/>
      <c r="F99" s="164"/>
      <c r="G99" s="164"/>
      <c r="H99" s="40"/>
      <c r="I99" s="40"/>
      <c r="J99" s="123"/>
      <c r="K99" s="124"/>
      <c r="L99" s="124"/>
      <c r="M99" s="124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:24" ht="18.75">
      <c r="A100" s="40"/>
      <c r="B100" s="40"/>
      <c r="C100" s="40"/>
      <c r="D100" s="164"/>
      <c r="E100" s="164"/>
      <c r="F100" s="164"/>
      <c r="G100" s="164"/>
      <c r="H100" s="40"/>
      <c r="I100" s="40"/>
      <c r="J100" s="123"/>
      <c r="K100" s="124"/>
      <c r="L100" s="124"/>
      <c r="M100" s="124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1:24" ht="18.75">
      <c r="A101" s="40"/>
      <c r="B101" s="40"/>
      <c r="C101" s="40"/>
      <c r="D101" s="164"/>
      <c r="E101" s="164"/>
      <c r="F101" s="164"/>
      <c r="G101" s="164"/>
      <c r="H101" s="40"/>
      <c r="I101" s="40"/>
      <c r="J101" s="123"/>
      <c r="K101" s="124"/>
      <c r="L101" s="124"/>
      <c r="M101" s="124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ht="18.75">
      <c r="A102" s="40"/>
      <c r="B102" s="40"/>
      <c r="C102" s="40"/>
      <c r="D102" s="164"/>
      <c r="E102" s="164"/>
      <c r="F102" s="164"/>
      <c r="G102" s="164"/>
      <c r="H102" s="40"/>
      <c r="I102" s="40"/>
      <c r="J102" s="123"/>
      <c r="K102" s="124"/>
      <c r="L102" s="124"/>
      <c r="M102" s="124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  <row r="103" spans="1:24" ht="18.75">
      <c r="A103" s="40"/>
      <c r="B103" s="40"/>
      <c r="C103" s="40"/>
      <c r="D103" s="164"/>
      <c r="E103" s="164"/>
      <c r="F103" s="164"/>
      <c r="G103" s="164"/>
      <c r="H103" s="40"/>
      <c r="I103" s="40"/>
      <c r="J103" s="123"/>
      <c r="K103" s="124"/>
      <c r="L103" s="124"/>
      <c r="M103" s="124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:24" ht="18.75">
      <c r="A104" s="40"/>
      <c r="B104" s="40"/>
      <c r="C104" s="40"/>
      <c r="D104" s="164"/>
      <c r="E104" s="164"/>
      <c r="F104" s="164"/>
      <c r="G104" s="164"/>
      <c r="H104" s="40"/>
      <c r="I104" s="40"/>
      <c r="J104" s="123"/>
      <c r="K104" s="124"/>
      <c r="L104" s="124"/>
      <c r="M104" s="124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ht="18.75">
      <c r="A105" s="40"/>
      <c r="B105" s="40"/>
      <c r="C105" s="40"/>
      <c r="D105" s="164"/>
      <c r="E105" s="164"/>
      <c r="F105" s="164"/>
      <c r="G105" s="164"/>
      <c r="H105" s="40"/>
      <c r="I105" s="40"/>
      <c r="J105" s="123"/>
      <c r="K105" s="124"/>
      <c r="L105" s="124"/>
      <c r="M105" s="124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ht="18.75">
      <c r="A106" s="40"/>
      <c r="B106" s="40"/>
      <c r="C106" s="40"/>
      <c r="D106" s="164"/>
      <c r="E106" s="164"/>
      <c r="F106" s="164"/>
      <c r="G106" s="164"/>
      <c r="H106" s="40"/>
      <c r="I106" s="40"/>
      <c r="J106" s="123"/>
      <c r="K106" s="124"/>
      <c r="L106" s="124"/>
      <c r="M106" s="124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ht="18.75">
      <c r="A107" s="40"/>
      <c r="B107" s="40"/>
      <c r="C107" s="40"/>
      <c r="D107" s="164"/>
      <c r="E107" s="164"/>
      <c r="F107" s="164"/>
      <c r="G107" s="164"/>
      <c r="H107" s="40"/>
      <c r="I107" s="40"/>
      <c r="J107" s="123"/>
      <c r="K107" s="124"/>
      <c r="L107" s="124"/>
      <c r="M107" s="124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</row>
    <row r="108" spans="1:24" ht="18.75">
      <c r="A108" s="40"/>
      <c r="B108" s="40"/>
      <c r="C108" s="40"/>
      <c r="D108" s="164"/>
      <c r="E108" s="164"/>
      <c r="F108" s="164"/>
      <c r="G108" s="164"/>
      <c r="H108" s="40"/>
      <c r="I108" s="40"/>
      <c r="J108" s="123"/>
      <c r="K108" s="124"/>
      <c r="L108" s="124"/>
      <c r="M108" s="124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</row>
    <row r="109" spans="1:24" ht="18.75">
      <c r="A109" s="40"/>
      <c r="B109" s="40"/>
      <c r="C109" s="40"/>
      <c r="D109" s="164"/>
      <c r="E109" s="164"/>
      <c r="F109" s="164"/>
      <c r="G109" s="164"/>
      <c r="H109" s="40"/>
      <c r="I109" s="40"/>
      <c r="J109" s="123"/>
      <c r="K109" s="124"/>
      <c r="L109" s="124"/>
      <c r="M109" s="124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</row>
    <row r="110" spans="1:24" ht="18.75">
      <c r="A110" s="40"/>
      <c r="B110" s="40"/>
      <c r="C110" s="40"/>
      <c r="D110" s="164"/>
      <c r="E110" s="164"/>
      <c r="F110" s="164"/>
      <c r="G110" s="164"/>
      <c r="H110" s="40"/>
      <c r="I110" s="40"/>
      <c r="J110" s="123"/>
      <c r="K110" s="124"/>
      <c r="L110" s="124"/>
      <c r="M110" s="124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</row>
    <row r="111" spans="1:24" ht="18.75">
      <c r="A111" s="40"/>
      <c r="B111" s="40"/>
      <c r="C111" s="40"/>
      <c r="D111" s="164"/>
      <c r="E111" s="164"/>
      <c r="F111" s="164"/>
      <c r="G111" s="164"/>
      <c r="H111" s="40"/>
      <c r="I111" s="40"/>
      <c r="J111" s="123"/>
      <c r="K111" s="124"/>
      <c r="L111" s="124"/>
      <c r="M111" s="124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</row>
    <row r="112" spans="1:24" ht="18.75">
      <c r="A112" s="40"/>
      <c r="B112" s="40"/>
      <c r="C112" s="40"/>
      <c r="D112" s="164"/>
      <c r="E112" s="164"/>
      <c r="F112" s="164"/>
      <c r="G112" s="164"/>
      <c r="H112" s="40"/>
      <c r="I112" s="40"/>
      <c r="J112" s="123"/>
      <c r="K112" s="124"/>
      <c r="L112" s="124"/>
      <c r="M112" s="124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</row>
    <row r="113" spans="1:24" ht="18.75">
      <c r="A113" s="40"/>
      <c r="B113" s="40"/>
      <c r="C113" s="40"/>
      <c r="D113" s="164"/>
      <c r="E113" s="164"/>
      <c r="F113" s="164"/>
      <c r="G113" s="164"/>
      <c r="H113" s="40"/>
      <c r="I113" s="40"/>
      <c r="J113" s="123"/>
      <c r="K113" s="124"/>
      <c r="L113" s="124"/>
      <c r="M113" s="124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</row>
    <row r="114" spans="1:24" ht="18.75">
      <c r="A114" s="40"/>
      <c r="B114" s="40"/>
      <c r="C114" s="40"/>
      <c r="D114" s="164"/>
      <c r="E114" s="164"/>
      <c r="F114" s="164"/>
      <c r="G114" s="164"/>
      <c r="H114" s="40"/>
      <c r="I114" s="40"/>
      <c r="J114" s="123"/>
      <c r="K114" s="124"/>
      <c r="L114" s="124"/>
      <c r="M114" s="124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</row>
    <row r="115" spans="1:24" ht="18.75">
      <c r="A115" s="40"/>
      <c r="B115" s="40"/>
      <c r="C115" s="40"/>
      <c r="D115" s="164"/>
      <c r="E115" s="164"/>
      <c r="F115" s="164"/>
      <c r="G115" s="164"/>
      <c r="H115" s="40"/>
      <c r="I115" s="40"/>
      <c r="J115" s="123"/>
      <c r="K115" s="124"/>
      <c r="L115" s="124"/>
      <c r="M115" s="124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</row>
    <row r="116" spans="1:24" ht="18.75">
      <c r="A116" s="40"/>
      <c r="B116" s="40"/>
      <c r="C116" s="40"/>
      <c r="D116" s="164"/>
      <c r="E116" s="164"/>
      <c r="F116" s="164"/>
      <c r="G116" s="164"/>
      <c r="H116" s="40"/>
      <c r="I116" s="40"/>
      <c r="J116" s="123"/>
      <c r="K116" s="124"/>
      <c r="L116" s="124"/>
      <c r="M116" s="124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</row>
    <row r="117" spans="1:24" ht="18.75">
      <c r="A117" s="40"/>
      <c r="B117" s="40"/>
      <c r="C117" s="40"/>
      <c r="D117" s="164"/>
      <c r="E117" s="164"/>
      <c r="F117" s="164"/>
      <c r="G117" s="164"/>
      <c r="H117" s="40"/>
      <c r="I117" s="40"/>
      <c r="J117" s="123"/>
      <c r="K117" s="124"/>
      <c r="L117" s="124"/>
      <c r="M117" s="124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</row>
    <row r="118" spans="1:24" ht="18.75">
      <c r="A118" s="40"/>
      <c r="B118" s="40"/>
      <c r="C118" s="40"/>
      <c r="D118" s="164"/>
      <c r="E118" s="164"/>
      <c r="F118" s="164"/>
      <c r="G118" s="164"/>
      <c r="H118" s="40"/>
      <c r="I118" s="40"/>
      <c r="J118" s="123"/>
      <c r="K118" s="124"/>
      <c r="L118" s="124"/>
      <c r="M118" s="124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:24" ht="18.75">
      <c r="A119" s="40"/>
      <c r="B119" s="40"/>
      <c r="C119" s="40"/>
      <c r="D119" s="164"/>
      <c r="E119" s="164"/>
      <c r="F119" s="164"/>
      <c r="G119" s="164"/>
      <c r="H119" s="40"/>
      <c r="I119" s="40"/>
      <c r="J119" s="123"/>
      <c r="K119" s="124"/>
      <c r="L119" s="124"/>
      <c r="M119" s="124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1:24" ht="18.75">
      <c r="A120" s="40"/>
      <c r="B120" s="40"/>
      <c r="C120" s="40"/>
      <c r="D120" s="164"/>
      <c r="E120" s="164"/>
      <c r="F120" s="164"/>
      <c r="G120" s="164"/>
      <c r="H120" s="40"/>
      <c r="I120" s="40"/>
      <c r="J120" s="123"/>
      <c r="K120" s="124"/>
      <c r="L120" s="124"/>
      <c r="M120" s="124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1:24" ht="18.75">
      <c r="A121" s="40"/>
      <c r="B121" s="40"/>
      <c r="C121" s="40"/>
      <c r="D121" s="164"/>
      <c r="E121" s="164"/>
      <c r="F121" s="164"/>
      <c r="G121" s="164"/>
      <c r="H121" s="40"/>
      <c r="I121" s="40"/>
      <c r="J121" s="123"/>
      <c r="K121" s="124"/>
      <c r="L121" s="124"/>
      <c r="M121" s="124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</row>
    <row r="122" spans="1:24" ht="18.75">
      <c r="A122" s="40"/>
      <c r="B122" s="40"/>
      <c r="C122" s="40"/>
      <c r="D122" s="164"/>
      <c r="E122" s="164"/>
      <c r="F122" s="164"/>
      <c r="G122" s="164"/>
      <c r="H122" s="40"/>
      <c r="I122" s="40"/>
      <c r="J122" s="123"/>
      <c r="K122" s="124"/>
      <c r="L122" s="124"/>
      <c r="M122" s="124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</row>
    <row r="123" spans="1:24" ht="18.75">
      <c r="A123" s="40"/>
      <c r="B123" s="40"/>
      <c r="C123" s="40"/>
      <c r="D123" s="164"/>
      <c r="E123" s="164"/>
      <c r="F123" s="164"/>
      <c r="G123" s="164"/>
      <c r="H123" s="40"/>
      <c r="I123" s="40"/>
      <c r="J123" s="123"/>
      <c r="K123" s="124"/>
      <c r="L123" s="124"/>
      <c r="M123" s="124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</row>
    <row r="124" spans="1:24" ht="18.75">
      <c r="A124" s="40"/>
      <c r="B124" s="40"/>
      <c r="C124" s="40"/>
      <c r="D124" s="164"/>
      <c r="E124" s="164"/>
      <c r="F124" s="164"/>
      <c r="G124" s="164"/>
      <c r="H124" s="40"/>
      <c r="I124" s="40"/>
      <c r="J124" s="123"/>
      <c r="K124" s="124"/>
      <c r="L124" s="124"/>
      <c r="M124" s="124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  <row r="125" spans="1:24" ht="18.75">
      <c r="A125" s="40"/>
      <c r="B125" s="40"/>
      <c r="C125" s="40"/>
      <c r="D125" s="164"/>
      <c r="E125" s="164"/>
      <c r="F125" s="164"/>
      <c r="G125" s="164"/>
      <c r="H125" s="40"/>
      <c r="I125" s="40"/>
      <c r="J125" s="123"/>
      <c r="K125" s="124"/>
      <c r="L125" s="124"/>
      <c r="M125" s="124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</row>
    <row r="126" spans="1:24" ht="18.75">
      <c r="A126" s="40"/>
      <c r="B126" s="40"/>
      <c r="C126" s="40"/>
      <c r="D126" s="164"/>
      <c r="E126" s="164"/>
      <c r="F126" s="164"/>
      <c r="G126" s="164"/>
      <c r="H126" s="40"/>
      <c r="I126" s="40"/>
      <c r="J126" s="123"/>
      <c r="K126" s="124"/>
      <c r="L126" s="124"/>
      <c r="M126" s="124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</row>
    <row r="127" spans="1:24" ht="18.75">
      <c r="A127" s="40"/>
      <c r="B127" s="40"/>
      <c r="C127" s="40"/>
      <c r="D127" s="164"/>
      <c r="E127" s="164"/>
      <c r="F127" s="164"/>
      <c r="G127" s="164"/>
      <c r="H127" s="40"/>
      <c r="I127" s="40"/>
      <c r="J127" s="123"/>
      <c r="K127" s="124"/>
      <c r="L127" s="124"/>
      <c r="M127" s="124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</row>
    <row r="128" spans="1:24" ht="18.75">
      <c r="A128" s="40"/>
      <c r="B128" s="40"/>
      <c r="C128" s="40"/>
      <c r="D128" s="164"/>
      <c r="E128" s="164"/>
      <c r="F128" s="164"/>
      <c r="G128" s="164"/>
      <c r="H128" s="40"/>
      <c r="I128" s="40"/>
      <c r="J128" s="123"/>
      <c r="K128" s="124"/>
      <c r="L128" s="124"/>
      <c r="M128" s="124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</row>
    <row r="129" spans="1:24" ht="18.75">
      <c r="A129" s="40"/>
      <c r="B129" s="40"/>
      <c r="C129" s="40"/>
      <c r="D129" s="164"/>
      <c r="E129" s="164"/>
      <c r="F129" s="164"/>
      <c r="G129" s="164"/>
      <c r="H129" s="40"/>
      <c r="I129" s="40"/>
      <c r="J129" s="123"/>
      <c r="K129" s="124"/>
      <c r="L129" s="124"/>
      <c r="M129" s="124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</row>
    <row r="130" spans="1:24" ht="18.75">
      <c r="A130" s="40"/>
      <c r="B130" s="40"/>
      <c r="C130" s="40"/>
      <c r="D130" s="164"/>
      <c r="E130" s="164"/>
      <c r="F130" s="164"/>
      <c r="G130" s="164"/>
      <c r="H130" s="40"/>
      <c r="I130" s="40"/>
      <c r="J130" s="123"/>
      <c r="K130" s="124"/>
      <c r="L130" s="124"/>
      <c r="M130" s="124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1:24" ht="18.75">
      <c r="A131" s="40"/>
      <c r="B131" s="40"/>
      <c r="C131" s="40"/>
      <c r="D131" s="164"/>
      <c r="E131" s="164"/>
      <c r="F131" s="164"/>
      <c r="G131" s="164"/>
      <c r="H131" s="40"/>
      <c r="I131" s="40"/>
      <c r="J131" s="123"/>
      <c r="K131" s="124"/>
      <c r="L131" s="124"/>
      <c r="M131" s="124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1:24" ht="18.75">
      <c r="A132" s="40"/>
      <c r="B132" s="40"/>
      <c r="C132" s="40"/>
      <c r="D132" s="164"/>
      <c r="E132" s="164"/>
      <c r="F132" s="164"/>
      <c r="G132" s="164"/>
      <c r="H132" s="40"/>
      <c r="I132" s="40"/>
      <c r="J132" s="123"/>
      <c r="K132" s="124"/>
      <c r="L132" s="124"/>
      <c r="M132" s="124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</row>
    <row r="133" spans="1:24" ht="18.75">
      <c r="A133" s="40"/>
      <c r="B133" s="40"/>
      <c r="C133" s="40"/>
      <c r="D133" s="164"/>
      <c r="E133" s="164"/>
      <c r="F133" s="164"/>
      <c r="G133" s="164"/>
      <c r="H133" s="40"/>
      <c r="I133" s="40"/>
      <c r="J133" s="123"/>
      <c r="K133" s="124"/>
      <c r="L133" s="124"/>
      <c r="M133" s="124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</row>
    <row r="134" spans="1:24" ht="18.75">
      <c r="A134" s="40"/>
      <c r="B134" s="40"/>
      <c r="C134" s="40"/>
      <c r="D134" s="164"/>
      <c r="E134" s="164"/>
      <c r="F134" s="164"/>
      <c r="G134" s="164"/>
      <c r="H134" s="40"/>
      <c r="I134" s="40"/>
      <c r="J134" s="123"/>
      <c r="K134" s="124"/>
      <c r="L134" s="124"/>
      <c r="M134" s="124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</row>
    <row r="135" spans="1:24" ht="18.75">
      <c r="A135" s="40"/>
      <c r="B135" s="40"/>
      <c r="C135" s="40"/>
      <c r="D135" s="164"/>
      <c r="E135" s="164"/>
      <c r="F135" s="164"/>
      <c r="G135" s="164"/>
      <c r="H135" s="40"/>
      <c r="I135" s="40"/>
      <c r="J135" s="123"/>
      <c r="K135" s="124"/>
      <c r="L135" s="124"/>
      <c r="M135" s="124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</row>
    <row r="136" spans="1:24" ht="18.75">
      <c r="A136" s="40"/>
      <c r="B136" s="40"/>
      <c r="C136" s="40"/>
      <c r="D136" s="164"/>
      <c r="E136" s="164"/>
      <c r="F136" s="164"/>
      <c r="G136" s="164"/>
      <c r="H136" s="40"/>
      <c r="I136" s="40"/>
      <c r="J136" s="123"/>
      <c r="K136" s="124"/>
      <c r="L136" s="124"/>
      <c r="M136" s="124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</row>
    <row r="137" spans="1:24" ht="18.75">
      <c r="A137" s="40"/>
      <c r="B137" s="40"/>
      <c r="C137" s="40"/>
      <c r="D137" s="164"/>
      <c r="E137" s="164"/>
      <c r="F137" s="164"/>
      <c r="G137" s="164"/>
      <c r="H137" s="40"/>
      <c r="I137" s="40"/>
      <c r="J137" s="123"/>
      <c r="K137" s="124"/>
      <c r="L137" s="124"/>
      <c r="M137" s="124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</row>
    <row r="138" spans="1:24" ht="18.75">
      <c r="A138" s="40"/>
      <c r="B138" s="40"/>
      <c r="C138" s="40"/>
      <c r="D138" s="164"/>
      <c r="E138" s="164"/>
      <c r="F138" s="164"/>
      <c r="G138" s="164"/>
      <c r="H138" s="40"/>
      <c r="I138" s="40"/>
      <c r="J138" s="123"/>
      <c r="K138" s="124"/>
      <c r="L138" s="124"/>
      <c r="M138" s="124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</row>
    <row r="139" spans="1:24" ht="18.75">
      <c r="A139" s="40"/>
      <c r="B139" s="40"/>
      <c r="C139" s="40"/>
      <c r="D139" s="164"/>
      <c r="E139" s="164"/>
      <c r="F139" s="164"/>
      <c r="G139" s="164"/>
      <c r="H139" s="40"/>
      <c r="I139" s="40"/>
      <c r="J139" s="123"/>
      <c r="K139" s="124"/>
      <c r="L139" s="124"/>
      <c r="M139" s="124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</row>
    <row r="140" spans="1:24" ht="18.75">
      <c r="A140" s="40"/>
      <c r="B140" s="40"/>
      <c r="C140" s="40"/>
      <c r="D140" s="164"/>
      <c r="E140" s="164"/>
      <c r="F140" s="164"/>
      <c r="G140" s="164"/>
      <c r="H140" s="40"/>
      <c r="I140" s="40"/>
      <c r="J140" s="123"/>
      <c r="K140" s="124"/>
      <c r="L140" s="124"/>
      <c r="M140" s="124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</row>
    <row r="141" spans="1:24" ht="18.75">
      <c r="A141" s="40"/>
      <c r="B141" s="40"/>
      <c r="C141" s="40"/>
      <c r="D141" s="164"/>
      <c r="E141" s="164"/>
      <c r="F141" s="164"/>
      <c r="G141" s="164"/>
      <c r="H141" s="40"/>
      <c r="I141" s="40"/>
      <c r="J141" s="123"/>
      <c r="K141" s="124"/>
      <c r="L141" s="124"/>
      <c r="M141" s="124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</row>
    <row r="142" spans="1:24" ht="18.75">
      <c r="A142" s="40"/>
      <c r="B142" s="40"/>
      <c r="C142" s="40"/>
      <c r="D142" s="164"/>
      <c r="E142" s="164"/>
      <c r="F142" s="164"/>
      <c r="G142" s="164"/>
      <c r="H142" s="40"/>
      <c r="I142" s="40"/>
      <c r="J142" s="123"/>
      <c r="K142" s="124"/>
      <c r="L142" s="124"/>
      <c r="M142" s="124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:24" ht="18.75">
      <c r="A143" s="40"/>
      <c r="B143" s="40"/>
      <c r="C143" s="40"/>
      <c r="D143" s="164"/>
      <c r="E143" s="164"/>
      <c r="F143" s="164"/>
      <c r="G143" s="164"/>
      <c r="H143" s="40"/>
      <c r="I143" s="40"/>
      <c r="J143" s="123"/>
      <c r="K143" s="124"/>
      <c r="L143" s="124"/>
      <c r="M143" s="124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</row>
    <row r="144" spans="1:24" ht="18.75">
      <c r="A144" s="40"/>
      <c r="B144" s="40"/>
      <c r="C144" s="40"/>
      <c r="D144" s="164"/>
      <c r="E144" s="164"/>
      <c r="F144" s="164"/>
      <c r="G144" s="164"/>
      <c r="H144" s="40"/>
      <c r="I144" s="40"/>
      <c r="J144" s="123"/>
      <c r="K144" s="124"/>
      <c r="L144" s="124"/>
      <c r="M144" s="124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</row>
    <row r="145" spans="1:24" ht="18.75">
      <c r="A145" s="40"/>
      <c r="B145" s="40"/>
      <c r="C145" s="40"/>
      <c r="D145" s="164"/>
      <c r="E145" s="164"/>
      <c r="F145" s="164"/>
      <c r="G145" s="164"/>
      <c r="H145" s="40"/>
      <c r="I145" s="40"/>
      <c r="J145" s="123"/>
      <c r="K145" s="124"/>
      <c r="L145" s="124"/>
      <c r="M145" s="124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</row>
    <row r="146" spans="1:24" ht="18.75">
      <c r="A146" s="40"/>
      <c r="B146" s="40"/>
      <c r="C146" s="40"/>
      <c r="D146" s="164"/>
      <c r="E146" s="164"/>
      <c r="F146" s="164"/>
      <c r="G146" s="164"/>
      <c r="H146" s="40"/>
      <c r="I146" s="40"/>
      <c r="J146" s="123"/>
      <c r="K146" s="124"/>
      <c r="L146" s="124"/>
      <c r="M146" s="124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ht="18.75">
      <c r="A147" s="40"/>
      <c r="B147" s="40"/>
      <c r="C147" s="40"/>
      <c r="D147" s="164"/>
      <c r="E147" s="164"/>
      <c r="F147" s="164"/>
      <c r="G147" s="164"/>
      <c r="H147" s="40"/>
      <c r="I147" s="40"/>
      <c r="J147" s="123"/>
      <c r="K147" s="124"/>
      <c r="L147" s="124"/>
      <c r="M147" s="124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ht="18.75">
      <c r="A148" s="40"/>
      <c r="B148" s="40"/>
      <c r="C148" s="40"/>
      <c r="D148" s="164"/>
      <c r="E148" s="164"/>
      <c r="F148" s="164"/>
      <c r="G148" s="164"/>
      <c r="H148" s="40"/>
      <c r="I148" s="40"/>
      <c r="J148" s="123"/>
      <c r="K148" s="124"/>
      <c r="L148" s="124"/>
      <c r="M148" s="124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ht="18.75">
      <c r="A149" s="40"/>
      <c r="B149" s="40"/>
      <c r="C149" s="40"/>
      <c r="D149" s="164"/>
      <c r="E149" s="164"/>
      <c r="F149" s="164"/>
      <c r="G149" s="164"/>
      <c r="H149" s="40"/>
      <c r="I149" s="40"/>
      <c r="J149" s="123"/>
      <c r="K149" s="124"/>
      <c r="L149" s="124"/>
      <c r="M149" s="124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ht="18.75">
      <c r="A150" s="40"/>
      <c r="B150" s="40"/>
      <c r="C150" s="40"/>
      <c r="D150" s="164"/>
      <c r="E150" s="164"/>
      <c r="F150" s="164"/>
      <c r="G150" s="164"/>
      <c r="H150" s="40"/>
      <c r="I150" s="40"/>
      <c r="J150" s="123"/>
      <c r="K150" s="124"/>
      <c r="L150" s="124"/>
      <c r="M150" s="124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ht="18.75">
      <c r="A151" s="40"/>
      <c r="B151" s="40"/>
      <c r="C151" s="40"/>
      <c r="D151" s="164"/>
      <c r="E151" s="164"/>
      <c r="F151" s="164"/>
      <c r="G151" s="164"/>
      <c r="H151" s="40"/>
      <c r="I151" s="40"/>
      <c r="J151" s="123"/>
      <c r="K151" s="124"/>
      <c r="L151" s="124"/>
      <c r="M151" s="124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ht="18.75">
      <c r="A152" s="40"/>
      <c r="B152" s="40"/>
      <c r="C152" s="40"/>
      <c r="D152" s="164"/>
      <c r="E152" s="164"/>
      <c r="F152" s="164"/>
      <c r="G152" s="164"/>
      <c r="H152" s="40"/>
      <c r="I152" s="40"/>
      <c r="J152" s="123"/>
      <c r="K152" s="124"/>
      <c r="L152" s="124"/>
      <c r="M152" s="124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ht="18.75">
      <c r="A153" s="40"/>
      <c r="B153" s="40"/>
      <c r="C153" s="40"/>
      <c r="D153" s="164"/>
      <c r="E153" s="164"/>
      <c r="F153" s="164"/>
      <c r="G153" s="164"/>
      <c r="H153" s="40"/>
      <c r="I153" s="40"/>
      <c r="J153" s="123"/>
      <c r="K153" s="124"/>
      <c r="L153" s="124"/>
      <c r="M153" s="124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ht="18.75">
      <c r="A154" s="40"/>
      <c r="B154" s="40"/>
      <c r="C154" s="40"/>
      <c r="D154" s="164"/>
      <c r="E154" s="164"/>
      <c r="F154" s="164"/>
      <c r="G154" s="164"/>
      <c r="H154" s="40"/>
      <c r="I154" s="40"/>
      <c r="J154" s="123"/>
      <c r="K154" s="124"/>
      <c r="L154" s="124"/>
      <c r="M154" s="124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ht="18.75">
      <c r="A155" s="40"/>
      <c r="B155" s="40"/>
      <c r="C155" s="40"/>
      <c r="D155" s="164"/>
      <c r="E155" s="164"/>
      <c r="F155" s="164"/>
      <c r="G155" s="164"/>
      <c r="H155" s="40"/>
      <c r="I155" s="40"/>
      <c r="J155" s="123"/>
      <c r="K155" s="124"/>
      <c r="L155" s="124"/>
      <c r="M155" s="124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ht="18.75">
      <c r="A156" s="40"/>
      <c r="B156" s="40"/>
      <c r="C156" s="40"/>
      <c r="D156" s="164"/>
      <c r="E156" s="164"/>
      <c r="F156" s="164"/>
      <c r="G156" s="164"/>
      <c r="H156" s="40"/>
      <c r="I156" s="40"/>
      <c r="J156" s="123"/>
      <c r="K156" s="124"/>
      <c r="L156" s="124"/>
      <c r="M156" s="124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ht="18.75">
      <c r="A157" s="40"/>
      <c r="B157" s="40"/>
      <c r="C157" s="40"/>
      <c r="D157" s="164"/>
      <c r="E157" s="164"/>
      <c r="F157" s="164"/>
      <c r="G157" s="164"/>
      <c r="H157" s="40"/>
      <c r="I157" s="40"/>
      <c r="J157" s="123"/>
      <c r="K157" s="124"/>
      <c r="L157" s="124"/>
      <c r="M157" s="124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ht="18.75">
      <c r="A158" s="40"/>
      <c r="B158" s="40"/>
      <c r="C158" s="40"/>
      <c r="D158" s="164"/>
      <c r="E158" s="164"/>
      <c r="F158" s="164"/>
      <c r="G158" s="164"/>
      <c r="H158" s="40"/>
      <c r="I158" s="40"/>
      <c r="J158" s="123"/>
      <c r="K158" s="124"/>
      <c r="L158" s="124"/>
      <c r="M158" s="124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ht="18.75">
      <c r="A159" s="40"/>
      <c r="B159" s="40"/>
      <c r="C159" s="40"/>
      <c r="D159" s="164"/>
      <c r="E159" s="164"/>
      <c r="F159" s="164"/>
      <c r="G159" s="164"/>
      <c r="H159" s="40"/>
      <c r="I159" s="40"/>
      <c r="J159" s="123"/>
      <c r="K159" s="124"/>
      <c r="L159" s="124"/>
      <c r="M159" s="124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ht="18.75">
      <c r="A160" s="40"/>
      <c r="B160" s="40"/>
      <c r="C160" s="40"/>
      <c r="D160" s="164"/>
      <c r="E160" s="164"/>
      <c r="F160" s="164"/>
      <c r="G160" s="164"/>
      <c r="H160" s="40"/>
      <c r="I160" s="40"/>
      <c r="J160" s="123"/>
      <c r="K160" s="124"/>
      <c r="L160" s="124"/>
      <c r="M160" s="124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ht="18.75">
      <c r="A161" s="40"/>
      <c r="B161" s="40"/>
      <c r="C161" s="40"/>
      <c r="D161" s="164"/>
      <c r="E161" s="164"/>
      <c r="F161" s="164"/>
      <c r="G161" s="164"/>
      <c r="H161" s="40"/>
      <c r="I161" s="40"/>
      <c r="J161" s="123"/>
      <c r="K161" s="124"/>
      <c r="L161" s="124"/>
      <c r="M161" s="124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ht="18.75">
      <c r="A162" s="40"/>
      <c r="B162" s="40"/>
      <c r="C162" s="40"/>
      <c r="D162" s="164"/>
      <c r="E162" s="164"/>
      <c r="F162" s="164"/>
      <c r="G162" s="164"/>
      <c r="H162" s="40"/>
      <c r="I162" s="40"/>
      <c r="J162" s="123"/>
      <c r="K162" s="124"/>
      <c r="L162" s="124"/>
      <c r="M162" s="124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ht="18.75">
      <c r="A163" s="40"/>
      <c r="B163" s="40"/>
      <c r="C163" s="40"/>
      <c r="D163" s="164"/>
      <c r="E163" s="164"/>
      <c r="F163" s="164"/>
      <c r="G163" s="164"/>
      <c r="H163" s="40"/>
      <c r="I163" s="40"/>
      <c r="J163" s="123"/>
      <c r="K163" s="124"/>
      <c r="L163" s="124"/>
      <c r="M163" s="124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ht="18.75">
      <c r="A164" s="40"/>
      <c r="B164" s="40"/>
      <c r="C164" s="40"/>
      <c r="D164" s="164"/>
      <c r="E164" s="164"/>
      <c r="F164" s="164"/>
      <c r="G164" s="164"/>
      <c r="H164" s="40"/>
      <c r="I164" s="40"/>
      <c r="J164" s="123"/>
      <c r="K164" s="124"/>
      <c r="L164" s="124"/>
      <c r="M164" s="124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ht="18.75">
      <c r="A165" s="40"/>
      <c r="B165" s="40"/>
      <c r="C165" s="40"/>
      <c r="D165" s="164"/>
      <c r="E165" s="164"/>
      <c r="F165" s="164"/>
      <c r="G165" s="164"/>
      <c r="H165" s="40"/>
      <c r="I165" s="40"/>
      <c r="J165" s="123"/>
      <c r="K165" s="124"/>
      <c r="L165" s="124"/>
      <c r="M165" s="124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ht="18.75">
      <c r="A166" s="40"/>
      <c r="B166" s="40"/>
      <c r="C166" s="40"/>
      <c r="D166" s="164"/>
      <c r="E166" s="164"/>
      <c r="F166" s="164"/>
      <c r="G166" s="164"/>
      <c r="H166" s="40"/>
      <c r="I166" s="40"/>
      <c r="J166" s="123"/>
      <c r="K166" s="124"/>
      <c r="L166" s="124"/>
      <c r="M166" s="124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ht="18.75">
      <c r="A167" s="40"/>
      <c r="B167" s="40"/>
      <c r="C167" s="40"/>
      <c r="D167" s="164"/>
      <c r="E167" s="164"/>
      <c r="F167" s="164"/>
      <c r="G167" s="164"/>
      <c r="H167" s="40"/>
      <c r="I167" s="40"/>
      <c r="J167" s="123"/>
      <c r="K167" s="124"/>
      <c r="L167" s="124"/>
      <c r="M167" s="124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ht="18.75">
      <c r="A168" s="40"/>
      <c r="B168" s="40"/>
      <c r="C168" s="40"/>
      <c r="D168" s="164"/>
      <c r="E168" s="164"/>
      <c r="F168" s="164"/>
      <c r="G168" s="164"/>
      <c r="H168" s="40"/>
      <c r="I168" s="40"/>
      <c r="J168" s="123"/>
      <c r="K168" s="124"/>
      <c r="L168" s="124"/>
      <c r="M168" s="124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ht="18.75">
      <c r="A169" s="40"/>
      <c r="B169" s="40"/>
      <c r="C169" s="40"/>
      <c r="D169" s="164"/>
      <c r="E169" s="164"/>
      <c r="F169" s="164"/>
      <c r="G169" s="164"/>
      <c r="H169" s="40"/>
      <c r="I169" s="40"/>
      <c r="J169" s="123"/>
      <c r="K169" s="124"/>
      <c r="L169" s="124"/>
      <c r="M169" s="124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ht="18.75">
      <c r="A170" s="40"/>
      <c r="B170" s="40"/>
      <c r="C170" s="40"/>
      <c r="D170" s="164"/>
      <c r="E170" s="164"/>
      <c r="F170" s="164"/>
      <c r="G170" s="164"/>
      <c r="H170" s="40"/>
      <c r="I170" s="40"/>
      <c r="J170" s="123"/>
      <c r="K170" s="124"/>
      <c r="L170" s="124"/>
      <c r="M170" s="124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ht="18.75">
      <c r="A171" s="40"/>
      <c r="B171" s="40"/>
      <c r="C171" s="40"/>
      <c r="D171" s="164"/>
      <c r="E171" s="164"/>
      <c r="F171" s="164"/>
      <c r="G171" s="164"/>
      <c r="H171" s="40"/>
      <c r="I171" s="40"/>
      <c r="J171" s="123"/>
      <c r="K171" s="124"/>
      <c r="L171" s="124"/>
      <c r="M171" s="124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ht="18.75">
      <c r="A172" s="40"/>
      <c r="B172" s="40"/>
      <c r="C172" s="40"/>
      <c r="D172" s="164"/>
      <c r="E172" s="164"/>
      <c r="F172" s="164"/>
      <c r="G172" s="164"/>
      <c r="H172" s="40"/>
      <c r="I172" s="40"/>
      <c r="J172" s="123"/>
      <c r="K172" s="124"/>
      <c r="L172" s="124"/>
      <c r="M172" s="124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ht="18.75">
      <c r="A173" s="40"/>
      <c r="B173" s="40"/>
      <c r="C173" s="40"/>
      <c r="D173" s="164"/>
      <c r="E173" s="164"/>
      <c r="F173" s="164"/>
      <c r="G173" s="164"/>
      <c r="H173" s="40"/>
      <c r="I173" s="40"/>
      <c r="J173" s="123"/>
      <c r="K173" s="124"/>
      <c r="L173" s="124"/>
      <c r="M173" s="124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ht="18.75">
      <c r="A174" s="40"/>
      <c r="B174" s="40"/>
      <c r="C174" s="40"/>
      <c r="D174" s="164"/>
      <c r="E174" s="164"/>
      <c r="F174" s="164"/>
      <c r="G174" s="164"/>
      <c r="H174" s="40"/>
      <c r="I174" s="40"/>
      <c r="J174" s="123"/>
      <c r="K174" s="124"/>
      <c r="L174" s="124"/>
      <c r="M174" s="124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ht="18.75">
      <c r="A175" s="40"/>
      <c r="B175" s="40"/>
      <c r="C175" s="40"/>
      <c r="D175" s="164"/>
      <c r="E175" s="164"/>
      <c r="F175" s="164"/>
      <c r="G175" s="164"/>
      <c r="H175" s="40"/>
      <c r="I175" s="40"/>
      <c r="J175" s="123"/>
      <c r="K175" s="124"/>
      <c r="L175" s="124"/>
      <c r="M175" s="124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ht="18.75">
      <c r="A176" s="40"/>
      <c r="B176" s="40"/>
      <c r="C176" s="40"/>
      <c r="D176" s="164"/>
      <c r="E176" s="164"/>
      <c r="F176" s="164"/>
      <c r="G176" s="164"/>
      <c r="H176" s="40"/>
      <c r="I176" s="40"/>
      <c r="J176" s="123"/>
      <c r="K176" s="124"/>
      <c r="L176" s="124"/>
      <c r="M176" s="124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ht="18.75">
      <c r="A177" s="40"/>
      <c r="B177" s="40"/>
      <c r="C177" s="40"/>
      <c r="D177" s="164"/>
      <c r="E177" s="164"/>
      <c r="F177" s="164"/>
      <c r="G177" s="164"/>
      <c r="H177" s="40"/>
      <c r="I177" s="40"/>
      <c r="J177" s="123"/>
      <c r="K177" s="124"/>
      <c r="L177" s="124"/>
      <c r="M177" s="124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ht="18.75">
      <c r="A178" s="40"/>
      <c r="B178" s="40"/>
      <c r="C178" s="40"/>
      <c r="D178" s="164"/>
      <c r="E178" s="164"/>
      <c r="F178" s="164"/>
      <c r="G178" s="164"/>
      <c r="H178" s="40"/>
      <c r="I178" s="40"/>
      <c r="J178" s="123"/>
      <c r="K178" s="124"/>
      <c r="L178" s="124"/>
      <c r="M178" s="124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ht="18.75">
      <c r="A179" s="40"/>
      <c r="B179" s="40"/>
      <c r="C179" s="40"/>
      <c r="D179" s="164"/>
      <c r="E179" s="164"/>
      <c r="F179" s="164"/>
      <c r="G179" s="164"/>
      <c r="H179" s="40"/>
      <c r="I179" s="40"/>
      <c r="J179" s="123"/>
      <c r="K179" s="124"/>
      <c r="L179" s="124"/>
      <c r="M179" s="124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ht="18.75">
      <c r="A180" s="40"/>
      <c r="B180" s="40"/>
      <c r="C180" s="40"/>
      <c r="D180" s="164"/>
      <c r="E180" s="164"/>
      <c r="F180" s="164"/>
      <c r="G180" s="164"/>
      <c r="H180" s="40"/>
      <c r="I180" s="40"/>
      <c r="J180" s="123"/>
      <c r="K180" s="124"/>
      <c r="L180" s="124"/>
      <c r="M180" s="124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ht="18.75">
      <c r="A181" s="40"/>
      <c r="B181" s="40"/>
      <c r="C181" s="40"/>
      <c r="D181" s="164"/>
      <c r="E181" s="164"/>
      <c r="F181" s="164"/>
      <c r="G181" s="164"/>
      <c r="H181" s="40"/>
      <c r="I181" s="40"/>
      <c r="J181" s="123"/>
      <c r="K181" s="124"/>
      <c r="L181" s="124"/>
      <c r="M181" s="124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ht="18.75">
      <c r="A182" s="40"/>
      <c r="B182" s="40"/>
      <c r="C182" s="40"/>
      <c r="D182" s="164"/>
      <c r="E182" s="164"/>
      <c r="F182" s="164"/>
      <c r="G182" s="164"/>
      <c r="H182" s="40"/>
      <c r="I182" s="40"/>
      <c r="J182" s="123"/>
      <c r="K182" s="124"/>
      <c r="L182" s="124"/>
      <c r="M182" s="124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ht="18.75">
      <c r="A183" s="40"/>
      <c r="B183" s="40"/>
      <c r="C183" s="40"/>
      <c r="D183" s="164"/>
      <c r="E183" s="164"/>
      <c r="F183" s="164"/>
      <c r="G183" s="164"/>
      <c r="H183" s="40"/>
      <c r="I183" s="40"/>
      <c r="J183" s="123"/>
      <c r="K183" s="124"/>
      <c r="L183" s="124"/>
      <c r="M183" s="124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ht="18.75">
      <c r="A184" s="40"/>
      <c r="B184" s="40"/>
      <c r="C184" s="40"/>
      <c r="D184" s="164"/>
      <c r="E184" s="164"/>
      <c r="F184" s="164"/>
      <c r="G184" s="164"/>
      <c r="H184" s="40"/>
      <c r="I184" s="40"/>
      <c r="J184" s="123"/>
      <c r="K184" s="124"/>
      <c r="L184" s="124"/>
      <c r="M184" s="124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ht="18.75">
      <c r="A185" s="40"/>
      <c r="B185" s="40"/>
      <c r="C185" s="40"/>
      <c r="D185" s="164"/>
      <c r="E185" s="164"/>
      <c r="F185" s="164"/>
      <c r="G185" s="164"/>
      <c r="H185" s="40"/>
      <c r="I185" s="40"/>
      <c r="J185" s="123"/>
      <c r="K185" s="124"/>
      <c r="L185" s="124"/>
      <c r="M185" s="124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ht="18.75">
      <c r="A186" s="40"/>
      <c r="B186" s="40"/>
      <c r="C186" s="40"/>
      <c r="D186" s="164"/>
      <c r="E186" s="164"/>
      <c r="F186" s="164"/>
      <c r="G186" s="164"/>
      <c r="H186" s="40"/>
      <c r="I186" s="40"/>
      <c r="J186" s="123"/>
      <c r="K186" s="124"/>
      <c r="L186" s="124"/>
      <c r="M186" s="124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ht="18.75">
      <c r="A187" s="40"/>
      <c r="B187" s="40"/>
      <c r="C187" s="40"/>
      <c r="D187" s="164"/>
      <c r="E187" s="164"/>
      <c r="F187" s="164"/>
      <c r="G187" s="164"/>
      <c r="H187" s="40"/>
      <c r="I187" s="40"/>
      <c r="J187" s="123"/>
      <c r="K187" s="124"/>
      <c r="L187" s="124"/>
      <c r="M187" s="124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ht="18.75">
      <c r="A188" s="40"/>
      <c r="B188" s="40"/>
      <c r="C188" s="40"/>
      <c r="D188" s="164"/>
      <c r="E188" s="164"/>
      <c r="F188" s="164"/>
      <c r="G188" s="164"/>
      <c r="H188" s="40"/>
      <c r="I188" s="40"/>
      <c r="J188" s="123"/>
      <c r="K188" s="124"/>
      <c r="L188" s="124"/>
      <c r="M188" s="124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ht="18.75">
      <c r="A189" s="40"/>
      <c r="B189" s="40"/>
      <c r="C189" s="40"/>
      <c r="D189" s="164"/>
      <c r="E189" s="164"/>
      <c r="F189" s="164"/>
      <c r="G189" s="164"/>
      <c r="H189" s="40"/>
      <c r="I189" s="40"/>
      <c r="J189" s="123"/>
      <c r="K189" s="124"/>
      <c r="L189" s="124"/>
      <c r="M189" s="124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ht="18.75">
      <c r="A190" s="40"/>
      <c r="B190" s="40"/>
      <c r="C190" s="40"/>
      <c r="D190" s="164"/>
      <c r="E190" s="164"/>
      <c r="F190" s="164"/>
      <c r="G190" s="164"/>
      <c r="H190" s="40"/>
      <c r="I190" s="40"/>
      <c r="J190" s="123"/>
      <c r="K190" s="124"/>
      <c r="L190" s="124"/>
      <c r="M190" s="124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ht="18.75">
      <c r="A191" s="40"/>
      <c r="B191" s="40"/>
      <c r="C191" s="40"/>
      <c r="D191" s="164"/>
      <c r="E191" s="164"/>
      <c r="F191" s="164"/>
      <c r="G191" s="164"/>
      <c r="H191" s="40"/>
      <c r="I191" s="40"/>
      <c r="J191" s="123"/>
      <c r="K191" s="124"/>
      <c r="L191" s="124"/>
      <c r="M191" s="124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ht="18.75">
      <c r="A192" s="40"/>
      <c r="B192" s="40"/>
      <c r="C192" s="40"/>
      <c r="D192" s="164"/>
      <c r="E192" s="164"/>
      <c r="F192" s="164"/>
      <c r="G192" s="164"/>
      <c r="H192" s="40"/>
      <c r="I192" s="40"/>
      <c r="J192" s="123"/>
      <c r="K192" s="124"/>
      <c r="L192" s="124"/>
      <c r="M192" s="124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ht="18.75">
      <c r="A193" s="40"/>
      <c r="B193" s="40"/>
      <c r="C193" s="40"/>
      <c r="D193" s="164"/>
      <c r="E193" s="164"/>
      <c r="F193" s="164"/>
      <c r="G193" s="164"/>
      <c r="H193" s="40"/>
      <c r="I193" s="40"/>
      <c r="J193" s="123"/>
      <c r="K193" s="124"/>
      <c r="L193" s="124"/>
      <c r="M193" s="124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ht="18.75">
      <c r="A194" s="40"/>
      <c r="B194" s="40"/>
      <c r="C194" s="40"/>
      <c r="D194" s="164"/>
      <c r="E194" s="164"/>
      <c r="F194" s="164"/>
      <c r="G194" s="164"/>
      <c r="H194" s="40"/>
      <c r="I194" s="40"/>
      <c r="J194" s="123"/>
      <c r="K194" s="124"/>
      <c r="L194" s="124"/>
      <c r="M194" s="124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ht="18.75">
      <c r="A195" s="40"/>
      <c r="B195" s="40"/>
      <c r="C195" s="40"/>
      <c r="D195" s="164"/>
      <c r="E195" s="164"/>
      <c r="F195" s="164"/>
      <c r="G195" s="164"/>
      <c r="H195" s="40"/>
      <c r="I195" s="40"/>
      <c r="J195" s="123"/>
      <c r="K195" s="124"/>
      <c r="L195" s="124"/>
      <c r="M195" s="124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ht="18.75">
      <c r="A196" s="40"/>
      <c r="B196" s="40"/>
      <c r="C196" s="40"/>
      <c r="D196" s="164"/>
      <c r="E196" s="164"/>
      <c r="F196" s="164"/>
      <c r="G196" s="164"/>
      <c r="H196" s="40"/>
      <c r="I196" s="40"/>
      <c r="J196" s="123"/>
      <c r="K196" s="124"/>
      <c r="L196" s="124"/>
      <c r="M196" s="124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ht="18.75">
      <c r="A197" s="40"/>
      <c r="B197" s="40"/>
      <c r="C197" s="40"/>
      <c r="D197" s="164"/>
      <c r="E197" s="164"/>
      <c r="F197" s="164"/>
      <c r="G197" s="164"/>
      <c r="H197" s="40"/>
      <c r="I197" s="40"/>
      <c r="J197" s="123"/>
      <c r="K197" s="124"/>
      <c r="L197" s="124"/>
      <c r="M197" s="124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ht="18.75">
      <c r="A198" s="40"/>
      <c r="B198" s="40"/>
      <c r="C198" s="40"/>
      <c r="D198" s="164"/>
      <c r="E198" s="164"/>
      <c r="F198" s="164"/>
      <c r="G198" s="164"/>
      <c r="H198" s="40"/>
      <c r="I198" s="40"/>
      <c r="J198" s="123"/>
      <c r="K198" s="124"/>
      <c r="L198" s="124"/>
      <c r="M198" s="124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</sheetData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14"/>
  <sheetViews>
    <sheetView tabSelected="1" zoomScale="130" zoomScaleNormal="130" workbookViewId="0" topLeftCell="B781">
      <selection activeCell="D928" sqref="D928"/>
    </sheetView>
  </sheetViews>
  <sheetFormatPr defaultColWidth="9.140625" defaultRowHeight="12.75"/>
  <cols>
    <col min="1" max="1" width="5.57421875" style="37" customWidth="1"/>
    <col min="2" max="2" width="6.7109375" style="37" customWidth="1"/>
    <col min="3" max="3" width="5.421875" style="85" customWidth="1"/>
    <col min="4" max="4" width="31.140625" style="57" customWidth="1"/>
    <col min="5" max="5" width="13.57421875" style="50" customWidth="1"/>
    <col min="6" max="6" width="13.00390625" style="50" customWidth="1"/>
    <col min="7" max="7" width="14.28125" style="50" customWidth="1"/>
    <col min="8" max="8" width="12.28125" style="50" customWidth="1"/>
    <col min="9" max="9" width="5.8515625" style="545" customWidth="1"/>
    <col min="10" max="10" width="9.140625" style="157" customWidth="1"/>
    <col min="11" max="11" width="11.28125" style="157" bestFit="1" customWidth="1"/>
    <col min="12" max="22" width="9.140625" style="157" customWidth="1"/>
    <col min="23" max="16384" width="9.140625" style="37" customWidth="1"/>
  </cols>
  <sheetData>
    <row r="1" ht="20.25">
      <c r="G1" s="216" t="s">
        <v>678</v>
      </c>
    </row>
    <row r="3" spans="1:2" ht="12.75">
      <c r="A3" s="57"/>
      <c r="B3" s="57"/>
    </row>
    <row r="4" spans="1:4" ht="18.75">
      <c r="A4" s="85"/>
      <c r="B4" s="114" t="s">
        <v>162</v>
      </c>
      <c r="C4" s="115"/>
      <c r="D4" s="193"/>
    </row>
    <row r="5" spans="1:4" ht="18.75">
      <c r="A5" s="85"/>
      <c r="B5" s="114" t="s">
        <v>72</v>
      </c>
      <c r="C5" s="114"/>
      <c r="D5" s="193"/>
    </row>
    <row r="6" spans="1:4" ht="18.75">
      <c r="A6" s="85"/>
      <c r="B6" s="114"/>
      <c r="C6" s="114"/>
      <c r="D6" s="193"/>
    </row>
    <row r="7" spans="1:8" ht="12.75">
      <c r="A7" s="693"/>
      <c r="B7" s="694"/>
      <c r="C7" s="21"/>
      <c r="D7" s="695"/>
      <c r="E7" s="89"/>
      <c r="F7" s="696"/>
      <c r="G7" s="89"/>
      <c r="H7" s="696" t="s">
        <v>202</v>
      </c>
    </row>
    <row r="8" spans="1:9" ht="24.75" customHeight="1">
      <c r="A8" s="76"/>
      <c r="B8" s="76"/>
      <c r="C8" s="13"/>
      <c r="D8" s="194"/>
      <c r="E8" s="546" t="s">
        <v>679</v>
      </c>
      <c r="F8" s="544"/>
      <c r="G8" s="1032" t="s">
        <v>680</v>
      </c>
      <c r="H8" s="1033"/>
      <c r="I8" s="410"/>
    </row>
    <row r="9" spans="1:9" ht="15.75" customHeight="1">
      <c r="A9" s="62" t="s">
        <v>203</v>
      </c>
      <c r="B9" s="62" t="s">
        <v>204</v>
      </c>
      <c r="C9" s="62" t="s">
        <v>320</v>
      </c>
      <c r="D9" s="169" t="s">
        <v>321</v>
      </c>
      <c r="E9" s="117" t="s">
        <v>201</v>
      </c>
      <c r="F9" s="236" t="s">
        <v>173</v>
      </c>
      <c r="G9" s="117" t="s">
        <v>201</v>
      </c>
      <c r="H9" s="547" t="s">
        <v>173</v>
      </c>
      <c r="I9" s="2" t="s">
        <v>681</v>
      </c>
    </row>
    <row r="10" spans="1:9" ht="30" customHeight="1">
      <c r="A10" s="86"/>
      <c r="B10" s="86"/>
      <c r="C10" s="1"/>
      <c r="D10" s="214"/>
      <c r="E10" s="226" t="s">
        <v>322</v>
      </c>
      <c r="F10" s="240" t="s">
        <v>323</v>
      </c>
      <c r="G10" s="226" t="s">
        <v>322</v>
      </c>
      <c r="H10" s="548" t="s">
        <v>323</v>
      </c>
      <c r="I10" s="255" t="s">
        <v>682</v>
      </c>
    </row>
    <row r="11" spans="1:9" ht="23.25" customHeight="1">
      <c r="A11" s="3" t="s">
        <v>326</v>
      </c>
      <c r="B11" s="79"/>
      <c r="C11" s="4"/>
      <c r="D11" s="195"/>
      <c r="E11" s="41"/>
      <c r="F11" s="181"/>
      <c r="G11" s="41"/>
      <c r="H11" s="41"/>
      <c r="I11" s="809"/>
    </row>
    <row r="12" spans="1:9" ht="24" customHeight="1">
      <c r="A12" s="68" t="s">
        <v>317</v>
      </c>
      <c r="B12" s="68"/>
      <c r="C12" s="5"/>
      <c r="D12" s="200" t="s">
        <v>318</v>
      </c>
      <c r="E12" s="126">
        <f>E13+E15</f>
        <v>69128.86</v>
      </c>
      <c r="F12" s="126">
        <f>F13+F15</f>
        <v>63828.86</v>
      </c>
      <c r="G12" s="126">
        <f>G13+G15</f>
        <v>67313.43</v>
      </c>
      <c r="H12" s="549">
        <f>H13+H15</f>
        <v>63817.63</v>
      </c>
      <c r="I12" s="132">
        <f>G12/E12*100</f>
        <v>97.37384646586099</v>
      </c>
    </row>
    <row r="13" spans="1:9" ht="20.25" customHeight="1">
      <c r="A13" s="97"/>
      <c r="B13" s="75" t="s">
        <v>327</v>
      </c>
      <c r="C13" s="35"/>
      <c r="D13" s="204" t="s">
        <v>328</v>
      </c>
      <c r="E13" s="28">
        <f>E14</f>
        <v>4800</v>
      </c>
      <c r="F13" s="73"/>
      <c r="G13" s="28">
        <f>G14</f>
        <v>2997.65</v>
      </c>
      <c r="H13" s="129"/>
      <c r="I13" s="96">
        <f aca="true" t="shared" si="0" ref="I13:I78">G13/E13*100</f>
        <v>62.451041666666676</v>
      </c>
    </row>
    <row r="14" spans="1:9" ht="36.75" customHeight="1">
      <c r="A14" s="81"/>
      <c r="B14" s="550"/>
      <c r="C14" s="8">
        <v>2850</v>
      </c>
      <c r="D14" s="170" t="s">
        <v>329</v>
      </c>
      <c r="E14" s="88">
        <v>4800</v>
      </c>
      <c r="F14" s="127"/>
      <c r="G14" s="88">
        <v>2997.65</v>
      </c>
      <c r="H14" s="241"/>
      <c r="I14" s="96">
        <f t="shared" si="0"/>
        <v>62.451041666666676</v>
      </c>
    </row>
    <row r="15" spans="1:9" ht="20.25" customHeight="1">
      <c r="A15" s="100"/>
      <c r="B15" s="46" t="s">
        <v>319</v>
      </c>
      <c r="C15" s="24"/>
      <c r="D15" s="175" t="s">
        <v>250</v>
      </c>
      <c r="E15" s="91">
        <f>SUM(E16:E21)</f>
        <v>64328.86</v>
      </c>
      <c r="F15" s="91">
        <f>SUM(F16:F21)</f>
        <v>63828.86</v>
      </c>
      <c r="G15" s="91">
        <f>SUM(G16:G21)</f>
        <v>64315.78</v>
      </c>
      <c r="H15" s="28">
        <f>SUM(H16:H21)</f>
        <v>63817.63</v>
      </c>
      <c r="I15" s="96">
        <f t="shared" si="0"/>
        <v>99.9796669799527</v>
      </c>
    </row>
    <row r="16" spans="1:9" ht="16.5" customHeight="1">
      <c r="A16" s="100"/>
      <c r="B16" s="98"/>
      <c r="C16" s="2">
        <v>4010</v>
      </c>
      <c r="D16" s="170" t="s">
        <v>378</v>
      </c>
      <c r="E16" s="52">
        <v>626.88</v>
      </c>
      <c r="F16" s="52">
        <v>626.88</v>
      </c>
      <c r="G16" s="52">
        <v>626.88</v>
      </c>
      <c r="H16" s="26">
        <v>626.88</v>
      </c>
      <c r="I16" s="96">
        <f t="shared" si="0"/>
        <v>100</v>
      </c>
    </row>
    <row r="17" spans="1:9" ht="16.5" customHeight="1">
      <c r="A17" s="100"/>
      <c r="B17" s="98"/>
      <c r="C17" s="2">
        <v>4110</v>
      </c>
      <c r="D17" s="170" t="s">
        <v>565</v>
      </c>
      <c r="E17" s="52">
        <v>107.76</v>
      </c>
      <c r="F17" s="52">
        <v>107.76</v>
      </c>
      <c r="G17" s="52">
        <v>107.76</v>
      </c>
      <c r="H17" s="26">
        <v>107.76</v>
      </c>
      <c r="I17" s="96">
        <f t="shared" si="0"/>
        <v>100</v>
      </c>
    </row>
    <row r="18" spans="1:9" ht="16.5" customHeight="1">
      <c r="A18" s="100"/>
      <c r="B18" s="98"/>
      <c r="C18" s="2">
        <v>4120</v>
      </c>
      <c r="D18" s="170" t="s">
        <v>566</v>
      </c>
      <c r="E18" s="52">
        <v>15.36</v>
      </c>
      <c r="F18" s="52">
        <v>15.36</v>
      </c>
      <c r="G18" s="52">
        <v>15.36</v>
      </c>
      <c r="H18" s="26">
        <v>15.36</v>
      </c>
      <c r="I18" s="96">
        <f t="shared" si="0"/>
        <v>100</v>
      </c>
    </row>
    <row r="19" spans="1:9" ht="16.5" customHeight="1">
      <c r="A19" s="80"/>
      <c r="B19" s="81"/>
      <c r="C19" s="8">
        <v>4210</v>
      </c>
      <c r="D19" s="170" t="s">
        <v>334</v>
      </c>
      <c r="E19" s="96">
        <v>186.42</v>
      </c>
      <c r="F19" s="52">
        <v>186.42</v>
      </c>
      <c r="G19" s="96">
        <v>175.19</v>
      </c>
      <c r="H19" s="26">
        <v>175.19</v>
      </c>
      <c r="I19" s="96">
        <f t="shared" si="0"/>
        <v>93.97596824375067</v>
      </c>
    </row>
    <row r="20" spans="1:9" ht="16.5" customHeight="1">
      <c r="A20" s="80"/>
      <c r="B20" s="81"/>
      <c r="C20" s="8">
        <v>4300</v>
      </c>
      <c r="D20" s="170" t="s">
        <v>331</v>
      </c>
      <c r="E20" s="96">
        <v>815.13</v>
      </c>
      <c r="F20" s="52">
        <v>315.13</v>
      </c>
      <c r="G20" s="52">
        <f>498.15+315.13</f>
        <v>813.28</v>
      </c>
      <c r="H20" s="26">
        <v>315.13</v>
      </c>
      <c r="I20" s="96">
        <f t="shared" si="0"/>
        <v>99.77304233680518</v>
      </c>
    </row>
    <row r="21" spans="1:9" ht="16.5" customHeight="1">
      <c r="A21" s="80"/>
      <c r="B21" s="81"/>
      <c r="C21" s="19">
        <v>4430</v>
      </c>
      <c r="D21" s="170" t="s">
        <v>586</v>
      </c>
      <c r="E21" s="52">
        <v>62577.31</v>
      </c>
      <c r="F21" s="52">
        <v>62577.31</v>
      </c>
      <c r="G21" s="52">
        <v>62577.31</v>
      </c>
      <c r="H21" s="26">
        <v>62577.31</v>
      </c>
      <c r="I21" s="96">
        <f t="shared" si="0"/>
        <v>100</v>
      </c>
    </row>
    <row r="22" spans="1:9" ht="23.25" customHeight="1">
      <c r="A22" s="58">
        <v>600</v>
      </c>
      <c r="B22" s="58"/>
      <c r="C22" s="10"/>
      <c r="D22" s="174" t="s">
        <v>332</v>
      </c>
      <c r="E22" s="33">
        <f>E23+E25+E36</f>
        <v>18922988.380000003</v>
      </c>
      <c r="F22" s="88"/>
      <c r="G22" s="33">
        <f>G23+G25+G36</f>
        <v>7340087.83</v>
      </c>
      <c r="H22" s="128"/>
      <c r="I22" s="132">
        <f t="shared" si="0"/>
        <v>38.789263527519005</v>
      </c>
    </row>
    <row r="23" spans="1:9" ht="20.25" customHeight="1">
      <c r="A23" s="97"/>
      <c r="B23" s="99">
        <v>60004</v>
      </c>
      <c r="C23" s="24"/>
      <c r="D23" s="175" t="s">
        <v>212</v>
      </c>
      <c r="E23" s="91">
        <f>SUM(E24:E24)</f>
        <v>11292633.63</v>
      </c>
      <c r="F23" s="127"/>
      <c r="G23" s="91">
        <f>SUM(G24:G24)</f>
        <v>6047380.22</v>
      </c>
      <c r="H23" s="241"/>
      <c r="I23" s="96">
        <f t="shared" si="0"/>
        <v>53.55154889586194</v>
      </c>
    </row>
    <row r="24" spans="1:9" ht="30" customHeight="1">
      <c r="A24" s="80"/>
      <c r="B24" s="76"/>
      <c r="C24" s="8">
        <v>2650</v>
      </c>
      <c r="D24" s="170" t="s">
        <v>189</v>
      </c>
      <c r="E24" s="52">
        <v>11292633.63</v>
      </c>
      <c r="F24" s="127"/>
      <c r="G24" s="52">
        <v>6047380.22</v>
      </c>
      <c r="H24" s="241"/>
      <c r="I24" s="96">
        <f t="shared" si="0"/>
        <v>53.55154889586194</v>
      </c>
    </row>
    <row r="25" spans="1:9" ht="22.5" customHeight="1">
      <c r="A25" s="100"/>
      <c r="B25" s="46">
        <v>60016</v>
      </c>
      <c r="C25" s="23"/>
      <c r="D25" s="175" t="s">
        <v>333</v>
      </c>
      <c r="E25" s="91">
        <f>SUM(E26:E35)</f>
        <v>7585354.75</v>
      </c>
      <c r="F25" s="127"/>
      <c r="G25" s="91">
        <f>SUM(G26:G35)</f>
        <v>1271239.61</v>
      </c>
      <c r="H25" s="241"/>
      <c r="I25" s="96">
        <f t="shared" si="0"/>
        <v>16.75913193117303</v>
      </c>
    </row>
    <row r="26" spans="1:9" ht="16.5" customHeight="1">
      <c r="A26" s="80"/>
      <c r="B26" s="81"/>
      <c r="C26" s="8">
        <v>4270</v>
      </c>
      <c r="D26" s="170" t="s">
        <v>335</v>
      </c>
      <c r="E26" s="52">
        <v>4164000</v>
      </c>
      <c r="F26" s="127"/>
      <c r="G26" s="52">
        <v>724418.2</v>
      </c>
      <c r="H26" s="241"/>
      <c r="I26" s="96">
        <f t="shared" si="0"/>
        <v>17.397170989433235</v>
      </c>
    </row>
    <row r="27" spans="1:9" ht="16.5" customHeight="1">
      <c r="A27" s="80"/>
      <c r="B27" s="81"/>
      <c r="C27" s="8">
        <v>4300</v>
      </c>
      <c r="D27" s="170" t="s">
        <v>331</v>
      </c>
      <c r="E27" s="52">
        <v>1295154.75</v>
      </c>
      <c r="F27" s="127"/>
      <c r="G27" s="52">
        <v>353936.65</v>
      </c>
      <c r="H27" s="241"/>
      <c r="I27" s="96">
        <f t="shared" si="0"/>
        <v>27.327749830666953</v>
      </c>
    </row>
    <row r="28" spans="1:9" ht="24" customHeight="1">
      <c r="A28" s="80"/>
      <c r="B28" s="81"/>
      <c r="C28" s="8">
        <v>4390</v>
      </c>
      <c r="D28" s="170" t="s">
        <v>94</v>
      </c>
      <c r="E28" s="52">
        <v>20000</v>
      </c>
      <c r="F28" s="127"/>
      <c r="G28" s="52">
        <v>0</v>
      </c>
      <c r="H28" s="241"/>
      <c r="I28" s="96"/>
    </row>
    <row r="29" spans="1:9" ht="16.5" customHeight="1">
      <c r="A29" s="80"/>
      <c r="B29" s="81"/>
      <c r="C29" s="19">
        <v>4430</v>
      </c>
      <c r="D29" s="170" t="s">
        <v>586</v>
      </c>
      <c r="E29" s="52">
        <v>25000</v>
      </c>
      <c r="F29" s="127"/>
      <c r="G29" s="52">
        <v>25000</v>
      </c>
      <c r="H29" s="241"/>
      <c r="I29" s="96">
        <f t="shared" si="0"/>
        <v>100</v>
      </c>
    </row>
    <row r="30" spans="1:9" ht="16.5" customHeight="1">
      <c r="A30" s="80"/>
      <c r="B30" s="81"/>
      <c r="C30" s="8">
        <v>4580</v>
      </c>
      <c r="D30" s="170" t="s">
        <v>264</v>
      </c>
      <c r="E30" s="52">
        <v>1000</v>
      </c>
      <c r="F30" s="127"/>
      <c r="G30" s="52">
        <v>0</v>
      </c>
      <c r="H30" s="241"/>
      <c r="I30" s="96"/>
    </row>
    <row r="31" spans="1:9" ht="24" customHeight="1">
      <c r="A31" s="80"/>
      <c r="B31" s="81"/>
      <c r="C31" s="8">
        <v>4590</v>
      </c>
      <c r="D31" s="170" t="s">
        <v>336</v>
      </c>
      <c r="E31" s="52">
        <v>2000</v>
      </c>
      <c r="F31" s="127"/>
      <c r="G31" s="52">
        <v>0</v>
      </c>
      <c r="H31" s="241"/>
      <c r="I31" s="96"/>
    </row>
    <row r="32" spans="1:9" ht="30" customHeight="1">
      <c r="A32" s="80"/>
      <c r="B32" s="81"/>
      <c r="C32" s="8">
        <v>4600</v>
      </c>
      <c r="D32" s="170" t="s">
        <v>311</v>
      </c>
      <c r="E32" s="52">
        <v>1000</v>
      </c>
      <c r="F32" s="127"/>
      <c r="G32" s="52">
        <v>0</v>
      </c>
      <c r="H32" s="241"/>
      <c r="I32" s="96"/>
    </row>
    <row r="33" spans="1:9" ht="25.5" customHeight="1">
      <c r="A33" s="80"/>
      <c r="B33" s="81"/>
      <c r="C33" s="8">
        <v>4610</v>
      </c>
      <c r="D33" s="170" t="s">
        <v>583</v>
      </c>
      <c r="E33" s="52">
        <v>2000</v>
      </c>
      <c r="F33" s="127"/>
      <c r="G33" s="52">
        <v>1172.44</v>
      </c>
      <c r="H33" s="241"/>
      <c r="I33" s="96">
        <f t="shared" si="0"/>
        <v>58.62200000000001</v>
      </c>
    </row>
    <row r="34" spans="1:9" ht="24" customHeight="1">
      <c r="A34" s="80"/>
      <c r="B34" s="81"/>
      <c r="C34" s="8">
        <v>6050</v>
      </c>
      <c r="D34" s="170" t="s">
        <v>95</v>
      </c>
      <c r="E34" s="52">
        <v>2060200</v>
      </c>
      <c r="F34" s="127"/>
      <c r="G34" s="52">
        <v>151712.32</v>
      </c>
      <c r="H34" s="241"/>
      <c r="I34" s="96">
        <f t="shared" si="0"/>
        <v>7.363960780506747</v>
      </c>
    </row>
    <row r="35" spans="1:9" ht="27.75" customHeight="1">
      <c r="A35" s="80"/>
      <c r="B35" s="81"/>
      <c r="C35" s="15">
        <v>6060</v>
      </c>
      <c r="D35" s="170" t="s">
        <v>584</v>
      </c>
      <c r="E35" s="52">
        <v>15000</v>
      </c>
      <c r="F35" s="127"/>
      <c r="G35" s="52">
        <v>15000</v>
      </c>
      <c r="H35" s="241"/>
      <c r="I35" s="96">
        <f t="shared" si="0"/>
        <v>100</v>
      </c>
    </row>
    <row r="36" spans="1:22" s="53" customFormat="1" ht="20.25" customHeight="1">
      <c r="A36" s="100"/>
      <c r="B36" s="46">
        <v>60095</v>
      </c>
      <c r="C36" s="23"/>
      <c r="D36" s="175" t="s">
        <v>250</v>
      </c>
      <c r="E36" s="91">
        <f>SUM(E37:E38)</f>
        <v>45000</v>
      </c>
      <c r="F36" s="121"/>
      <c r="G36" s="91">
        <f>SUM(G37:G38)</f>
        <v>21468</v>
      </c>
      <c r="H36" s="248"/>
      <c r="I36" s="96">
        <f t="shared" si="0"/>
        <v>47.70666666666667</v>
      </c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9" ht="16.5" customHeight="1">
      <c r="A37" s="80"/>
      <c r="B37" s="81"/>
      <c r="C37" s="19">
        <v>4300</v>
      </c>
      <c r="D37" s="205" t="s">
        <v>331</v>
      </c>
      <c r="E37" s="88">
        <v>44400</v>
      </c>
      <c r="F37" s="127"/>
      <c r="G37" s="88">
        <v>21330</v>
      </c>
      <c r="H37" s="241"/>
      <c r="I37" s="250">
        <f t="shared" si="0"/>
        <v>48.04054054054054</v>
      </c>
    </row>
    <row r="38" spans="1:9" ht="27.75" customHeight="1">
      <c r="A38" s="80"/>
      <c r="B38" s="81"/>
      <c r="C38" s="8">
        <v>4610</v>
      </c>
      <c r="D38" s="170" t="s">
        <v>583</v>
      </c>
      <c r="E38" s="52">
        <v>600</v>
      </c>
      <c r="F38" s="127"/>
      <c r="G38" s="52">
        <v>138</v>
      </c>
      <c r="H38" s="241"/>
      <c r="I38" s="96">
        <f t="shared" si="0"/>
        <v>23</v>
      </c>
    </row>
    <row r="39" spans="1:9" ht="24" customHeight="1">
      <c r="A39" s="58">
        <v>700</v>
      </c>
      <c r="B39" s="58"/>
      <c r="C39" s="10"/>
      <c r="D39" s="174" t="s">
        <v>277</v>
      </c>
      <c r="E39" s="33">
        <f>E40+E55</f>
        <v>16919193.89</v>
      </c>
      <c r="F39" s="52"/>
      <c r="G39" s="33">
        <f>G40+G55</f>
        <v>8846060.120000001</v>
      </c>
      <c r="H39" s="26"/>
      <c r="I39" s="132">
        <f t="shared" si="0"/>
        <v>52.28417014139437</v>
      </c>
    </row>
    <row r="40" spans="1:9" ht="20.25" customHeight="1">
      <c r="A40" s="97"/>
      <c r="B40" s="46">
        <v>70005</v>
      </c>
      <c r="C40" s="23"/>
      <c r="D40" s="175" t="s">
        <v>312</v>
      </c>
      <c r="E40" s="91">
        <f>SUM(E41:E54)</f>
        <v>15195905</v>
      </c>
      <c r="F40" s="127"/>
      <c r="G40" s="91">
        <f>SUM(G41:G54)</f>
        <v>7859231.2700000005</v>
      </c>
      <c r="H40" s="241"/>
      <c r="I40" s="96">
        <f t="shared" si="0"/>
        <v>51.7194024969227</v>
      </c>
    </row>
    <row r="41" spans="1:9" ht="16.5" customHeight="1">
      <c r="A41" s="80"/>
      <c r="B41" s="81"/>
      <c r="C41" s="8">
        <v>4210</v>
      </c>
      <c r="D41" s="170" t="s">
        <v>334</v>
      </c>
      <c r="E41" s="52">
        <v>16200</v>
      </c>
      <c r="F41" s="127"/>
      <c r="G41" s="52">
        <f>7291.95+1160.96+696.7+196.68</f>
        <v>9346.29</v>
      </c>
      <c r="H41" s="241"/>
      <c r="I41" s="96">
        <f t="shared" si="0"/>
        <v>57.693148148148154</v>
      </c>
    </row>
    <row r="42" spans="1:9" ht="16.5" customHeight="1">
      <c r="A42" s="80"/>
      <c r="B42" s="81"/>
      <c r="C42" s="19">
        <v>4260</v>
      </c>
      <c r="D42" s="205" t="s">
        <v>574</v>
      </c>
      <c r="E42" s="52">
        <v>4658390</v>
      </c>
      <c r="F42" s="127"/>
      <c r="G42" s="52">
        <f>1846768.52+379700.29+54281.98+140424.46</f>
        <v>2421175.25</v>
      </c>
      <c r="H42" s="241"/>
      <c r="I42" s="96">
        <f t="shared" si="0"/>
        <v>51.97450728685232</v>
      </c>
    </row>
    <row r="43" spans="1:9" ht="16.5" customHeight="1">
      <c r="A43" s="80"/>
      <c r="B43" s="81"/>
      <c r="C43" s="8">
        <v>4270</v>
      </c>
      <c r="D43" s="170" t="s">
        <v>335</v>
      </c>
      <c r="E43" s="52">
        <v>1811250</v>
      </c>
      <c r="F43" s="127"/>
      <c r="G43" s="52">
        <f>523277.15+70103.98+92167.8+41229.38</f>
        <v>726778.31</v>
      </c>
      <c r="H43" s="241"/>
      <c r="I43" s="96">
        <f t="shared" si="0"/>
        <v>40.125786611456185</v>
      </c>
    </row>
    <row r="44" spans="1:9" ht="16.5" customHeight="1">
      <c r="A44" s="80"/>
      <c r="B44" s="81"/>
      <c r="C44" s="15">
        <v>4300</v>
      </c>
      <c r="D44" s="170" t="s">
        <v>313</v>
      </c>
      <c r="E44" s="52">
        <v>4103685</v>
      </c>
      <c r="F44" s="127"/>
      <c r="G44" s="52">
        <f>37403.7+1472025.43+185505.02+81196.77+97319.38</f>
        <v>1873450.2999999998</v>
      </c>
      <c r="H44" s="241"/>
      <c r="I44" s="96">
        <f t="shared" si="0"/>
        <v>45.65287784028257</v>
      </c>
    </row>
    <row r="45" spans="1:9" ht="24" customHeight="1">
      <c r="A45" s="80"/>
      <c r="B45" s="81"/>
      <c r="C45" s="2">
        <v>4390</v>
      </c>
      <c r="D45" s="170" t="s">
        <v>683</v>
      </c>
      <c r="E45" s="52">
        <v>3075</v>
      </c>
      <c r="F45" s="127"/>
      <c r="G45" s="52">
        <v>3075</v>
      </c>
      <c r="H45" s="241"/>
      <c r="I45" s="96">
        <f t="shared" si="0"/>
        <v>100</v>
      </c>
    </row>
    <row r="46" spans="1:9" ht="16.5" customHeight="1">
      <c r="A46" s="80"/>
      <c r="B46" s="81"/>
      <c r="C46" s="19">
        <v>4430</v>
      </c>
      <c r="D46" s="170" t="s">
        <v>586</v>
      </c>
      <c r="E46" s="52">
        <v>47600</v>
      </c>
      <c r="F46" s="127"/>
      <c r="G46" s="52">
        <f>26898.64+10598+5900+1067+981</f>
        <v>45444.64</v>
      </c>
      <c r="H46" s="241"/>
      <c r="I46" s="96">
        <f t="shared" si="0"/>
        <v>95.47193277310924</v>
      </c>
    </row>
    <row r="47" spans="1:9" ht="16.5" customHeight="1">
      <c r="A47" s="80"/>
      <c r="B47" s="81"/>
      <c r="C47" s="8">
        <v>4480</v>
      </c>
      <c r="D47" s="170" t="s">
        <v>272</v>
      </c>
      <c r="E47" s="52">
        <v>1500000</v>
      </c>
      <c r="F47" s="127"/>
      <c r="G47" s="52">
        <v>729970.37</v>
      </c>
      <c r="H47" s="241"/>
      <c r="I47" s="96">
        <f t="shared" si="0"/>
        <v>48.66469133333333</v>
      </c>
    </row>
    <row r="48" spans="1:9" ht="24" customHeight="1">
      <c r="A48" s="80"/>
      <c r="B48" s="81"/>
      <c r="C48" s="8">
        <v>4500</v>
      </c>
      <c r="D48" s="170" t="s">
        <v>624</v>
      </c>
      <c r="E48" s="52">
        <v>3000</v>
      </c>
      <c r="F48" s="127"/>
      <c r="G48" s="52">
        <v>2792.83</v>
      </c>
      <c r="H48" s="241"/>
      <c r="I48" s="96">
        <f t="shared" si="0"/>
        <v>93.09433333333334</v>
      </c>
    </row>
    <row r="49" spans="1:9" ht="27.75" customHeight="1">
      <c r="A49" s="80"/>
      <c r="B49" s="81"/>
      <c r="C49" s="8">
        <v>4520</v>
      </c>
      <c r="D49" s="170" t="s">
        <v>234</v>
      </c>
      <c r="E49" s="52">
        <v>362200</v>
      </c>
      <c r="F49" s="127"/>
      <c r="G49" s="52">
        <f>122042.2+28990+7750+13890</f>
        <v>172672.2</v>
      </c>
      <c r="H49" s="241"/>
      <c r="I49" s="96">
        <f t="shared" si="0"/>
        <v>47.67316399779128</v>
      </c>
    </row>
    <row r="50" spans="1:9" ht="16.5" customHeight="1">
      <c r="A50" s="80"/>
      <c r="B50" s="81"/>
      <c r="C50" s="8">
        <v>4530</v>
      </c>
      <c r="D50" s="170" t="s">
        <v>105</v>
      </c>
      <c r="E50" s="52">
        <v>149500</v>
      </c>
      <c r="F50" s="127"/>
      <c r="G50" s="52">
        <f>8314.93+920</f>
        <v>9234.93</v>
      </c>
      <c r="H50" s="241"/>
      <c r="I50" s="96">
        <f t="shared" si="0"/>
        <v>6.177210702341137</v>
      </c>
    </row>
    <row r="51" spans="1:9" ht="24" customHeight="1">
      <c r="A51" s="80"/>
      <c r="B51" s="81"/>
      <c r="C51" s="8">
        <v>4590</v>
      </c>
      <c r="D51" s="170" t="s">
        <v>336</v>
      </c>
      <c r="E51" s="52">
        <v>1043950</v>
      </c>
      <c r="F51" s="127"/>
      <c r="G51" s="52">
        <v>599900.41</v>
      </c>
      <c r="H51" s="241"/>
      <c r="I51" s="96">
        <f t="shared" si="0"/>
        <v>57.46447722592079</v>
      </c>
    </row>
    <row r="52" spans="1:9" ht="33" customHeight="1">
      <c r="A52" s="80"/>
      <c r="B52" s="81"/>
      <c r="C52" s="8">
        <v>4600</v>
      </c>
      <c r="D52" s="170" t="s">
        <v>311</v>
      </c>
      <c r="E52" s="52">
        <v>585850</v>
      </c>
      <c r="F52" s="127"/>
      <c r="G52" s="52">
        <v>490428</v>
      </c>
      <c r="H52" s="241"/>
      <c r="I52" s="96">
        <f t="shared" si="0"/>
        <v>83.71221302381156</v>
      </c>
    </row>
    <row r="53" spans="1:9" ht="24" customHeight="1">
      <c r="A53" s="80"/>
      <c r="B53" s="81"/>
      <c r="C53" s="8">
        <v>4610</v>
      </c>
      <c r="D53" s="170" t="s">
        <v>187</v>
      </c>
      <c r="E53" s="52">
        <v>170100</v>
      </c>
      <c r="F53" s="127"/>
      <c r="G53" s="52">
        <f>1270+98206.84</f>
        <v>99476.84</v>
      </c>
      <c r="H53" s="241"/>
      <c r="I53" s="96">
        <f t="shared" si="0"/>
        <v>58.4813874191652</v>
      </c>
    </row>
    <row r="54" spans="1:9" ht="24" customHeight="1">
      <c r="A54" s="80"/>
      <c r="B54" s="81"/>
      <c r="C54" s="15">
        <v>6060</v>
      </c>
      <c r="D54" s="170" t="s">
        <v>584</v>
      </c>
      <c r="E54" s="52">
        <v>741105</v>
      </c>
      <c r="F54" s="127"/>
      <c r="G54" s="52">
        <v>675485.9</v>
      </c>
      <c r="H54" s="241"/>
      <c r="I54" s="96">
        <f t="shared" si="0"/>
        <v>91.14577556486599</v>
      </c>
    </row>
    <row r="55" spans="1:9" ht="20.25" customHeight="1">
      <c r="A55" s="98"/>
      <c r="B55" s="46">
        <v>70095</v>
      </c>
      <c r="C55" s="24"/>
      <c r="D55" s="204" t="s">
        <v>250</v>
      </c>
      <c r="E55" s="91">
        <f>SUM(E56:E62)</f>
        <v>1723288.89</v>
      </c>
      <c r="F55" s="127"/>
      <c r="G55" s="91">
        <f>SUM(G56:G62)</f>
        <v>986828.85</v>
      </c>
      <c r="H55" s="241"/>
      <c r="I55" s="96">
        <f t="shared" si="0"/>
        <v>57.26427273607039</v>
      </c>
    </row>
    <row r="56" spans="1:9" ht="16.5" customHeight="1">
      <c r="A56" s="98"/>
      <c r="B56" s="552"/>
      <c r="C56" s="8">
        <v>4170</v>
      </c>
      <c r="D56" s="170" t="s">
        <v>572</v>
      </c>
      <c r="E56" s="52">
        <v>29700</v>
      </c>
      <c r="F56" s="127"/>
      <c r="G56" s="52">
        <v>0</v>
      </c>
      <c r="H56" s="241"/>
      <c r="I56" s="96"/>
    </row>
    <row r="57" spans="1:9" ht="16.5" customHeight="1">
      <c r="A57" s="81"/>
      <c r="B57" s="550"/>
      <c r="C57" s="15">
        <v>4300</v>
      </c>
      <c r="D57" s="170" t="s">
        <v>313</v>
      </c>
      <c r="E57" s="52">
        <v>20900</v>
      </c>
      <c r="F57" s="127"/>
      <c r="G57" s="52">
        <v>65.07</v>
      </c>
      <c r="H57" s="241"/>
      <c r="I57" s="96">
        <f t="shared" si="0"/>
        <v>0.31133971291866025</v>
      </c>
    </row>
    <row r="58" spans="1:9" ht="16.5" customHeight="1">
      <c r="A58" s="81"/>
      <c r="B58" s="550"/>
      <c r="C58" s="15">
        <v>4430</v>
      </c>
      <c r="D58" s="170" t="s">
        <v>586</v>
      </c>
      <c r="E58" s="52">
        <v>50000</v>
      </c>
      <c r="F58" s="127"/>
      <c r="G58" s="52">
        <v>47427.22</v>
      </c>
      <c r="H58" s="241"/>
      <c r="I58" s="96">
        <f t="shared" si="0"/>
        <v>94.85444000000001</v>
      </c>
    </row>
    <row r="59" spans="1:9" ht="16.5" customHeight="1">
      <c r="A59" s="81"/>
      <c r="B59" s="550"/>
      <c r="C59" s="8">
        <v>4580</v>
      </c>
      <c r="D59" s="170" t="s">
        <v>264</v>
      </c>
      <c r="E59" s="52">
        <v>8000</v>
      </c>
      <c r="F59" s="127"/>
      <c r="G59" s="52">
        <v>5481.8</v>
      </c>
      <c r="H59" s="241"/>
      <c r="I59" s="96">
        <f t="shared" si="0"/>
        <v>68.5225</v>
      </c>
    </row>
    <row r="60" spans="1:9" ht="24" customHeight="1">
      <c r="A60" s="81"/>
      <c r="B60" s="550"/>
      <c r="C60" s="8">
        <v>4590</v>
      </c>
      <c r="D60" s="170" t="s">
        <v>336</v>
      </c>
      <c r="E60" s="52">
        <v>35000</v>
      </c>
      <c r="F60" s="127"/>
      <c r="G60" s="52">
        <v>13566</v>
      </c>
      <c r="H60" s="241"/>
      <c r="I60" s="96">
        <f t="shared" si="0"/>
        <v>38.76</v>
      </c>
    </row>
    <row r="61" spans="1:9" ht="27.75" customHeight="1">
      <c r="A61" s="81"/>
      <c r="B61" s="550"/>
      <c r="C61" s="8">
        <v>4610</v>
      </c>
      <c r="D61" s="170" t="s">
        <v>583</v>
      </c>
      <c r="E61" s="52">
        <v>49000</v>
      </c>
      <c r="F61" s="127"/>
      <c r="G61" s="52">
        <v>20288.76</v>
      </c>
      <c r="H61" s="241"/>
      <c r="I61" s="96">
        <f t="shared" si="0"/>
        <v>41.40563265306122</v>
      </c>
    </row>
    <row r="62" spans="1:9" ht="53.25" customHeight="1">
      <c r="A62" s="81"/>
      <c r="B62" s="550"/>
      <c r="C62" s="8">
        <v>6010</v>
      </c>
      <c r="D62" s="170" t="s">
        <v>365</v>
      </c>
      <c r="E62" s="52">
        <v>1530688.89</v>
      </c>
      <c r="F62" s="127"/>
      <c r="G62" s="52">
        <v>900000</v>
      </c>
      <c r="H62" s="241"/>
      <c r="I62" s="96">
        <f t="shared" si="0"/>
        <v>58.79705574919277</v>
      </c>
    </row>
    <row r="63" spans="1:9" ht="24" customHeight="1">
      <c r="A63" s="58">
        <v>710</v>
      </c>
      <c r="B63" s="58"/>
      <c r="C63" s="10"/>
      <c r="D63" s="174" t="s">
        <v>259</v>
      </c>
      <c r="E63" s="33">
        <f>E64+E68+E70+E72</f>
        <v>423649.7</v>
      </c>
      <c r="F63" s="52"/>
      <c r="G63" s="33">
        <f>G64+G68+G70+G72</f>
        <v>41546.26</v>
      </c>
      <c r="H63" s="26"/>
      <c r="I63" s="132">
        <f t="shared" si="0"/>
        <v>9.806748358372495</v>
      </c>
    </row>
    <row r="64" spans="1:9" ht="20.25" customHeight="1">
      <c r="A64" s="98"/>
      <c r="B64" s="97">
        <v>71004</v>
      </c>
      <c r="C64" s="24"/>
      <c r="D64" s="175" t="s">
        <v>587</v>
      </c>
      <c r="E64" s="91">
        <f>SUM(E65:E67)</f>
        <v>276999.7</v>
      </c>
      <c r="F64" s="127"/>
      <c r="G64" s="91">
        <f>SUM(G65:G67)</f>
        <v>7133.19</v>
      </c>
      <c r="H64" s="241"/>
      <c r="I64" s="96">
        <f t="shared" si="0"/>
        <v>2.5751616337490617</v>
      </c>
    </row>
    <row r="65" spans="1:9" ht="16.5" customHeight="1">
      <c r="A65" s="80"/>
      <c r="B65" s="76"/>
      <c r="C65" s="8">
        <v>4170</v>
      </c>
      <c r="D65" s="170" t="s">
        <v>572</v>
      </c>
      <c r="E65" s="52">
        <v>67000</v>
      </c>
      <c r="F65" s="127"/>
      <c r="G65" s="52">
        <v>288</v>
      </c>
      <c r="H65" s="241"/>
      <c r="I65" s="96">
        <f t="shared" si="0"/>
        <v>0.4298507462686567</v>
      </c>
    </row>
    <row r="66" spans="1:9" ht="16.5" customHeight="1">
      <c r="A66" s="80"/>
      <c r="B66" s="81"/>
      <c r="C66" s="8">
        <v>4300</v>
      </c>
      <c r="D66" s="170" t="s">
        <v>313</v>
      </c>
      <c r="E66" s="52">
        <v>209549.7</v>
      </c>
      <c r="F66" s="127"/>
      <c r="G66" s="52">
        <v>6414.69</v>
      </c>
      <c r="H66" s="241"/>
      <c r="I66" s="96">
        <f t="shared" si="0"/>
        <v>3.061178326669043</v>
      </c>
    </row>
    <row r="67" spans="1:9" ht="24" customHeight="1">
      <c r="A67" s="80"/>
      <c r="B67" s="81"/>
      <c r="C67" s="2">
        <v>4390</v>
      </c>
      <c r="D67" s="170" t="s">
        <v>261</v>
      </c>
      <c r="E67" s="52">
        <v>450</v>
      </c>
      <c r="F67" s="88"/>
      <c r="G67" s="52">
        <v>430.5</v>
      </c>
      <c r="H67" s="128"/>
      <c r="I67" s="96">
        <f t="shared" si="0"/>
        <v>95.66666666666667</v>
      </c>
    </row>
    <row r="68" spans="1:22" s="53" customFormat="1" ht="24" customHeight="1">
      <c r="A68" s="100"/>
      <c r="B68" s="46">
        <v>71014</v>
      </c>
      <c r="C68" s="36"/>
      <c r="D68" s="204" t="s">
        <v>589</v>
      </c>
      <c r="E68" s="121">
        <f>E69</f>
        <v>89650</v>
      </c>
      <c r="F68" s="233"/>
      <c r="G68" s="121">
        <f>G69</f>
        <v>34413.07</v>
      </c>
      <c r="H68" s="551"/>
      <c r="I68" s="250">
        <f t="shared" si="0"/>
        <v>38.38602342442833</v>
      </c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</row>
    <row r="69" spans="1:9" ht="16.5" customHeight="1">
      <c r="A69" s="80"/>
      <c r="B69" s="81"/>
      <c r="C69" s="15">
        <v>4300</v>
      </c>
      <c r="D69" s="170" t="s">
        <v>375</v>
      </c>
      <c r="E69" s="52">
        <v>89650</v>
      </c>
      <c r="F69" s="127"/>
      <c r="G69" s="52">
        <v>34413.07</v>
      </c>
      <c r="H69" s="241"/>
      <c r="I69" s="96">
        <f t="shared" si="0"/>
        <v>38.38602342442833</v>
      </c>
    </row>
    <row r="70" spans="1:22" s="53" customFormat="1" ht="20.25" customHeight="1">
      <c r="A70" s="98"/>
      <c r="B70" s="46">
        <v>71035</v>
      </c>
      <c r="C70" s="24"/>
      <c r="D70" s="175" t="s">
        <v>376</v>
      </c>
      <c r="E70" s="91">
        <f>SUM(E71:E71)</f>
        <v>7000</v>
      </c>
      <c r="F70" s="233"/>
      <c r="G70" s="91">
        <f>SUM(G71:G71)</f>
        <v>0</v>
      </c>
      <c r="H70" s="551"/>
      <c r="I70" s="96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</row>
    <row r="71" spans="1:9" ht="16.5" customHeight="1">
      <c r="A71" s="80"/>
      <c r="B71" s="98"/>
      <c r="C71" s="8">
        <v>4300</v>
      </c>
      <c r="D71" s="170" t="s">
        <v>331</v>
      </c>
      <c r="E71" s="52">
        <v>7000</v>
      </c>
      <c r="F71" s="127"/>
      <c r="G71" s="52">
        <v>0</v>
      </c>
      <c r="H71" s="241"/>
      <c r="I71" s="96"/>
    </row>
    <row r="72" spans="1:9" ht="20.25" customHeight="1">
      <c r="A72" s="80"/>
      <c r="B72" s="46">
        <v>71095</v>
      </c>
      <c r="C72" s="8"/>
      <c r="D72" s="175" t="s">
        <v>250</v>
      </c>
      <c r="E72" s="26">
        <f>SUM(E73)</f>
        <v>50000</v>
      </c>
      <c r="F72" s="127"/>
      <c r="G72" s="26">
        <f>SUM(G73)</f>
        <v>0</v>
      </c>
      <c r="H72" s="241"/>
      <c r="I72" s="96"/>
    </row>
    <row r="73" spans="1:9" ht="16.5" customHeight="1">
      <c r="A73" s="80"/>
      <c r="B73" s="98"/>
      <c r="C73" s="8">
        <v>4300</v>
      </c>
      <c r="D73" s="170" t="s">
        <v>331</v>
      </c>
      <c r="E73" s="26">
        <v>50000</v>
      </c>
      <c r="F73" s="127"/>
      <c r="G73" s="26">
        <v>0</v>
      </c>
      <c r="H73" s="241"/>
      <c r="I73" s="96"/>
    </row>
    <row r="74" spans="1:9" ht="24.75" customHeight="1">
      <c r="A74" s="58">
        <v>750</v>
      </c>
      <c r="B74" s="58"/>
      <c r="C74" s="10"/>
      <c r="D74" s="174" t="s">
        <v>251</v>
      </c>
      <c r="E74" s="84">
        <f>E75+E81+E86+E115+E120</f>
        <v>31454995.5</v>
      </c>
      <c r="F74" s="33">
        <f>F75+F81+F86+F115+F120</f>
        <v>641553.9999999999</v>
      </c>
      <c r="G74" s="84">
        <f>G75+G81+G86+G115+G120</f>
        <v>15953534.759999998</v>
      </c>
      <c r="H74" s="84">
        <f>H75+H81+H86+H115+H120</f>
        <v>274826</v>
      </c>
      <c r="I74" s="132">
        <f t="shared" si="0"/>
        <v>50.718604490024475</v>
      </c>
    </row>
    <row r="75" spans="1:9" ht="20.25" customHeight="1">
      <c r="A75" s="101"/>
      <c r="B75" s="75">
        <v>75011</v>
      </c>
      <c r="C75" s="24"/>
      <c r="D75" s="175" t="s">
        <v>377</v>
      </c>
      <c r="E75" s="91">
        <f>SUM(E76:E80)</f>
        <v>1823904</v>
      </c>
      <c r="F75" s="91">
        <f>SUM(F76:F80)</f>
        <v>641553.9999999999</v>
      </c>
      <c r="G75" s="91">
        <f>SUM(G76:G80)</f>
        <v>916157.35</v>
      </c>
      <c r="H75" s="28">
        <f>SUM(H76:H80)</f>
        <v>274826</v>
      </c>
      <c r="I75" s="96">
        <f t="shared" si="0"/>
        <v>50.23056860448796</v>
      </c>
    </row>
    <row r="76" spans="1:9" ht="16.5" customHeight="1">
      <c r="A76" s="101"/>
      <c r="B76" s="553"/>
      <c r="C76" s="2">
        <v>4010</v>
      </c>
      <c r="D76" s="170" t="s">
        <v>378</v>
      </c>
      <c r="E76" s="52">
        <v>1407697.18</v>
      </c>
      <c r="F76" s="52">
        <v>511297.18</v>
      </c>
      <c r="G76" s="52">
        <f>457989.07+207459.32</f>
        <v>665448.39</v>
      </c>
      <c r="H76" s="26">
        <v>207459.32</v>
      </c>
      <c r="I76" s="96">
        <f t="shared" si="0"/>
        <v>47.27212638161284</v>
      </c>
    </row>
    <row r="77" spans="1:9" ht="16.5" customHeight="1">
      <c r="A77" s="101"/>
      <c r="B77" s="553"/>
      <c r="C77" s="2">
        <v>4040</v>
      </c>
      <c r="D77" s="170" t="s">
        <v>379</v>
      </c>
      <c r="E77" s="52">
        <v>103000</v>
      </c>
      <c r="F77" s="52">
        <v>29750</v>
      </c>
      <c r="G77" s="52">
        <f>69479.35+29750</f>
        <v>99229.35</v>
      </c>
      <c r="H77" s="26">
        <v>29750</v>
      </c>
      <c r="I77" s="96">
        <f t="shared" si="0"/>
        <v>96.33917475728155</v>
      </c>
    </row>
    <row r="78" spans="1:9" ht="16.5" customHeight="1">
      <c r="A78" s="101"/>
      <c r="B78" s="553"/>
      <c r="C78" s="2">
        <v>4110</v>
      </c>
      <c r="D78" s="170" t="s">
        <v>565</v>
      </c>
      <c r="E78" s="52">
        <v>249800</v>
      </c>
      <c r="F78" s="52">
        <v>64990</v>
      </c>
      <c r="G78" s="52">
        <f>101271.7+17057.54</f>
        <v>118329.23999999999</v>
      </c>
      <c r="H78" s="26">
        <v>17057.54</v>
      </c>
      <c r="I78" s="96">
        <f t="shared" si="0"/>
        <v>47.36959167333867</v>
      </c>
    </row>
    <row r="79" spans="1:9" ht="16.5" customHeight="1">
      <c r="A79" s="101"/>
      <c r="B79" s="553"/>
      <c r="C79" s="2">
        <v>4120</v>
      </c>
      <c r="D79" s="170" t="s">
        <v>566</v>
      </c>
      <c r="E79" s="52">
        <v>34600</v>
      </c>
      <c r="F79" s="52">
        <v>10480</v>
      </c>
      <c r="G79" s="52">
        <f>9763.73+1781.52</f>
        <v>11545.25</v>
      </c>
      <c r="H79" s="26">
        <v>1781.52</v>
      </c>
      <c r="I79" s="96">
        <f aca="true" t="shared" si="1" ref="I79:I139">G79/E79*100</f>
        <v>33.36777456647399</v>
      </c>
    </row>
    <row r="80" spans="1:9" ht="24" customHeight="1">
      <c r="A80" s="101"/>
      <c r="B80" s="553"/>
      <c r="C80" s="2">
        <v>4440</v>
      </c>
      <c r="D80" s="170" t="s">
        <v>567</v>
      </c>
      <c r="E80" s="52">
        <v>28806.82</v>
      </c>
      <c r="F80" s="73">
        <v>25036.82</v>
      </c>
      <c r="G80" s="52">
        <f>2827.5+18777.62</f>
        <v>21605.12</v>
      </c>
      <c r="H80" s="129">
        <v>18777.62</v>
      </c>
      <c r="I80" s="96">
        <f t="shared" si="1"/>
        <v>75.00001735700087</v>
      </c>
    </row>
    <row r="81" spans="1:9" ht="20.25" customHeight="1">
      <c r="A81" s="98"/>
      <c r="B81" s="75">
        <v>75022</v>
      </c>
      <c r="C81" s="24"/>
      <c r="D81" s="175" t="s">
        <v>568</v>
      </c>
      <c r="E81" s="91">
        <f>SUM(E82:E85)</f>
        <v>442500</v>
      </c>
      <c r="F81" s="73"/>
      <c r="G81" s="91">
        <f>SUM(G82:G85)</f>
        <v>191510.94</v>
      </c>
      <c r="H81" s="129"/>
      <c r="I81" s="96">
        <f t="shared" si="1"/>
        <v>43.279308474576276</v>
      </c>
    </row>
    <row r="82" spans="1:9" ht="16.5" customHeight="1">
      <c r="A82" s="81"/>
      <c r="B82" s="553"/>
      <c r="C82" s="2">
        <v>3030</v>
      </c>
      <c r="D82" s="170" t="s">
        <v>588</v>
      </c>
      <c r="E82" s="52">
        <v>375000</v>
      </c>
      <c r="F82" s="127"/>
      <c r="G82" s="52">
        <v>187968.16</v>
      </c>
      <c r="H82" s="241"/>
      <c r="I82" s="96">
        <f t="shared" si="1"/>
        <v>50.124842666666666</v>
      </c>
    </row>
    <row r="83" spans="1:9" ht="16.5" customHeight="1">
      <c r="A83" s="81"/>
      <c r="B83" s="553"/>
      <c r="C83" s="2">
        <v>4210</v>
      </c>
      <c r="D83" s="170" t="s">
        <v>334</v>
      </c>
      <c r="E83" s="52">
        <v>33000</v>
      </c>
      <c r="F83" s="127"/>
      <c r="G83" s="52">
        <v>1753.88</v>
      </c>
      <c r="H83" s="241"/>
      <c r="I83" s="96">
        <f t="shared" si="1"/>
        <v>5.314787878787879</v>
      </c>
    </row>
    <row r="84" spans="1:9" ht="16.5" customHeight="1">
      <c r="A84" s="81"/>
      <c r="B84" s="553"/>
      <c r="C84" s="2">
        <v>4300</v>
      </c>
      <c r="D84" s="170" t="s">
        <v>331</v>
      </c>
      <c r="E84" s="52">
        <v>34200</v>
      </c>
      <c r="F84" s="127"/>
      <c r="G84" s="52">
        <v>1615.5</v>
      </c>
      <c r="H84" s="241"/>
      <c r="I84" s="96">
        <f t="shared" si="1"/>
        <v>4.723684210526316</v>
      </c>
    </row>
    <row r="85" spans="1:9" ht="16.5" customHeight="1">
      <c r="A85" s="81"/>
      <c r="B85" s="553"/>
      <c r="C85" s="2">
        <v>4430</v>
      </c>
      <c r="D85" s="170" t="s">
        <v>586</v>
      </c>
      <c r="E85" s="41">
        <v>300</v>
      </c>
      <c r="F85" s="127"/>
      <c r="G85" s="41">
        <v>173.4</v>
      </c>
      <c r="H85" s="241"/>
      <c r="I85" s="96">
        <f t="shared" si="1"/>
        <v>57.800000000000004</v>
      </c>
    </row>
    <row r="86" spans="1:9" ht="24.75" customHeight="1">
      <c r="A86" s="98"/>
      <c r="B86" s="46">
        <v>75023</v>
      </c>
      <c r="C86" s="24"/>
      <c r="D86" s="175" t="s">
        <v>308</v>
      </c>
      <c r="E86" s="38">
        <f>SUM(E87:E114)</f>
        <v>28441953</v>
      </c>
      <c r="F86" s="127"/>
      <c r="G86" s="38">
        <f>SUM(G87:G114)</f>
        <v>14360652.61</v>
      </c>
      <c r="H86" s="241"/>
      <c r="I86" s="96">
        <f t="shared" si="1"/>
        <v>50.49109183887618</v>
      </c>
    </row>
    <row r="87" spans="1:9" ht="24.75" customHeight="1">
      <c r="A87" s="80"/>
      <c r="B87" s="81"/>
      <c r="C87" s="15">
        <v>3020</v>
      </c>
      <c r="D87" s="170" t="s">
        <v>571</v>
      </c>
      <c r="E87" s="52">
        <v>161200</v>
      </c>
      <c r="F87" s="127"/>
      <c r="G87" s="52">
        <f>90858.29+1932.64</f>
        <v>92790.93</v>
      </c>
      <c r="H87" s="241"/>
      <c r="I87" s="96">
        <f t="shared" si="1"/>
        <v>57.56261166253102</v>
      </c>
    </row>
    <row r="88" spans="1:9" ht="16.5" customHeight="1">
      <c r="A88" s="80"/>
      <c r="B88" s="81"/>
      <c r="C88" s="8">
        <v>4010</v>
      </c>
      <c r="D88" s="170" t="s">
        <v>378</v>
      </c>
      <c r="E88" s="52">
        <v>17747948.8</v>
      </c>
      <c r="F88" s="127"/>
      <c r="G88" s="52">
        <f>7598572.92+1016893.32</f>
        <v>8615466.24</v>
      </c>
      <c r="H88" s="241"/>
      <c r="I88" s="96">
        <f t="shared" si="1"/>
        <v>48.54344767999331</v>
      </c>
    </row>
    <row r="89" spans="1:9" ht="16.5" customHeight="1">
      <c r="A89" s="80"/>
      <c r="B89" s="81"/>
      <c r="C89" s="8">
        <v>4040</v>
      </c>
      <c r="D89" s="170" t="s">
        <v>379</v>
      </c>
      <c r="E89" s="52">
        <v>1340655</v>
      </c>
      <c r="F89" s="127"/>
      <c r="G89" s="52">
        <f>1134024.42+140654.79</f>
        <v>1274679.21</v>
      </c>
      <c r="H89" s="241"/>
      <c r="I89" s="96">
        <f t="shared" si="1"/>
        <v>95.07883907492979</v>
      </c>
    </row>
    <row r="90" spans="1:9" ht="16.5" customHeight="1">
      <c r="A90" s="80"/>
      <c r="B90" s="81"/>
      <c r="C90" s="8">
        <v>4110</v>
      </c>
      <c r="D90" s="170" t="s">
        <v>565</v>
      </c>
      <c r="E90" s="52">
        <v>3005787</v>
      </c>
      <c r="F90" s="127"/>
      <c r="G90" s="52">
        <f>1288710.26+199187.54</f>
        <v>1487897.8</v>
      </c>
      <c r="H90" s="241"/>
      <c r="I90" s="96">
        <f t="shared" si="1"/>
        <v>49.50110570043719</v>
      </c>
    </row>
    <row r="91" spans="1:9" ht="16.5" customHeight="1">
      <c r="A91" s="80"/>
      <c r="B91" s="81"/>
      <c r="C91" s="8">
        <v>4120</v>
      </c>
      <c r="D91" s="170" t="s">
        <v>566</v>
      </c>
      <c r="E91" s="52">
        <v>409577</v>
      </c>
      <c r="F91" s="127"/>
      <c r="G91" s="52">
        <f>125746.51+19206.92</f>
        <v>144953.43</v>
      </c>
      <c r="H91" s="241"/>
      <c r="I91" s="96">
        <f t="shared" si="1"/>
        <v>35.39100828415658</v>
      </c>
    </row>
    <row r="92" spans="1:9" ht="24" customHeight="1">
      <c r="A92" s="80"/>
      <c r="B92" s="81"/>
      <c r="C92" s="15">
        <v>4140</v>
      </c>
      <c r="D92" s="170" t="s">
        <v>220</v>
      </c>
      <c r="E92" s="52">
        <v>15000</v>
      </c>
      <c r="F92" s="127"/>
      <c r="G92" s="52">
        <v>0</v>
      </c>
      <c r="H92" s="241"/>
      <c r="I92" s="96"/>
    </row>
    <row r="93" spans="1:9" ht="16.5" customHeight="1">
      <c r="A93" s="80"/>
      <c r="B93" s="81"/>
      <c r="C93" s="8">
        <v>4170</v>
      </c>
      <c r="D93" s="170" t="s">
        <v>572</v>
      </c>
      <c r="E93" s="52">
        <v>133000</v>
      </c>
      <c r="F93" s="127"/>
      <c r="G93" s="52">
        <f>36408.24+36340.06</f>
        <v>72748.29999999999</v>
      </c>
      <c r="H93" s="241"/>
      <c r="I93" s="96">
        <f t="shared" si="1"/>
        <v>54.697969924812014</v>
      </c>
    </row>
    <row r="94" spans="1:9" ht="16.5" customHeight="1">
      <c r="A94" s="80"/>
      <c r="B94" s="81"/>
      <c r="C94" s="8">
        <v>4210</v>
      </c>
      <c r="D94" s="205" t="s">
        <v>573</v>
      </c>
      <c r="E94" s="52">
        <v>1092453</v>
      </c>
      <c r="F94" s="127"/>
      <c r="G94" s="52">
        <f>162567.38+230990.07</f>
        <v>393557.45</v>
      </c>
      <c r="H94" s="241"/>
      <c r="I94" s="96">
        <f t="shared" si="1"/>
        <v>36.025115039274006</v>
      </c>
    </row>
    <row r="95" spans="1:9" ht="16.5" customHeight="1">
      <c r="A95" s="80"/>
      <c r="B95" s="81"/>
      <c r="C95" s="8">
        <v>4260</v>
      </c>
      <c r="D95" s="170" t="s">
        <v>579</v>
      </c>
      <c r="E95" s="52">
        <v>970000</v>
      </c>
      <c r="F95" s="127"/>
      <c r="G95" s="52">
        <v>483141.46</v>
      </c>
      <c r="H95" s="241"/>
      <c r="I95" s="96">
        <f t="shared" si="1"/>
        <v>49.80839793814433</v>
      </c>
    </row>
    <row r="96" spans="1:9" ht="16.5" customHeight="1">
      <c r="A96" s="80"/>
      <c r="B96" s="81"/>
      <c r="C96" s="8">
        <v>4270</v>
      </c>
      <c r="D96" s="170" t="s">
        <v>585</v>
      </c>
      <c r="E96" s="52">
        <v>230000</v>
      </c>
      <c r="F96" s="127"/>
      <c r="G96" s="52">
        <v>95122.53</v>
      </c>
      <c r="H96" s="241"/>
      <c r="I96" s="96">
        <f t="shared" si="1"/>
        <v>41.35762173913044</v>
      </c>
    </row>
    <row r="97" spans="1:9" ht="16.5" customHeight="1">
      <c r="A97" s="80"/>
      <c r="B97" s="81"/>
      <c r="C97" s="8">
        <v>4280</v>
      </c>
      <c r="D97" s="205" t="s">
        <v>179</v>
      </c>
      <c r="E97" s="52">
        <v>45100</v>
      </c>
      <c r="F97" s="127"/>
      <c r="G97" s="52">
        <f>3040+710</f>
        <v>3750</v>
      </c>
      <c r="H97" s="241"/>
      <c r="I97" s="96">
        <f t="shared" si="1"/>
        <v>8.314855875831485</v>
      </c>
    </row>
    <row r="98" spans="1:9" ht="16.5" customHeight="1">
      <c r="A98" s="80"/>
      <c r="B98" s="81"/>
      <c r="C98" s="8">
        <v>4300</v>
      </c>
      <c r="D98" s="170" t="s">
        <v>313</v>
      </c>
      <c r="E98" s="52">
        <v>1503890</v>
      </c>
      <c r="F98" s="127"/>
      <c r="G98" s="52">
        <f>323529.1+424961.29</f>
        <v>748490.3899999999</v>
      </c>
      <c r="H98" s="241"/>
      <c r="I98" s="96">
        <f t="shared" si="1"/>
        <v>49.77028838545372</v>
      </c>
    </row>
    <row r="99" spans="1:9" ht="24" customHeight="1">
      <c r="A99" s="80"/>
      <c r="B99" s="81"/>
      <c r="C99" s="8">
        <v>4360</v>
      </c>
      <c r="D99" s="170" t="s">
        <v>90</v>
      </c>
      <c r="E99" s="52">
        <v>155100</v>
      </c>
      <c r="F99" s="127"/>
      <c r="G99" s="52">
        <f>9800.01+52889.57</f>
        <v>62689.58</v>
      </c>
      <c r="H99" s="241"/>
      <c r="I99" s="96">
        <f t="shared" si="1"/>
        <v>40.418813668600905</v>
      </c>
    </row>
    <row r="100" spans="1:9" ht="16.5" customHeight="1">
      <c r="A100" s="80"/>
      <c r="B100" s="81"/>
      <c r="C100" s="8">
        <v>4380</v>
      </c>
      <c r="D100" s="170" t="s">
        <v>307</v>
      </c>
      <c r="E100" s="52">
        <v>4000</v>
      </c>
      <c r="F100" s="127"/>
      <c r="G100" s="52">
        <v>0</v>
      </c>
      <c r="H100" s="241"/>
      <c r="I100" s="96"/>
    </row>
    <row r="101" spans="1:9" ht="24" customHeight="1">
      <c r="A101" s="80"/>
      <c r="B101" s="81"/>
      <c r="C101" s="8">
        <v>4390</v>
      </c>
      <c r="D101" s="170" t="s">
        <v>261</v>
      </c>
      <c r="E101" s="52">
        <v>20500</v>
      </c>
      <c r="F101" s="127"/>
      <c r="G101" s="52">
        <v>0</v>
      </c>
      <c r="H101" s="241"/>
      <c r="I101" s="96"/>
    </row>
    <row r="102" spans="1:9" ht="27.75" customHeight="1">
      <c r="A102" s="80"/>
      <c r="B102" s="81"/>
      <c r="C102" s="8">
        <v>4400</v>
      </c>
      <c r="D102" s="170" t="s">
        <v>184</v>
      </c>
      <c r="E102" s="52">
        <v>130000</v>
      </c>
      <c r="F102" s="127"/>
      <c r="G102" s="52">
        <v>64334.52</v>
      </c>
      <c r="H102" s="241"/>
      <c r="I102" s="96">
        <f t="shared" si="1"/>
        <v>49.488092307692305</v>
      </c>
    </row>
    <row r="103" spans="1:9" ht="16.5" customHeight="1">
      <c r="A103" s="80"/>
      <c r="B103" s="81"/>
      <c r="C103" s="2">
        <v>4410</v>
      </c>
      <c r="D103" s="170" t="s">
        <v>575</v>
      </c>
      <c r="E103" s="52">
        <v>337500</v>
      </c>
      <c r="F103" s="88"/>
      <c r="G103" s="52">
        <f>143004.85+4039.07</f>
        <v>147043.92</v>
      </c>
      <c r="H103" s="128"/>
      <c r="I103" s="96">
        <f t="shared" si="1"/>
        <v>43.56856888888889</v>
      </c>
    </row>
    <row r="104" spans="1:9" ht="16.5" customHeight="1">
      <c r="A104" s="80"/>
      <c r="B104" s="81"/>
      <c r="C104" s="19">
        <v>4420</v>
      </c>
      <c r="D104" s="205" t="s">
        <v>576</v>
      </c>
      <c r="E104" s="88">
        <v>46000</v>
      </c>
      <c r="F104" s="127"/>
      <c r="G104" s="88">
        <f>10901.57+2151.33</f>
        <v>13052.9</v>
      </c>
      <c r="H104" s="241"/>
      <c r="I104" s="250">
        <f t="shared" si="1"/>
        <v>28.375869565217393</v>
      </c>
    </row>
    <row r="105" spans="1:9" ht="16.5" customHeight="1">
      <c r="A105" s="80"/>
      <c r="B105" s="81"/>
      <c r="C105" s="8">
        <v>4430</v>
      </c>
      <c r="D105" s="170" t="s">
        <v>586</v>
      </c>
      <c r="E105" s="52">
        <v>127300</v>
      </c>
      <c r="F105" s="127"/>
      <c r="G105" s="52">
        <f>61954.04+3693</f>
        <v>65647.04000000001</v>
      </c>
      <c r="H105" s="241"/>
      <c r="I105" s="96">
        <f t="shared" si="1"/>
        <v>51.56876669285154</v>
      </c>
    </row>
    <row r="106" spans="1:9" ht="24" customHeight="1">
      <c r="A106" s="80"/>
      <c r="B106" s="81"/>
      <c r="C106" s="8">
        <v>4440</v>
      </c>
      <c r="D106" s="170" t="s">
        <v>567</v>
      </c>
      <c r="E106" s="52">
        <v>380874.2</v>
      </c>
      <c r="F106" s="127"/>
      <c r="G106" s="52">
        <f>243741.15+55885.2</f>
        <v>299626.35</v>
      </c>
      <c r="H106" s="241"/>
      <c r="I106" s="96">
        <f t="shared" si="1"/>
        <v>78.66806152792705</v>
      </c>
    </row>
    <row r="107" spans="1:9" ht="15.75" customHeight="1">
      <c r="A107" s="80"/>
      <c r="B107" s="81"/>
      <c r="C107" s="8">
        <v>4480</v>
      </c>
      <c r="D107" s="170" t="s">
        <v>222</v>
      </c>
      <c r="E107" s="52">
        <v>38368</v>
      </c>
      <c r="F107" s="127"/>
      <c r="G107" s="52">
        <v>19589.4</v>
      </c>
      <c r="H107" s="241"/>
      <c r="I107" s="96">
        <f t="shared" si="1"/>
        <v>51.056609674728946</v>
      </c>
    </row>
    <row r="108" spans="1:9" ht="23.25" customHeight="1">
      <c r="A108" s="80"/>
      <c r="B108" s="81"/>
      <c r="C108" s="8">
        <v>4520</v>
      </c>
      <c r="D108" s="170" t="s">
        <v>289</v>
      </c>
      <c r="E108" s="52">
        <v>31300</v>
      </c>
      <c r="F108" s="127"/>
      <c r="G108" s="52">
        <f>3269.86+13999.2</f>
        <v>17269.06</v>
      </c>
      <c r="H108" s="241"/>
      <c r="I108" s="96">
        <f t="shared" si="1"/>
        <v>55.17271565495208</v>
      </c>
    </row>
    <row r="109" spans="1:9" ht="16.5" customHeight="1">
      <c r="A109" s="80"/>
      <c r="B109" s="81"/>
      <c r="C109" s="8">
        <v>4530</v>
      </c>
      <c r="D109" s="170" t="s">
        <v>105</v>
      </c>
      <c r="E109" s="52">
        <v>3500</v>
      </c>
      <c r="F109" s="127"/>
      <c r="G109" s="52">
        <v>0.19</v>
      </c>
      <c r="H109" s="241"/>
      <c r="I109" s="96">
        <f t="shared" si="1"/>
        <v>0.0054285714285714284</v>
      </c>
    </row>
    <row r="110" spans="1:9" ht="24" customHeight="1">
      <c r="A110" s="80"/>
      <c r="B110" s="81"/>
      <c r="C110" s="8">
        <v>4610</v>
      </c>
      <c r="D110" s="170" t="s">
        <v>583</v>
      </c>
      <c r="E110" s="52">
        <v>220000</v>
      </c>
      <c r="F110" s="127"/>
      <c r="G110" s="52">
        <v>46112.43</v>
      </c>
      <c r="H110" s="241"/>
      <c r="I110" s="96">
        <f t="shared" si="1"/>
        <v>20.960195454545456</v>
      </c>
    </row>
    <row r="111" spans="1:9" ht="24" customHeight="1">
      <c r="A111" s="80"/>
      <c r="B111" s="81"/>
      <c r="C111" s="8">
        <v>4700</v>
      </c>
      <c r="D111" s="170" t="s">
        <v>290</v>
      </c>
      <c r="E111" s="52">
        <v>142900</v>
      </c>
      <c r="F111" s="127"/>
      <c r="G111" s="52">
        <f>57175.1+300</f>
        <v>57475.1</v>
      </c>
      <c r="H111" s="241"/>
      <c r="I111" s="96">
        <f t="shared" si="1"/>
        <v>40.22050384884535</v>
      </c>
    </row>
    <row r="112" spans="1:9" ht="21.75" customHeight="1">
      <c r="A112" s="80"/>
      <c r="B112" s="81"/>
      <c r="C112" s="8">
        <v>4990</v>
      </c>
      <c r="D112" s="170" t="s">
        <v>196</v>
      </c>
      <c r="E112" s="52"/>
      <c r="F112" s="127"/>
      <c r="G112" s="52">
        <v>61741.57</v>
      </c>
      <c r="H112" s="241"/>
      <c r="I112" s="96"/>
    </row>
    <row r="113" spans="1:9" ht="21.75" customHeight="1">
      <c r="A113" s="80"/>
      <c r="B113" s="81"/>
      <c r="C113" s="8">
        <v>6050</v>
      </c>
      <c r="D113" s="170" t="s">
        <v>95</v>
      </c>
      <c r="E113" s="52">
        <v>100000</v>
      </c>
      <c r="F113" s="127"/>
      <c r="G113" s="52">
        <f>6000+37515</f>
        <v>43515</v>
      </c>
      <c r="H113" s="241"/>
      <c r="I113" s="96">
        <f t="shared" si="1"/>
        <v>43.515</v>
      </c>
    </row>
    <row r="114" spans="1:9" ht="23.25" customHeight="1">
      <c r="A114" s="80"/>
      <c r="B114" s="86"/>
      <c r="C114" s="8">
        <v>6060</v>
      </c>
      <c r="D114" s="170" t="s">
        <v>584</v>
      </c>
      <c r="E114" s="52">
        <v>50000</v>
      </c>
      <c r="F114" s="127"/>
      <c r="G114" s="52">
        <v>49957.81</v>
      </c>
      <c r="H114" s="241"/>
      <c r="I114" s="96">
        <f t="shared" si="1"/>
        <v>99.91561999999999</v>
      </c>
    </row>
    <row r="115" spans="1:22" s="53" customFormat="1" ht="20.25" customHeight="1">
      <c r="A115" s="100"/>
      <c r="B115" s="97">
        <v>75075</v>
      </c>
      <c r="C115" s="23"/>
      <c r="D115" s="175" t="s">
        <v>577</v>
      </c>
      <c r="E115" s="151">
        <f>SUM(E116:E119)</f>
        <v>708416</v>
      </c>
      <c r="F115" s="233"/>
      <c r="G115" s="151">
        <f>SUM(G116:G119)</f>
        <v>455527.25</v>
      </c>
      <c r="H115" s="551"/>
      <c r="I115" s="96">
        <f t="shared" si="1"/>
        <v>64.30222496386304</v>
      </c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</row>
    <row r="116" spans="1:22" s="53" customFormat="1" ht="16.5" customHeight="1">
      <c r="A116" s="100"/>
      <c r="B116" s="97"/>
      <c r="C116" s="8">
        <v>4170</v>
      </c>
      <c r="D116" s="170" t="s">
        <v>572</v>
      </c>
      <c r="E116" s="52">
        <v>2916</v>
      </c>
      <c r="F116" s="233"/>
      <c r="G116" s="52">
        <v>2916</v>
      </c>
      <c r="H116" s="551"/>
      <c r="I116" s="96">
        <f t="shared" si="1"/>
        <v>100</v>
      </c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</row>
    <row r="117" spans="1:22" s="53" customFormat="1" ht="16.5" customHeight="1">
      <c r="A117" s="100"/>
      <c r="B117" s="98"/>
      <c r="C117" s="8">
        <v>4210</v>
      </c>
      <c r="D117" s="170" t="s">
        <v>573</v>
      </c>
      <c r="E117" s="52">
        <v>79000</v>
      </c>
      <c r="F117" s="233"/>
      <c r="G117" s="52">
        <v>55733.61</v>
      </c>
      <c r="H117" s="551"/>
      <c r="I117" s="96">
        <f t="shared" si="1"/>
        <v>70.54887341772152</v>
      </c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</row>
    <row r="118" spans="1:22" s="53" customFormat="1" ht="16.5" customHeight="1">
      <c r="A118" s="100"/>
      <c r="B118" s="98"/>
      <c r="C118" s="8">
        <v>4260</v>
      </c>
      <c r="D118" s="170" t="s">
        <v>579</v>
      </c>
      <c r="E118" s="52">
        <v>3000</v>
      </c>
      <c r="F118" s="233"/>
      <c r="G118" s="52">
        <v>373.13</v>
      </c>
      <c r="H118" s="551"/>
      <c r="I118" s="96">
        <f t="shared" si="1"/>
        <v>12.437666666666667</v>
      </c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</row>
    <row r="119" spans="1:22" s="53" customFormat="1" ht="16.5" customHeight="1">
      <c r="A119" s="100"/>
      <c r="B119" s="98"/>
      <c r="C119" s="8">
        <v>4300</v>
      </c>
      <c r="D119" s="170" t="s">
        <v>375</v>
      </c>
      <c r="E119" s="52">
        <v>623500</v>
      </c>
      <c r="F119" s="233"/>
      <c r="G119" s="52">
        <v>396504.51</v>
      </c>
      <c r="H119" s="551"/>
      <c r="I119" s="96">
        <f t="shared" si="1"/>
        <v>63.59334562951082</v>
      </c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</row>
    <row r="120" spans="1:22" s="53" customFormat="1" ht="20.25" customHeight="1">
      <c r="A120" s="100"/>
      <c r="B120" s="46">
        <v>75095</v>
      </c>
      <c r="C120" s="27"/>
      <c r="D120" s="175" t="s">
        <v>250</v>
      </c>
      <c r="E120" s="28">
        <f>SUM(E121:E125)</f>
        <v>38222.5</v>
      </c>
      <c r="F120" s="233"/>
      <c r="G120" s="28">
        <f>SUM(G121:G125)</f>
        <v>29686.61</v>
      </c>
      <c r="H120" s="551"/>
      <c r="I120" s="96">
        <f t="shared" si="1"/>
        <v>77.66789194845968</v>
      </c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</row>
    <row r="121" spans="1:22" s="53" customFormat="1" ht="46.5" customHeight="1">
      <c r="A121" s="100"/>
      <c r="B121" s="98"/>
      <c r="C121" s="2">
        <v>2320</v>
      </c>
      <c r="D121" s="170" t="s">
        <v>344</v>
      </c>
      <c r="E121" s="26">
        <v>4222.5</v>
      </c>
      <c r="F121" s="233"/>
      <c r="G121" s="26">
        <v>4181.58</v>
      </c>
      <c r="H121" s="551"/>
      <c r="I121" s="96">
        <f t="shared" si="1"/>
        <v>99.03090586145649</v>
      </c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</row>
    <row r="122" spans="1:22" s="53" customFormat="1" ht="18.75" customHeight="1">
      <c r="A122" s="100"/>
      <c r="B122" s="98"/>
      <c r="C122" s="15">
        <v>3020</v>
      </c>
      <c r="D122" s="170" t="s">
        <v>571</v>
      </c>
      <c r="E122" s="26">
        <v>1000</v>
      </c>
      <c r="F122" s="127"/>
      <c r="G122" s="26">
        <v>0</v>
      </c>
      <c r="H122" s="241"/>
      <c r="I122" s="96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</row>
    <row r="123" spans="1:22" s="53" customFormat="1" ht="15.75" customHeight="1">
      <c r="A123" s="100"/>
      <c r="B123" s="98"/>
      <c r="C123" s="2">
        <v>4210</v>
      </c>
      <c r="D123" s="205" t="s">
        <v>573</v>
      </c>
      <c r="E123" s="26">
        <v>10000</v>
      </c>
      <c r="F123" s="127"/>
      <c r="G123" s="26">
        <v>4916.43</v>
      </c>
      <c r="H123" s="241"/>
      <c r="I123" s="96">
        <f t="shared" si="1"/>
        <v>49.164300000000004</v>
      </c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</row>
    <row r="124" spans="1:22" s="53" customFormat="1" ht="15.75" customHeight="1">
      <c r="A124" s="100"/>
      <c r="B124" s="98"/>
      <c r="C124" s="2">
        <v>4300</v>
      </c>
      <c r="D124" s="170" t="s">
        <v>375</v>
      </c>
      <c r="E124" s="26">
        <v>22700</v>
      </c>
      <c r="F124" s="127"/>
      <c r="G124" s="26">
        <v>20588.6</v>
      </c>
      <c r="H124" s="241"/>
      <c r="I124" s="96">
        <f t="shared" si="1"/>
        <v>90.69867841409692</v>
      </c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</row>
    <row r="125" spans="1:22" s="53" customFormat="1" ht="24" customHeight="1">
      <c r="A125" s="100"/>
      <c r="B125" s="98"/>
      <c r="C125" s="8">
        <v>4610</v>
      </c>
      <c r="D125" s="170" t="s">
        <v>583</v>
      </c>
      <c r="E125" s="26">
        <v>300</v>
      </c>
      <c r="F125" s="127"/>
      <c r="G125" s="26">
        <v>0</v>
      </c>
      <c r="H125" s="241"/>
      <c r="I125" s="96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</row>
    <row r="126" spans="1:9" ht="39.75" customHeight="1">
      <c r="A126" s="59">
        <v>751</v>
      </c>
      <c r="B126" s="58"/>
      <c r="C126" s="10"/>
      <c r="D126" s="174" t="s">
        <v>309</v>
      </c>
      <c r="E126" s="65">
        <f>E127+E131</f>
        <v>252509.99999999997</v>
      </c>
      <c r="F126" s="65">
        <f>F127+F131</f>
        <v>252509.99999999997</v>
      </c>
      <c r="G126" s="65">
        <f>G127+G131</f>
        <v>232767.50999999998</v>
      </c>
      <c r="H126" s="533">
        <f>H127+H131</f>
        <v>232767.50999999998</v>
      </c>
      <c r="I126" s="132">
        <f t="shared" si="1"/>
        <v>92.18150172270406</v>
      </c>
    </row>
    <row r="127" spans="1:9" ht="34.5" customHeight="1">
      <c r="A127" s="97"/>
      <c r="B127" s="75">
        <v>75101</v>
      </c>
      <c r="C127" s="24"/>
      <c r="D127" s="175" t="s">
        <v>309</v>
      </c>
      <c r="E127" s="92">
        <f>E128+E129+E130</f>
        <v>13500</v>
      </c>
      <c r="F127" s="92">
        <f>F128+F129+F130</f>
        <v>13500</v>
      </c>
      <c r="G127" s="92">
        <f>G128+G129+G130</f>
        <v>3363.15</v>
      </c>
      <c r="H127" s="242">
        <f>H128+H129+H130</f>
        <v>3363.15</v>
      </c>
      <c r="I127" s="96">
        <f t="shared" si="1"/>
        <v>24.912222222222223</v>
      </c>
    </row>
    <row r="128" spans="1:9" ht="16.5" customHeight="1">
      <c r="A128" s="81"/>
      <c r="B128" s="76"/>
      <c r="C128" s="8">
        <v>4110</v>
      </c>
      <c r="D128" s="170" t="s">
        <v>565</v>
      </c>
      <c r="E128" s="96">
        <v>1939.7</v>
      </c>
      <c r="F128" s="96">
        <v>1939.7</v>
      </c>
      <c r="G128" s="96">
        <v>484.63</v>
      </c>
      <c r="H128" s="118">
        <v>484.63</v>
      </c>
      <c r="I128" s="96">
        <f t="shared" si="1"/>
        <v>24.984791462597308</v>
      </c>
    </row>
    <row r="129" spans="1:9" ht="16.5" customHeight="1">
      <c r="A129" s="81"/>
      <c r="B129" s="81"/>
      <c r="C129" s="8">
        <v>4120</v>
      </c>
      <c r="D129" s="170" t="s">
        <v>566</v>
      </c>
      <c r="E129" s="96">
        <v>276.45</v>
      </c>
      <c r="F129" s="96">
        <v>276.45</v>
      </c>
      <c r="G129" s="96">
        <v>59.27</v>
      </c>
      <c r="H129" s="118">
        <v>59.27</v>
      </c>
      <c r="I129" s="96">
        <f t="shared" si="1"/>
        <v>21.439681678422865</v>
      </c>
    </row>
    <row r="130" spans="1:9" ht="16.5" customHeight="1">
      <c r="A130" s="80"/>
      <c r="B130" s="81"/>
      <c r="C130" s="15">
        <v>4170</v>
      </c>
      <c r="D130" s="170" t="s">
        <v>572</v>
      </c>
      <c r="E130" s="96">
        <v>11283.85</v>
      </c>
      <c r="F130" s="96">
        <v>11283.85</v>
      </c>
      <c r="G130" s="96">
        <v>2819.25</v>
      </c>
      <c r="H130" s="118">
        <v>2819.25</v>
      </c>
      <c r="I130" s="96">
        <f t="shared" si="1"/>
        <v>24.984823442353452</v>
      </c>
    </row>
    <row r="131" spans="1:22" s="53" customFormat="1" ht="20.25" customHeight="1">
      <c r="A131" s="100"/>
      <c r="B131" s="46">
        <v>75107</v>
      </c>
      <c r="C131" s="23"/>
      <c r="D131" s="175" t="s">
        <v>685</v>
      </c>
      <c r="E131" s="554">
        <f>SUM(E132:E139)</f>
        <v>239009.99999999997</v>
      </c>
      <c r="F131" s="554">
        <f>SUM(F132:F139)</f>
        <v>239009.99999999997</v>
      </c>
      <c r="G131" s="554">
        <f>SUM(G132:G139)</f>
        <v>229404.36</v>
      </c>
      <c r="H131" s="119">
        <f>SUM(H132:H139)</f>
        <v>229404.36</v>
      </c>
      <c r="I131" s="96">
        <f t="shared" si="1"/>
        <v>95.98107192167691</v>
      </c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</row>
    <row r="132" spans="1:9" ht="16.5" customHeight="1">
      <c r="A132" s="80"/>
      <c r="B132" s="81"/>
      <c r="C132" s="19">
        <v>3030</v>
      </c>
      <c r="D132" s="170" t="s">
        <v>588</v>
      </c>
      <c r="E132" s="96">
        <v>142911.51</v>
      </c>
      <c r="F132" s="96">
        <v>142911.51</v>
      </c>
      <c r="G132" s="96">
        <v>139231.51</v>
      </c>
      <c r="H132" s="118">
        <v>139231.51</v>
      </c>
      <c r="I132" s="96">
        <f t="shared" si="1"/>
        <v>97.42497997537077</v>
      </c>
    </row>
    <row r="133" spans="1:9" ht="16.5" customHeight="1">
      <c r="A133" s="80"/>
      <c r="B133" s="81"/>
      <c r="C133" s="8">
        <v>4110</v>
      </c>
      <c r="D133" s="170" t="s">
        <v>565</v>
      </c>
      <c r="E133" s="96">
        <v>4563.74</v>
      </c>
      <c r="F133" s="96">
        <v>4563.74</v>
      </c>
      <c r="G133" s="96">
        <v>3013.83</v>
      </c>
      <c r="H133" s="118">
        <v>3013.83</v>
      </c>
      <c r="I133" s="96">
        <f t="shared" si="1"/>
        <v>66.03859992024086</v>
      </c>
    </row>
    <row r="134" spans="1:9" ht="16.5" customHeight="1">
      <c r="A134" s="80"/>
      <c r="B134" s="81"/>
      <c r="C134" s="8">
        <v>4120</v>
      </c>
      <c r="D134" s="170" t="s">
        <v>566</v>
      </c>
      <c r="E134" s="96">
        <v>582.24</v>
      </c>
      <c r="F134" s="96">
        <v>582.24</v>
      </c>
      <c r="G134" s="96">
        <v>383.92</v>
      </c>
      <c r="H134" s="118">
        <v>383.92</v>
      </c>
      <c r="I134" s="96">
        <f t="shared" si="1"/>
        <v>65.93844462764496</v>
      </c>
    </row>
    <row r="135" spans="1:9" ht="16.5" customHeight="1">
      <c r="A135" s="80"/>
      <c r="B135" s="81"/>
      <c r="C135" s="8">
        <v>4170</v>
      </c>
      <c r="D135" s="170" t="s">
        <v>572</v>
      </c>
      <c r="E135" s="96">
        <v>46687.89</v>
      </c>
      <c r="F135" s="96">
        <v>46687.89</v>
      </c>
      <c r="G135" s="96">
        <v>42673.65</v>
      </c>
      <c r="H135" s="118">
        <v>42673.65</v>
      </c>
      <c r="I135" s="96">
        <f t="shared" si="1"/>
        <v>91.40196740525221</v>
      </c>
    </row>
    <row r="136" spans="1:9" ht="16.5" customHeight="1">
      <c r="A136" s="80"/>
      <c r="B136" s="81"/>
      <c r="C136" s="2">
        <v>4210</v>
      </c>
      <c r="D136" s="170" t="s">
        <v>573</v>
      </c>
      <c r="E136" s="96">
        <v>38601.52</v>
      </c>
      <c r="F136" s="96">
        <v>38601.52</v>
      </c>
      <c r="G136" s="96">
        <v>38601.51</v>
      </c>
      <c r="H136" s="118">
        <v>38601.51</v>
      </c>
      <c r="I136" s="96">
        <f t="shared" si="1"/>
        <v>99.99997409428438</v>
      </c>
    </row>
    <row r="137" spans="1:9" ht="16.5" customHeight="1">
      <c r="A137" s="80"/>
      <c r="B137" s="81"/>
      <c r="C137" s="8">
        <v>4300</v>
      </c>
      <c r="D137" s="170" t="s">
        <v>375</v>
      </c>
      <c r="E137" s="96">
        <v>3302.96</v>
      </c>
      <c r="F137" s="96">
        <v>3302.96</v>
      </c>
      <c r="G137" s="96">
        <v>3302.96</v>
      </c>
      <c r="H137" s="118">
        <v>3302.96</v>
      </c>
      <c r="I137" s="96">
        <f t="shared" si="1"/>
        <v>100</v>
      </c>
    </row>
    <row r="138" spans="1:9" ht="23.25" customHeight="1">
      <c r="A138" s="80"/>
      <c r="B138" s="81"/>
      <c r="C138" s="8">
        <v>4360</v>
      </c>
      <c r="D138" s="170" t="s">
        <v>90</v>
      </c>
      <c r="E138" s="96">
        <v>593.86</v>
      </c>
      <c r="F138" s="96">
        <v>593.86</v>
      </c>
      <c r="G138" s="96">
        <v>593.86</v>
      </c>
      <c r="H138" s="118">
        <v>593.86</v>
      </c>
      <c r="I138" s="96">
        <f t="shared" si="1"/>
        <v>100</v>
      </c>
    </row>
    <row r="139" spans="1:9" ht="16.5" customHeight="1">
      <c r="A139" s="80"/>
      <c r="B139" s="81"/>
      <c r="C139" s="8">
        <v>4410</v>
      </c>
      <c r="D139" s="170" t="s">
        <v>575</v>
      </c>
      <c r="E139" s="96">
        <v>1766.28</v>
      </c>
      <c r="F139" s="96">
        <v>1766.28</v>
      </c>
      <c r="G139" s="96">
        <v>1603.12</v>
      </c>
      <c r="H139" s="118">
        <v>1603.12</v>
      </c>
      <c r="I139" s="96">
        <f t="shared" si="1"/>
        <v>90.76250651085897</v>
      </c>
    </row>
    <row r="140" spans="1:9" ht="24" customHeight="1">
      <c r="A140" s="102">
        <v>752</v>
      </c>
      <c r="B140" s="10"/>
      <c r="C140" s="11"/>
      <c r="D140" s="174" t="s">
        <v>265</v>
      </c>
      <c r="E140" s="33">
        <f>E141</f>
        <v>10000</v>
      </c>
      <c r="F140" s="52"/>
      <c r="G140" s="33">
        <f>G141</f>
        <v>0</v>
      </c>
      <c r="H140" s="26"/>
      <c r="I140" s="132"/>
    </row>
    <row r="141" spans="1:22" s="53" customFormat="1" ht="20.25" customHeight="1">
      <c r="A141" s="34"/>
      <c r="B141" s="35">
        <v>75212</v>
      </c>
      <c r="C141" s="24"/>
      <c r="D141" s="175" t="s">
        <v>266</v>
      </c>
      <c r="E141" s="91">
        <f>E142</f>
        <v>10000</v>
      </c>
      <c r="F141" s="91"/>
      <c r="G141" s="91">
        <f>G142</f>
        <v>0</v>
      </c>
      <c r="H141" s="28"/>
      <c r="I141" s="96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</row>
    <row r="142" spans="1:9" ht="15.75" customHeight="1">
      <c r="A142" s="16"/>
      <c r="B142" s="16"/>
      <c r="C142" s="2">
        <v>4300</v>
      </c>
      <c r="D142" s="170" t="s">
        <v>331</v>
      </c>
      <c r="E142" s="88">
        <v>10000</v>
      </c>
      <c r="F142" s="127"/>
      <c r="G142" s="88">
        <v>0</v>
      </c>
      <c r="H142" s="241"/>
      <c r="I142" s="96"/>
    </row>
    <row r="143" spans="1:9" ht="30" customHeight="1">
      <c r="A143" s="58">
        <v>754</v>
      </c>
      <c r="B143" s="59"/>
      <c r="C143" s="10"/>
      <c r="D143" s="174" t="s">
        <v>252</v>
      </c>
      <c r="E143" s="84">
        <f>E144+E156+E161+E166</f>
        <v>484230</v>
      </c>
      <c r="F143" s="73"/>
      <c r="G143" s="84">
        <f>G144+G156+G161+G166</f>
        <v>246878.96000000002</v>
      </c>
      <c r="H143" s="129"/>
      <c r="I143" s="132">
        <f aca="true" t="shared" si="2" ref="I143:I207">G143/E143*100</f>
        <v>50.98382173760404</v>
      </c>
    </row>
    <row r="144" spans="1:9" ht="20.25" customHeight="1">
      <c r="A144" s="98" t="s">
        <v>201</v>
      </c>
      <c r="B144" s="75">
        <v>75412</v>
      </c>
      <c r="C144" s="23" t="s">
        <v>201</v>
      </c>
      <c r="D144" s="175" t="s">
        <v>578</v>
      </c>
      <c r="E144" s="28">
        <f>SUM(E145:E155)</f>
        <v>197184</v>
      </c>
      <c r="F144" s="73"/>
      <c r="G144" s="28">
        <f>SUM(G145:G155)</f>
        <v>90878.31</v>
      </c>
      <c r="H144" s="129"/>
      <c r="I144" s="96">
        <f t="shared" si="2"/>
        <v>46.08807509737098</v>
      </c>
    </row>
    <row r="145" spans="1:9" ht="16.5" customHeight="1">
      <c r="A145" s="81"/>
      <c r="B145" s="550"/>
      <c r="C145" s="8">
        <v>3030</v>
      </c>
      <c r="D145" s="170" t="s">
        <v>588</v>
      </c>
      <c r="E145" s="26">
        <v>30000</v>
      </c>
      <c r="F145" s="127"/>
      <c r="G145" s="41">
        <v>9704.83</v>
      </c>
      <c r="H145" s="241"/>
      <c r="I145" s="96">
        <f t="shared" si="2"/>
        <v>32.34943333333333</v>
      </c>
    </row>
    <row r="146" spans="1:9" ht="16.5" customHeight="1">
      <c r="A146" s="81"/>
      <c r="B146" s="550"/>
      <c r="C146" s="8">
        <v>4110</v>
      </c>
      <c r="D146" s="170" t="s">
        <v>565</v>
      </c>
      <c r="E146" s="26">
        <v>2850</v>
      </c>
      <c r="F146" s="127"/>
      <c r="G146" s="41">
        <v>275.04</v>
      </c>
      <c r="H146" s="241"/>
      <c r="I146" s="96">
        <f t="shared" si="2"/>
        <v>9.650526315789474</v>
      </c>
    </row>
    <row r="147" spans="1:9" ht="16.5" customHeight="1">
      <c r="A147" s="81"/>
      <c r="B147" s="550"/>
      <c r="C147" s="2">
        <v>4120</v>
      </c>
      <c r="D147" s="170" t="s">
        <v>566</v>
      </c>
      <c r="E147" s="26">
        <v>150</v>
      </c>
      <c r="F147" s="127"/>
      <c r="G147" s="41">
        <v>0</v>
      </c>
      <c r="H147" s="241"/>
      <c r="I147" s="96"/>
    </row>
    <row r="148" spans="1:9" ht="16.5" customHeight="1">
      <c r="A148" s="81"/>
      <c r="B148" s="550"/>
      <c r="C148" s="2">
        <v>4170</v>
      </c>
      <c r="D148" s="170" t="s">
        <v>572</v>
      </c>
      <c r="E148" s="26">
        <v>37004</v>
      </c>
      <c r="F148" s="127"/>
      <c r="G148" s="41">
        <v>15136.51</v>
      </c>
      <c r="H148" s="241"/>
      <c r="I148" s="96">
        <f t="shared" si="2"/>
        <v>40.9050643173711</v>
      </c>
    </row>
    <row r="149" spans="1:9" ht="16.5" customHeight="1">
      <c r="A149" s="81"/>
      <c r="B149" s="550"/>
      <c r="C149" s="8">
        <v>4210</v>
      </c>
      <c r="D149" s="170" t="s">
        <v>334</v>
      </c>
      <c r="E149" s="26">
        <v>50880</v>
      </c>
      <c r="F149" s="127"/>
      <c r="G149" s="41">
        <v>39627.83</v>
      </c>
      <c r="H149" s="241"/>
      <c r="I149" s="96">
        <f t="shared" si="2"/>
        <v>77.8848860062893</v>
      </c>
    </row>
    <row r="150" spans="1:9" ht="16.5" customHeight="1">
      <c r="A150" s="81"/>
      <c r="B150" s="550"/>
      <c r="C150" s="8">
        <v>4260</v>
      </c>
      <c r="D150" s="170" t="s">
        <v>579</v>
      </c>
      <c r="E150" s="26">
        <v>7288</v>
      </c>
      <c r="F150" s="127"/>
      <c r="G150" s="41">
        <v>3686.73</v>
      </c>
      <c r="H150" s="241"/>
      <c r="I150" s="96">
        <f t="shared" si="2"/>
        <v>50.58630625686059</v>
      </c>
    </row>
    <row r="151" spans="1:9" ht="16.5" customHeight="1">
      <c r="A151" s="81"/>
      <c r="B151" s="550"/>
      <c r="C151" s="8">
        <v>4300</v>
      </c>
      <c r="D151" s="170" t="s">
        <v>331</v>
      </c>
      <c r="E151" s="26">
        <v>30000</v>
      </c>
      <c r="F151" s="127"/>
      <c r="G151" s="41">
        <v>7052.37</v>
      </c>
      <c r="H151" s="241"/>
      <c r="I151" s="96">
        <f t="shared" si="2"/>
        <v>23.5079</v>
      </c>
    </row>
    <row r="152" spans="1:9" ht="24" customHeight="1">
      <c r="A152" s="81"/>
      <c r="B152" s="550"/>
      <c r="C152" s="2">
        <v>4360</v>
      </c>
      <c r="D152" s="170" t="s">
        <v>90</v>
      </c>
      <c r="E152" s="26">
        <v>200</v>
      </c>
      <c r="F152" s="127"/>
      <c r="G152" s="41">
        <v>0</v>
      </c>
      <c r="H152" s="241"/>
      <c r="I152" s="96"/>
    </row>
    <row r="153" spans="1:9" ht="16.5" customHeight="1">
      <c r="A153" s="81"/>
      <c r="B153" s="550"/>
      <c r="C153" s="15">
        <v>4430</v>
      </c>
      <c r="D153" s="172" t="s">
        <v>314</v>
      </c>
      <c r="E153" s="26">
        <v>14600</v>
      </c>
      <c r="F153" s="127"/>
      <c r="G153" s="41">
        <v>11183</v>
      </c>
      <c r="H153" s="241"/>
      <c r="I153" s="96">
        <f t="shared" si="2"/>
        <v>76.5958904109589</v>
      </c>
    </row>
    <row r="154" spans="1:9" ht="29.25" customHeight="1">
      <c r="A154" s="81"/>
      <c r="B154" s="550"/>
      <c r="C154" s="8">
        <v>6060</v>
      </c>
      <c r="D154" s="170" t="s">
        <v>584</v>
      </c>
      <c r="E154" s="129">
        <v>4212</v>
      </c>
      <c r="F154" s="127"/>
      <c r="G154" s="87">
        <v>4212</v>
      </c>
      <c r="H154" s="241"/>
      <c r="I154" s="96">
        <f t="shared" si="2"/>
        <v>100</v>
      </c>
    </row>
    <row r="155" spans="1:9" ht="51.75" customHeight="1">
      <c r="A155" s="81"/>
      <c r="B155" s="550"/>
      <c r="C155" s="8">
        <v>6230</v>
      </c>
      <c r="D155" s="170" t="s">
        <v>686</v>
      </c>
      <c r="E155" s="129">
        <v>20000</v>
      </c>
      <c r="F155" s="127"/>
      <c r="G155" s="87">
        <v>0</v>
      </c>
      <c r="H155" s="241"/>
      <c r="I155" s="96"/>
    </row>
    <row r="156" spans="1:9" ht="20.25" customHeight="1">
      <c r="A156" s="98"/>
      <c r="B156" s="46">
        <v>75414</v>
      </c>
      <c r="C156" s="23" t="s">
        <v>201</v>
      </c>
      <c r="D156" s="175" t="s">
        <v>580</v>
      </c>
      <c r="E156" s="28">
        <f>SUM(E157:E160)</f>
        <v>45000</v>
      </c>
      <c r="F156" s="127"/>
      <c r="G156" s="28">
        <f>SUM(G157:G160)</f>
        <v>34402</v>
      </c>
      <c r="H156" s="241"/>
      <c r="I156" s="96">
        <f t="shared" si="2"/>
        <v>76.44888888888889</v>
      </c>
    </row>
    <row r="157" spans="1:9" ht="16.5" customHeight="1">
      <c r="A157" s="98"/>
      <c r="B157" s="552"/>
      <c r="C157" s="23">
        <v>4170</v>
      </c>
      <c r="D157" s="170" t="s">
        <v>572</v>
      </c>
      <c r="E157" s="26">
        <v>3000</v>
      </c>
      <c r="F157" s="127"/>
      <c r="G157" s="41">
        <v>3000</v>
      </c>
      <c r="H157" s="241"/>
      <c r="I157" s="96">
        <f t="shared" si="2"/>
        <v>100</v>
      </c>
    </row>
    <row r="158" spans="1:9" ht="16.5" customHeight="1">
      <c r="A158" s="98"/>
      <c r="B158" s="552"/>
      <c r="C158" s="8">
        <v>4210</v>
      </c>
      <c r="D158" s="170" t="s">
        <v>334</v>
      </c>
      <c r="E158" s="26">
        <v>17000</v>
      </c>
      <c r="F158" s="127"/>
      <c r="G158" s="41">
        <v>12234.6</v>
      </c>
      <c r="H158" s="241"/>
      <c r="I158" s="96">
        <f t="shared" si="2"/>
        <v>71.96823529411765</v>
      </c>
    </row>
    <row r="159" spans="1:9" ht="16.5" customHeight="1">
      <c r="A159" s="98"/>
      <c r="B159" s="552"/>
      <c r="C159" s="8">
        <v>4300</v>
      </c>
      <c r="D159" s="170" t="s">
        <v>331</v>
      </c>
      <c r="E159" s="26">
        <v>6000</v>
      </c>
      <c r="F159" s="127"/>
      <c r="G159" s="41">
        <v>250</v>
      </c>
      <c r="H159" s="241"/>
      <c r="I159" s="96">
        <f t="shared" si="2"/>
        <v>4.166666666666666</v>
      </c>
    </row>
    <row r="160" spans="1:22" s="57" customFormat="1" ht="24" customHeight="1">
      <c r="A160" s="98"/>
      <c r="B160" s="105"/>
      <c r="C160" s="8">
        <v>6060</v>
      </c>
      <c r="D160" s="170" t="s">
        <v>584</v>
      </c>
      <c r="E160" s="129">
        <v>19000</v>
      </c>
      <c r="F160" s="127"/>
      <c r="G160" s="87">
        <v>18917.4</v>
      </c>
      <c r="H160" s="241"/>
      <c r="I160" s="96">
        <f t="shared" si="2"/>
        <v>99.56526315789475</v>
      </c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</row>
    <row r="161" spans="1:9" ht="20.25" customHeight="1">
      <c r="A161" s="98"/>
      <c r="B161" s="105">
        <v>75421</v>
      </c>
      <c r="C161" s="8"/>
      <c r="D161" s="175" t="s">
        <v>270</v>
      </c>
      <c r="E161" s="28">
        <f>SUM(E162:E165)</f>
        <v>76826</v>
      </c>
      <c r="F161" s="233"/>
      <c r="G161" s="28">
        <f>SUM(G162:G165)</f>
        <v>3041.14</v>
      </c>
      <c r="H161" s="551"/>
      <c r="I161" s="96">
        <f t="shared" si="2"/>
        <v>3.9584775987295964</v>
      </c>
    </row>
    <row r="162" spans="1:9" ht="17.25" customHeight="1">
      <c r="A162" s="98"/>
      <c r="B162" s="552"/>
      <c r="C162" s="8">
        <v>4210</v>
      </c>
      <c r="D162" s="170" t="s">
        <v>334</v>
      </c>
      <c r="E162" s="128">
        <v>5000</v>
      </c>
      <c r="F162" s="233"/>
      <c r="G162" s="89">
        <v>0</v>
      </c>
      <c r="H162" s="551"/>
      <c r="I162" s="96"/>
    </row>
    <row r="163" spans="1:9" ht="17.25" customHeight="1">
      <c r="A163" s="98"/>
      <c r="B163" s="552"/>
      <c r="C163" s="8">
        <v>4260</v>
      </c>
      <c r="D163" s="170" t="s">
        <v>579</v>
      </c>
      <c r="E163" s="128">
        <v>40000</v>
      </c>
      <c r="F163" s="127"/>
      <c r="G163" s="89">
        <v>215.14</v>
      </c>
      <c r="H163" s="241"/>
      <c r="I163" s="96">
        <f t="shared" si="2"/>
        <v>0.5378499999999999</v>
      </c>
    </row>
    <row r="164" spans="1:9" ht="17.25" customHeight="1">
      <c r="A164" s="98"/>
      <c r="B164" s="552"/>
      <c r="C164" s="8">
        <v>4300</v>
      </c>
      <c r="D164" s="170" t="s">
        <v>331</v>
      </c>
      <c r="E164" s="128">
        <v>30476</v>
      </c>
      <c r="F164" s="127"/>
      <c r="G164" s="89">
        <v>1476</v>
      </c>
      <c r="H164" s="241"/>
      <c r="I164" s="96">
        <f t="shared" si="2"/>
        <v>4.843155269720436</v>
      </c>
    </row>
    <row r="165" spans="1:9" ht="17.25" customHeight="1">
      <c r="A165" s="98"/>
      <c r="B165" s="552"/>
      <c r="C165" s="8">
        <v>4430</v>
      </c>
      <c r="D165" s="170" t="s">
        <v>314</v>
      </c>
      <c r="E165" s="89">
        <v>1350</v>
      </c>
      <c r="F165" s="127"/>
      <c r="G165" s="89">
        <v>1350</v>
      </c>
      <c r="H165" s="241"/>
      <c r="I165" s="96">
        <f t="shared" si="2"/>
        <v>100</v>
      </c>
    </row>
    <row r="166" spans="1:9" ht="24" customHeight="1">
      <c r="A166" s="81"/>
      <c r="B166" s="99">
        <v>75495</v>
      </c>
      <c r="C166" s="23"/>
      <c r="D166" s="175" t="s">
        <v>581</v>
      </c>
      <c r="E166" s="38">
        <f>SUM(E167:E170)</f>
        <v>165220</v>
      </c>
      <c r="F166" s="127"/>
      <c r="G166" s="38">
        <f>SUM(G167:G170)</f>
        <v>118557.51000000001</v>
      </c>
      <c r="H166" s="241"/>
      <c r="I166" s="96">
        <f t="shared" si="2"/>
        <v>71.75735988379131</v>
      </c>
    </row>
    <row r="167" spans="1:9" ht="17.25" customHeight="1">
      <c r="A167" s="80"/>
      <c r="B167" s="97"/>
      <c r="C167" s="8">
        <v>3030</v>
      </c>
      <c r="D167" s="170" t="s">
        <v>588</v>
      </c>
      <c r="E167" s="26">
        <v>5000</v>
      </c>
      <c r="F167" s="127"/>
      <c r="G167" s="89">
        <v>366.04</v>
      </c>
      <c r="H167" s="241"/>
      <c r="I167" s="96">
        <f t="shared" si="2"/>
        <v>7.320800000000001</v>
      </c>
    </row>
    <row r="168" spans="1:9" ht="17.25" customHeight="1">
      <c r="A168" s="80"/>
      <c r="B168" s="98"/>
      <c r="C168" s="15">
        <v>4170</v>
      </c>
      <c r="D168" s="170" t="s">
        <v>572</v>
      </c>
      <c r="E168" s="129">
        <v>1100</v>
      </c>
      <c r="F168" s="127"/>
      <c r="G168" s="87">
        <v>0</v>
      </c>
      <c r="H168" s="241"/>
      <c r="I168" s="96"/>
    </row>
    <row r="169" spans="1:9" ht="17.25" customHeight="1">
      <c r="A169" s="80"/>
      <c r="B169" s="98"/>
      <c r="C169" s="8">
        <v>4260</v>
      </c>
      <c r="D169" s="170" t="s">
        <v>579</v>
      </c>
      <c r="E169" s="129">
        <v>3000</v>
      </c>
      <c r="F169" s="127"/>
      <c r="G169" s="87">
        <v>965.03</v>
      </c>
      <c r="H169" s="241"/>
      <c r="I169" s="96">
        <f t="shared" si="2"/>
        <v>32.16766666666667</v>
      </c>
    </row>
    <row r="170" spans="1:9" ht="17.25" customHeight="1">
      <c r="A170" s="80"/>
      <c r="B170" s="98"/>
      <c r="C170" s="2">
        <v>4300</v>
      </c>
      <c r="D170" s="170" t="s">
        <v>331</v>
      </c>
      <c r="E170" s="26">
        <v>156120</v>
      </c>
      <c r="F170" s="88"/>
      <c r="G170" s="41">
        <v>117226.44</v>
      </c>
      <c r="H170" s="128"/>
      <c r="I170" s="96">
        <f t="shared" si="2"/>
        <v>75.08739431206764</v>
      </c>
    </row>
    <row r="171" spans="1:9" ht="24" customHeight="1">
      <c r="A171" s="58">
        <v>757</v>
      </c>
      <c r="B171" s="58"/>
      <c r="C171" s="10"/>
      <c r="D171" s="174" t="s">
        <v>608</v>
      </c>
      <c r="E171" s="556">
        <f>E172</f>
        <v>4800000</v>
      </c>
      <c r="F171" s="52"/>
      <c r="G171" s="252">
        <f>G172</f>
        <v>1609656.48</v>
      </c>
      <c r="H171" s="26"/>
      <c r="I171" s="132">
        <f t="shared" si="2"/>
        <v>33.53451</v>
      </c>
    </row>
    <row r="172" spans="1:9" ht="30" customHeight="1">
      <c r="A172" s="97"/>
      <c r="B172" s="46">
        <v>75702</v>
      </c>
      <c r="C172" s="24"/>
      <c r="D172" s="175" t="s">
        <v>609</v>
      </c>
      <c r="E172" s="153">
        <f>E173+E174</f>
        <v>4800000</v>
      </c>
      <c r="F172" s="127"/>
      <c r="G172" s="153">
        <f>G173+G174</f>
        <v>1609656.48</v>
      </c>
      <c r="H172" s="241"/>
      <c r="I172" s="96">
        <f t="shared" si="2"/>
        <v>33.53451</v>
      </c>
    </row>
    <row r="173" spans="1:9" ht="21.75" customHeight="1">
      <c r="A173" s="98"/>
      <c r="B173" s="78"/>
      <c r="C173" s="2">
        <v>4300</v>
      </c>
      <c r="D173" s="170" t="s">
        <v>313</v>
      </c>
      <c r="E173" s="88">
        <v>100000</v>
      </c>
      <c r="F173" s="127"/>
      <c r="G173" s="88">
        <v>0</v>
      </c>
      <c r="H173" s="241"/>
      <c r="I173" s="96">
        <f t="shared" si="2"/>
        <v>0</v>
      </c>
    </row>
    <row r="174" spans="1:9" ht="45.75" customHeight="1">
      <c r="A174" s="98"/>
      <c r="B174" s="78"/>
      <c r="C174" s="13">
        <v>8110</v>
      </c>
      <c r="D174" s="163" t="s">
        <v>194</v>
      </c>
      <c r="E174" s="52">
        <v>4700000</v>
      </c>
      <c r="F174" s="88"/>
      <c r="G174" s="52">
        <v>1609656.48</v>
      </c>
      <c r="H174" s="128"/>
      <c r="I174" s="96">
        <f t="shared" si="2"/>
        <v>34.248010212765955</v>
      </c>
    </row>
    <row r="175" spans="1:9" ht="24" customHeight="1">
      <c r="A175" s="59">
        <v>758</v>
      </c>
      <c r="B175" s="58"/>
      <c r="C175" s="10"/>
      <c r="D175" s="174" t="s">
        <v>253</v>
      </c>
      <c r="E175" s="33">
        <f>E176</f>
        <v>1176815.03</v>
      </c>
      <c r="F175" s="228"/>
      <c r="G175" s="33">
        <f>G176</f>
        <v>0</v>
      </c>
      <c r="H175" s="55"/>
      <c r="I175" s="96"/>
    </row>
    <row r="176" spans="1:9" ht="20.25" customHeight="1">
      <c r="A176" s="97"/>
      <c r="B176" s="75">
        <v>75818</v>
      </c>
      <c r="C176" s="24"/>
      <c r="D176" s="175" t="s">
        <v>254</v>
      </c>
      <c r="E176" s="91">
        <f>E177+E182</f>
        <v>1176815.03</v>
      </c>
      <c r="F176" s="178"/>
      <c r="G176" s="91">
        <f>G177+G182</f>
        <v>0</v>
      </c>
      <c r="H176" s="87"/>
      <c r="I176" s="96"/>
    </row>
    <row r="177" spans="1:9" ht="15.75" customHeight="1">
      <c r="A177" s="81"/>
      <c r="B177" s="82"/>
      <c r="C177" s="13">
        <v>4810</v>
      </c>
      <c r="D177" s="170" t="s">
        <v>172</v>
      </c>
      <c r="E177" s="125">
        <f>E179+E180+E181</f>
        <v>1019794.03</v>
      </c>
      <c r="F177" s="228"/>
      <c r="G177" s="125">
        <f>G179+G180+G181</f>
        <v>0</v>
      </c>
      <c r="H177" s="55"/>
      <c r="I177" s="96"/>
    </row>
    <row r="178" spans="1:9" ht="15.75" customHeight="1">
      <c r="A178" s="81"/>
      <c r="B178" s="553"/>
      <c r="C178" s="13"/>
      <c r="D178" s="199" t="s">
        <v>173</v>
      </c>
      <c r="E178" s="52"/>
      <c r="F178" s="228"/>
      <c r="G178" s="52"/>
      <c r="H178" s="55"/>
      <c r="I178" s="96"/>
    </row>
    <row r="179" spans="1:9" ht="15.75" customHeight="1">
      <c r="A179" s="81"/>
      <c r="B179" s="553"/>
      <c r="C179" s="7"/>
      <c r="D179" s="199" t="s">
        <v>174</v>
      </c>
      <c r="E179" s="52">
        <v>72468.57</v>
      </c>
      <c r="F179" s="228"/>
      <c r="G179" s="52">
        <v>0</v>
      </c>
      <c r="H179" s="55"/>
      <c r="I179" s="96"/>
    </row>
    <row r="180" spans="1:9" ht="15.75" customHeight="1">
      <c r="A180" s="81"/>
      <c r="B180" s="553"/>
      <c r="C180" s="7"/>
      <c r="D180" s="199" t="s">
        <v>175</v>
      </c>
      <c r="E180" s="52">
        <v>57325.46</v>
      </c>
      <c r="F180" s="228"/>
      <c r="G180" s="52">
        <v>0</v>
      </c>
      <c r="H180" s="55"/>
      <c r="I180" s="96"/>
    </row>
    <row r="181" spans="1:9" ht="15.75" customHeight="1">
      <c r="A181" s="81"/>
      <c r="B181" s="553"/>
      <c r="C181" s="7"/>
      <c r="D181" s="199" t="s">
        <v>267</v>
      </c>
      <c r="E181" s="52">
        <v>890000</v>
      </c>
      <c r="F181" s="228"/>
      <c r="G181" s="52">
        <v>0</v>
      </c>
      <c r="H181" s="55"/>
      <c r="I181" s="96"/>
    </row>
    <row r="182" spans="1:9" ht="15.75" customHeight="1">
      <c r="A182" s="81"/>
      <c r="B182" s="106"/>
      <c r="C182" s="2">
        <v>6800</v>
      </c>
      <c r="D182" s="170" t="s">
        <v>176</v>
      </c>
      <c r="E182" s="52">
        <v>157021</v>
      </c>
      <c r="F182" s="228"/>
      <c r="G182" s="52">
        <v>0</v>
      </c>
      <c r="H182" s="55"/>
      <c r="I182" s="96"/>
    </row>
    <row r="183" spans="1:9" ht="23.25" customHeight="1">
      <c r="A183" s="58">
        <v>801</v>
      </c>
      <c r="B183" s="58"/>
      <c r="C183" s="10"/>
      <c r="D183" s="174" t="s">
        <v>255</v>
      </c>
      <c r="E183" s="126">
        <f>E184+E214+E228+E257+E284+E286+E295+E315+E338+E350</f>
        <v>96756600.37</v>
      </c>
      <c r="F183" s="33">
        <f>F184+F214+F228+F257+F284+F286+F295+F315+F338+F350</f>
        <v>516200.95</v>
      </c>
      <c r="G183" s="126">
        <f>G184+G214+G228+G257+G284+G286+G295+G315+G338+G350</f>
        <v>51014785.78999999</v>
      </c>
      <c r="H183" s="84">
        <f>H184+H214+H228+H257+H284+H286+H295+H315+H338+H350</f>
        <v>0</v>
      </c>
      <c r="I183" s="132">
        <f t="shared" si="2"/>
        <v>52.724863828325915</v>
      </c>
    </row>
    <row r="184" spans="1:9" ht="20.25" customHeight="1">
      <c r="A184" s="97"/>
      <c r="B184" s="46">
        <v>80101</v>
      </c>
      <c r="C184" s="24"/>
      <c r="D184" s="175" t="s">
        <v>256</v>
      </c>
      <c r="E184" s="38">
        <f>SUM(E185:E213)</f>
        <v>31569590.43</v>
      </c>
      <c r="F184" s="91">
        <f>SUM(F185:F213)</f>
        <v>278024.43</v>
      </c>
      <c r="G184" s="38">
        <f>SUM(G185:G213)</f>
        <v>17320471.889999993</v>
      </c>
      <c r="H184" s="28">
        <f>SUM(H185:H213)</f>
        <v>0</v>
      </c>
      <c r="I184" s="96">
        <f t="shared" si="2"/>
        <v>54.86441747923555</v>
      </c>
    </row>
    <row r="185" spans="1:9" ht="24" customHeight="1">
      <c r="A185" s="100"/>
      <c r="B185" s="98"/>
      <c r="C185" s="13">
        <v>2540</v>
      </c>
      <c r="D185" s="170" t="s">
        <v>181</v>
      </c>
      <c r="E185" s="89">
        <v>208848</v>
      </c>
      <c r="F185" s="127"/>
      <c r="G185" s="89">
        <v>43882.02</v>
      </c>
      <c r="H185" s="241"/>
      <c r="I185" s="96">
        <f t="shared" si="2"/>
        <v>21.01146288209607</v>
      </c>
    </row>
    <row r="186" spans="1:9" ht="51.75" customHeight="1">
      <c r="A186" s="100"/>
      <c r="B186" s="98"/>
      <c r="C186" s="15">
        <v>2830</v>
      </c>
      <c r="D186" s="170" t="s">
        <v>121</v>
      </c>
      <c r="E186" s="89">
        <v>6242.12</v>
      </c>
      <c r="F186" s="52">
        <v>6242.12</v>
      </c>
      <c r="G186" s="89">
        <v>0</v>
      </c>
      <c r="H186" s="26">
        <v>0</v>
      </c>
      <c r="I186" s="96"/>
    </row>
    <row r="187" spans="1:9" ht="20.25" customHeight="1">
      <c r="A187" s="80"/>
      <c r="B187" s="81"/>
      <c r="C187" s="8">
        <v>3020</v>
      </c>
      <c r="D187" s="170" t="s">
        <v>177</v>
      </c>
      <c r="E187" s="88">
        <v>128171</v>
      </c>
      <c r="F187" s="127"/>
      <c r="G187" s="88">
        <v>28620.95</v>
      </c>
      <c r="H187" s="241"/>
      <c r="I187" s="96">
        <f t="shared" si="2"/>
        <v>22.330285321952704</v>
      </c>
    </row>
    <row r="188" spans="1:9" ht="17.25" customHeight="1">
      <c r="A188" s="80"/>
      <c r="B188" s="81"/>
      <c r="C188" s="8">
        <v>3050</v>
      </c>
      <c r="D188" s="170" t="s">
        <v>178</v>
      </c>
      <c r="E188" s="52">
        <v>18000</v>
      </c>
      <c r="F188" s="127"/>
      <c r="G188" s="52">
        <v>8269.68</v>
      </c>
      <c r="H188" s="241"/>
      <c r="I188" s="96">
        <f t="shared" si="2"/>
        <v>45.94266666666667</v>
      </c>
    </row>
    <row r="189" spans="1:9" ht="17.25" customHeight="1">
      <c r="A189" s="80"/>
      <c r="B189" s="81"/>
      <c r="C189" s="8">
        <v>4010</v>
      </c>
      <c r="D189" s="170" t="s">
        <v>378</v>
      </c>
      <c r="E189" s="52">
        <v>19622386</v>
      </c>
      <c r="F189" s="127"/>
      <c r="G189" s="52">
        <v>10410460.2</v>
      </c>
      <c r="H189" s="241"/>
      <c r="I189" s="96">
        <f t="shared" si="2"/>
        <v>53.0539976127266</v>
      </c>
    </row>
    <row r="190" spans="1:9" ht="17.25" customHeight="1">
      <c r="A190" s="80"/>
      <c r="B190" s="81"/>
      <c r="C190" s="8">
        <v>4040</v>
      </c>
      <c r="D190" s="170" t="s">
        <v>379</v>
      </c>
      <c r="E190" s="52">
        <v>1823300</v>
      </c>
      <c r="F190" s="222"/>
      <c r="G190" s="52">
        <v>1803874.7</v>
      </c>
      <c r="H190" s="223"/>
      <c r="I190" s="96">
        <f t="shared" si="2"/>
        <v>98.93460757966325</v>
      </c>
    </row>
    <row r="191" spans="1:9" ht="17.25" customHeight="1">
      <c r="A191" s="80"/>
      <c r="B191" s="81"/>
      <c r="C191" s="8">
        <v>4110</v>
      </c>
      <c r="D191" s="170" t="s">
        <v>565</v>
      </c>
      <c r="E191" s="52">
        <v>3280277</v>
      </c>
      <c r="F191" s="127"/>
      <c r="G191" s="52">
        <v>2065091.1</v>
      </c>
      <c r="H191" s="241"/>
      <c r="I191" s="96">
        <f t="shared" si="2"/>
        <v>62.954777904426976</v>
      </c>
    </row>
    <row r="192" spans="1:9" ht="17.25" customHeight="1">
      <c r="A192" s="80"/>
      <c r="B192" s="81"/>
      <c r="C192" s="8">
        <v>4120</v>
      </c>
      <c r="D192" s="170" t="s">
        <v>566</v>
      </c>
      <c r="E192" s="52">
        <v>476572</v>
      </c>
      <c r="F192" s="127"/>
      <c r="G192" s="52">
        <v>226651.82</v>
      </c>
      <c r="H192" s="241"/>
      <c r="I192" s="96">
        <f t="shared" si="2"/>
        <v>47.55877810698069</v>
      </c>
    </row>
    <row r="193" spans="1:9" ht="24" customHeight="1">
      <c r="A193" s="80"/>
      <c r="B193" s="81"/>
      <c r="C193" s="8">
        <v>4140</v>
      </c>
      <c r="D193" s="170" t="s">
        <v>220</v>
      </c>
      <c r="E193" s="52">
        <v>19000</v>
      </c>
      <c r="F193" s="127"/>
      <c r="G193" s="52">
        <v>2000</v>
      </c>
      <c r="H193" s="241"/>
      <c r="I193" s="96">
        <f t="shared" si="2"/>
        <v>10.526315789473683</v>
      </c>
    </row>
    <row r="194" spans="1:9" ht="16.5" customHeight="1">
      <c r="A194" s="80"/>
      <c r="B194" s="81"/>
      <c r="C194" s="2">
        <v>4170</v>
      </c>
      <c r="D194" s="170" t="s">
        <v>572</v>
      </c>
      <c r="E194" s="52">
        <v>54240</v>
      </c>
      <c r="F194" s="127"/>
      <c r="G194" s="52">
        <v>14470.97</v>
      </c>
      <c r="H194" s="241"/>
      <c r="I194" s="96">
        <f t="shared" si="2"/>
        <v>26.679516961651917</v>
      </c>
    </row>
    <row r="195" spans="1:9" ht="16.5" customHeight="1">
      <c r="A195" s="80"/>
      <c r="B195" s="81"/>
      <c r="C195" s="8">
        <v>4190</v>
      </c>
      <c r="D195" s="170" t="s">
        <v>687</v>
      </c>
      <c r="E195" s="52">
        <v>300</v>
      </c>
      <c r="F195" s="127"/>
      <c r="G195" s="52">
        <v>73.15</v>
      </c>
      <c r="H195" s="241"/>
      <c r="I195" s="96">
        <f t="shared" si="2"/>
        <v>24.383333333333333</v>
      </c>
    </row>
    <row r="196" spans="1:9" ht="16.5" customHeight="1">
      <c r="A196" s="80"/>
      <c r="B196" s="81"/>
      <c r="C196" s="8">
        <v>4210</v>
      </c>
      <c r="D196" s="170" t="s">
        <v>334</v>
      </c>
      <c r="E196" s="52">
        <v>474488</v>
      </c>
      <c r="F196" s="127"/>
      <c r="G196" s="52">
        <v>275089.04</v>
      </c>
      <c r="H196" s="241"/>
      <c r="I196" s="96">
        <f t="shared" si="2"/>
        <v>57.97597410261165</v>
      </c>
    </row>
    <row r="197" spans="1:9" ht="29.25" customHeight="1">
      <c r="A197" s="80"/>
      <c r="B197" s="81"/>
      <c r="C197" s="8">
        <v>4240</v>
      </c>
      <c r="D197" s="170" t="s">
        <v>221</v>
      </c>
      <c r="E197" s="52">
        <v>333429.61</v>
      </c>
      <c r="F197" s="52">
        <v>269029.61</v>
      </c>
      <c r="G197" s="52">
        <v>42347.37</v>
      </c>
      <c r="H197" s="26">
        <v>0</v>
      </c>
      <c r="I197" s="96">
        <f t="shared" si="2"/>
        <v>12.70054270225131</v>
      </c>
    </row>
    <row r="198" spans="1:9" ht="16.5" customHeight="1">
      <c r="A198" s="80"/>
      <c r="B198" s="81"/>
      <c r="C198" s="8">
        <v>4260</v>
      </c>
      <c r="D198" s="170" t="s">
        <v>579</v>
      </c>
      <c r="E198" s="52">
        <v>1806579</v>
      </c>
      <c r="F198" s="127"/>
      <c r="G198" s="52">
        <v>897190.35</v>
      </c>
      <c r="H198" s="241"/>
      <c r="I198" s="96">
        <f t="shared" si="2"/>
        <v>49.662392289515154</v>
      </c>
    </row>
    <row r="199" spans="1:9" ht="16.5" customHeight="1">
      <c r="A199" s="80"/>
      <c r="B199" s="81"/>
      <c r="C199" s="8">
        <v>4270</v>
      </c>
      <c r="D199" s="170" t="s">
        <v>335</v>
      </c>
      <c r="E199" s="52">
        <v>220061</v>
      </c>
      <c r="F199" s="127"/>
      <c r="G199" s="52">
        <v>85224.16</v>
      </c>
      <c r="H199" s="241"/>
      <c r="I199" s="96">
        <f t="shared" si="2"/>
        <v>38.72751646134481</v>
      </c>
    </row>
    <row r="200" spans="1:9" ht="16.5" customHeight="1">
      <c r="A200" s="80"/>
      <c r="B200" s="81"/>
      <c r="C200" s="8">
        <v>4280</v>
      </c>
      <c r="D200" s="170" t="s">
        <v>179</v>
      </c>
      <c r="E200" s="52">
        <v>24060</v>
      </c>
      <c r="F200" s="127"/>
      <c r="G200" s="52">
        <v>5007</v>
      </c>
      <c r="H200" s="241"/>
      <c r="I200" s="96">
        <f t="shared" si="2"/>
        <v>20.810473815461346</v>
      </c>
    </row>
    <row r="201" spans="1:9" ht="16.5" customHeight="1">
      <c r="A201" s="80"/>
      <c r="B201" s="81"/>
      <c r="C201" s="8">
        <v>4300</v>
      </c>
      <c r="D201" s="170" t="s">
        <v>331</v>
      </c>
      <c r="E201" s="52">
        <f>581112+2752.7</f>
        <v>583864.7</v>
      </c>
      <c r="F201" s="52">
        <v>2752.7</v>
      </c>
      <c r="G201" s="52">
        <v>305336.09</v>
      </c>
      <c r="H201" s="26">
        <v>0</v>
      </c>
      <c r="I201" s="96">
        <f t="shared" si="2"/>
        <v>52.29569282061411</v>
      </c>
    </row>
    <row r="202" spans="1:9" ht="23.25" customHeight="1">
      <c r="A202" s="80"/>
      <c r="B202" s="81"/>
      <c r="C202" s="2">
        <v>4360</v>
      </c>
      <c r="D202" s="170" t="s">
        <v>90</v>
      </c>
      <c r="E202" s="52">
        <v>47751</v>
      </c>
      <c r="F202" s="52"/>
      <c r="G202" s="52">
        <v>16412.74</v>
      </c>
      <c r="H202" s="26"/>
      <c r="I202" s="96">
        <f t="shared" si="2"/>
        <v>34.3715105442818</v>
      </c>
    </row>
    <row r="203" spans="1:9" ht="25.5" customHeight="1">
      <c r="A203" s="80"/>
      <c r="B203" s="81"/>
      <c r="C203" s="1">
        <v>4390</v>
      </c>
      <c r="D203" s="205" t="s">
        <v>261</v>
      </c>
      <c r="E203" s="88">
        <v>1615</v>
      </c>
      <c r="F203" s="127"/>
      <c r="G203" s="88">
        <v>615</v>
      </c>
      <c r="H203" s="241"/>
      <c r="I203" s="250">
        <f t="shared" si="2"/>
        <v>38.080495356037154</v>
      </c>
    </row>
    <row r="204" spans="1:9" ht="15.75" customHeight="1">
      <c r="A204" s="80"/>
      <c r="B204" s="81"/>
      <c r="C204" s="2">
        <v>4410</v>
      </c>
      <c r="D204" s="170" t="s">
        <v>569</v>
      </c>
      <c r="E204" s="52">
        <v>16700</v>
      </c>
      <c r="F204" s="127"/>
      <c r="G204" s="52">
        <v>7328.22</v>
      </c>
      <c r="H204" s="241"/>
      <c r="I204" s="96">
        <f t="shared" si="2"/>
        <v>43.88155688622754</v>
      </c>
    </row>
    <row r="205" spans="1:9" ht="15.75" customHeight="1">
      <c r="A205" s="80"/>
      <c r="B205" s="81"/>
      <c r="C205" s="8">
        <v>4430</v>
      </c>
      <c r="D205" s="170" t="s">
        <v>314</v>
      </c>
      <c r="E205" s="52">
        <v>42582</v>
      </c>
      <c r="F205" s="127"/>
      <c r="G205" s="52">
        <v>18932.2</v>
      </c>
      <c r="H205" s="241"/>
      <c r="I205" s="96">
        <f t="shared" si="2"/>
        <v>44.460570193978675</v>
      </c>
    </row>
    <row r="206" spans="1:9" ht="24" customHeight="1">
      <c r="A206" s="80"/>
      <c r="B206" s="81"/>
      <c r="C206" s="8">
        <v>4440</v>
      </c>
      <c r="D206" s="170" t="s">
        <v>567</v>
      </c>
      <c r="E206" s="52">
        <v>1332743</v>
      </c>
      <c r="F206" s="127"/>
      <c r="G206" s="52">
        <v>994220.25</v>
      </c>
      <c r="H206" s="241"/>
      <c r="I206" s="96">
        <f t="shared" si="2"/>
        <v>74.59954769974406</v>
      </c>
    </row>
    <row r="207" spans="1:9" ht="15.75" customHeight="1">
      <c r="A207" s="80"/>
      <c r="B207" s="81"/>
      <c r="C207" s="8">
        <v>4480</v>
      </c>
      <c r="D207" s="170" t="s">
        <v>272</v>
      </c>
      <c r="E207" s="52">
        <v>8008</v>
      </c>
      <c r="F207" s="127"/>
      <c r="G207" s="52">
        <v>3893</v>
      </c>
      <c r="H207" s="241"/>
      <c r="I207" s="96">
        <f t="shared" si="2"/>
        <v>48.61388611388611</v>
      </c>
    </row>
    <row r="208" spans="1:9" ht="15.75" customHeight="1">
      <c r="A208" s="80"/>
      <c r="B208" s="81"/>
      <c r="C208" s="8">
        <v>4510</v>
      </c>
      <c r="D208" s="170" t="s">
        <v>368</v>
      </c>
      <c r="E208" s="52">
        <v>450</v>
      </c>
      <c r="F208" s="127"/>
      <c r="G208" s="52">
        <v>0</v>
      </c>
      <c r="H208" s="241"/>
      <c r="I208" s="96"/>
    </row>
    <row r="209" spans="1:9" ht="23.25" customHeight="1">
      <c r="A209" s="80"/>
      <c r="B209" s="81"/>
      <c r="C209" s="8">
        <v>4520</v>
      </c>
      <c r="D209" s="170" t="s">
        <v>289</v>
      </c>
      <c r="E209" s="52">
        <v>44488</v>
      </c>
      <c r="F209" s="127"/>
      <c r="G209" s="52">
        <v>21680.74</v>
      </c>
      <c r="H209" s="241"/>
      <c r="I209" s="96">
        <f>G209/E209*100</f>
        <v>48.73390577234311</v>
      </c>
    </row>
    <row r="210" spans="1:9" ht="23.25" customHeight="1">
      <c r="A210" s="80"/>
      <c r="B210" s="81"/>
      <c r="C210" s="8">
        <v>4610</v>
      </c>
      <c r="D210" s="170" t="s">
        <v>554</v>
      </c>
      <c r="E210" s="52">
        <v>185</v>
      </c>
      <c r="F210" s="127"/>
      <c r="G210" s="52">
        <v>184.5</v>
      </c>
      <c r="H210" s="241"/>
      <c r="I210" s="96">
        <f>G210/E210*100</f>
        <v>99.72972972972973</v>
      </c>
    </row>
    <row r="211" spans="1:9" ht="23.25" customHeight="1">
      <c r="A211" s="80"/>
      <c r="B211" s="81"/>
      <c r="C211" s="8">
        <v>4700</v>
      </c>
      <c r="D211" s="170" t="s">
        <v>290</v>
      </c>
      <c r="E211" s="52">
        <v>27990</v>
      </c>
      <c r="F211" s="127"/>
      <c r="G211" s="52">
        <v>20224</v>
      </c>
      <c r="H211" s="241"/>
      <c r="I211" s="96">
        <f aca="true" t="shared" si="3" ref="I211:I274">G211/E211*100</f>
        <v>72.25437656305823</v>
      </c>
    </row>
    <row r="212" spans="1:9" ht="23.25" customHeight="1">
      <c r="A212" s="80"/>
      <c r="B212" s="81"/>
      <c r="C212" s="2">
        <v>6050</v>
      </c>
      <c r="D212" s="170" t="s">
        <v>342</v>
      </c>
      <c r="E212" s="52">
        <v>955000</v>
      </c>
      <c r="F212" s="127"/>
      <c r="G212" s="52">
        <f>11136.24</f>
        <v>11136.24</v>
      </c>
      <c r="H212" s="241"/>
      <c r="I212" s="96">
        <f t="shared" si="3"/>
        <v>1.1660984293193717</v>
      </c>
    </row>
    <row r="213" spans="1:9" ht="24" customHeight="1">
      <c r="A213" s="80"/>
      <c r="B213" s="81"/>
      <c r="C213" s="2">
        <v>6060</v>
      </c>
      <c r="D213" s="170" t="s">
        <v>584</v>
      </c>
      <c r="E213" s="52">
        <v>12260</v>
      </c>
      <c r="F213" s="127"/>
      <c r="G213" s="52">
        <v>12256.4</v>
      </c>
      <c r="H213" s="241"/>
      <c r="I213" s="96">
        <f t="shared" si="3"/>
        <v>99.97063621533442</v>
      </c>
    </row>
    <row r="214" spans="1:22" s="53" customFormat="1" ht="27.75" customHeight="1">
      <c r="A214" s="100"/>
      <c r="B214" s="46">
        <v>80103</v>
      </c>
      <c r="C214" s="36"/>
      <c r="D214" s="175" t="s">
        <v>229</v>
      </c>
      <c r="E214" s="91">
        <f>SUM(E215:E227)</f>
        <v>341181</v>
      </c>
      <c r="F214" s="233"/>
      <c r="G214" s="91">
        <f>SUM(G215:G227)</f>
        <v>169775.58000000002</v>
      </c>
      <c r="H214" s="551"/>
      <c r="I214" s="96">
        <f t="shared" si="3"/>
        <v>49.76114730890642</v>
      </c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</row>
    <row r="215" spans="1:22" s="53" customFormat="1" ht="18" customHeight="1">
      <c r="A215" s="100"/>
      <c r="B215" s="98"/>
      <c r="C215" s="8">
        <v>3020</v>
      </c>
      <c r="D215" s="170" t="s">
        <v>177</v>
      </c>
      <c r="E215" s="88">
        <v>1500</v>
      </c>
      <c r="F215" s="233"/>
      <c r="G215" s="88">
        <v>55.04</v>
      </c>
      <c r="H215" s="551"/>
      <c r="I215" s="96">
        <f t="shared" si="3"/>
        <v>3.6693333333333333</v>
      </c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</row>
    <row r="216" spans="1:9" ht="16.5" customHeight="1">
      <c r="A216" s="80"/>
      <c r="B216" s="81"/>
      <c r="C216" s="8">
        <v>4010</v>
      </c>
      <c r="D216" s="170" t="s">
        <v>378</v>
      </c>
      <c r="E216" s="52">
        <v>237662</v>
      </c>
      <c r="F216" s="127"/>
      <c r="G216" s="52">
        <v>104554.85</v>
      </c>
      <c r="H216" s="241"/>
      <c r="I216" s="96">
        <f t="shared" si="3"/>
        <v>43.99308682077909</v>
      </c>
    </row>
    <row r="217" spans="1:9" ht="16.5" customHeight="1">
      <c r="A217" s="80"/>
      <c r="B217" s="81"/>
      <c r="C217" s="8">
        <v>4040</v>
      </c>
      <c r="D217" s="170" t="s">
        <v>379</v>
      </c>
      <c r="E217" s="52">
        <v>27545</v>
      </c>
      <c r="F217" s="127"/>
      <c r="G217" s="52">
        <v>27542.77</v>
      </c>
      <c r="H217" s="241"/>
      <c r="I217" s="96">
        <f t="shared" si="3"/>
        <v>99.99190415683428</v>
      </c>
    </row>
    <row r="218" spans="1:9" ht="16.5" customHeight="1">
      <c r="A218" s="80"/>
      <c r="B218" s="81"/>
      <c r="C218" s="8">
        <v>4110</v>
      </c>
      <c r="D218" s="170" t="s">
        <v>565</v>
      </c>
      <c r="E218" s="52">
        <v>39200</v>
      </c>
      <c r="F218" s="127"/>
      <c r="G218" s="52">
        <v>20781.1</v>
      </c>
      <c r="H218" s="241"/>
      <c r="I218" s="96">
        <f t="shared" si="3"/>
        <v>53.01301020408163</v>
      </c>
    </row>
    <row r="219" spans="1:9" ht="16.5" customHeight="1">
      <c r="A219" s="80"/>
      <c r="B219" s="81"/>
      <c r="C219" s="8">
        <v>4120</v>
      </c>
      <c r="D219" s="170" t="s">
        <v>566</v>
      </c>
      <c r="E219" s="52">
        <v>5590</v>
      </c>
      <c r="F219" s="127"/>
      <c r="G219" s="52">
        <v>2506.04</v>
      </c>
      <c r="H219" s="241"/>
      <c r="I219" s="96">
        <f t="shared" si="3"/>
        <v>44.83076923076923</v>
      </c>
    </row>
    <row r="220" spans="1:9" ht="16.5" customHeight="1">
      <c r="A220" s="80"/>
      <c r="B220" s="81"/>
      <c r="C220" s="8">
        <v>4170</v>
      </c>
      <c r="D220" s="170" t="s">
        <v>572</v>
      </c>
      <c r="E220" s="52">
        <v>200</v>
      </c>
      <c r="F220" s="127"/>
      <c r="G220" s="52">
        <v>0</v>
      </c>
      <c r="H220" s="241"/>
      <c r="I220" s="96"/>
    </row>
    <row r="221" spans="1:9" ht="16.5" customHeight="1">
      <c r="A221" s="80"/>
      <c r="B221" s="81"/>
      <c r="C221" s="8">
        <v>4210</v>
      </c>
      <c r="D221" s="170" t="s">
        <v>334</v>
      </c>
      <c r="E221" s="52">
        <v>1800</v>
      </c>
      <c r="F221" s="127"/>
      <c r="G221" s="52">
        <v>416.35</v>
      </c>
      <c r="H221" s="241"/>
      <c r="I221" s="96">
        <f t="shared" si="3"/>
        <v>23.130555555555556</v>
      </c>
    </row>
    <row r="222" spans="1:9" ht="24" customHeight="1">
      <c r="A222" s="80"/>
      <c r="B222" s="81"/>
      <c r="C222" s="8">
        <v>4240</v>
      </c>
      <c r="D222" s="170" t="s">
        <v>221</v>
      </c>
      <c r="E222" s="52">
        <v>500</v>
      </c>
      <c r="F222" s="127"/>
      <c r="G222" s="52">
        <v>0</v>
      </c>
      <c r="H222" s="241"/>
      <c r="I222" s="96"/>
    </row>
    <row r="223" spans="1:9" ht="16.5" customHeight="1">
      <c r="A223" s="80"/>
      <c r="B223" s="81"/>
      <c r="C223" s="8">
        <v>4260</v>
      </c>
      <c r="D223" s="170" t="s">
        <v>579</v>
      </c>
      <c r="E223" s="52">
        <v>9800</v>
      </c>
      <c r="F223" s="127"/>
      <c r="G223" s="52">
        <v>4773.83</v>
      </c>
      <c r="H223" s="241"/>
      <c r="I223" s="96">
        <f t="shared" si="3"/>
        <v>48.71255102040816</v>
      </c>
    </row>
    <row r="224" spans="1:9" ht="16.5" customHeight="1">
      <c r="A224" s="80"/>
      <c r="B224" s="81"/>
      <c r="C224" s="8">
        <v>4280</v>
      </c>
      <c r="D224" s="170" t="s">
        <v>179</v>
      </c>
      <c r="E224" s="52">
        <v>760</v>
      </c>
      <c r="F224" s="127"/>
      <c r="G224" s="52">
        <v>0</v>
      </c>
      <c r="H224" s="241"/>
      <c r="I224" s="96"/>
    </row>
    <row r="225" spans="1:9" ht="16.5" customHeight="1">
      <c r="A225" s="80"/>
      <c r="B225" s="81"/>
      <c r="C225" s="8">
        <v>4300</v>
      </c>
      <c r="D225" s="170" t="s">
        <v>331</v>
      </c>
      <c r="E225" s="52">
        <v>1450</v>
      </c>
      <c r="F225" s="127"/>
      <c r="G225" s="52">
        <v>795</v>
      </c>
      <c r="H225" s="241"/>
      <c r="I225" s="96">
        <f t="shared" si="3"/>
        <v>54.82758620689655</v>
      </c>
    </row>
    <row r="226" spans="1:9" ht="24" customHeight="1">
      <c r="A226" s="80"/>
      <c r="B226" s="81"/>
      <c r="C226" s="8">
        <v>4440</v>
      </c>
      <c r="D226" s="170" t="s">
        <v>567</v>
      </c>
      <c r="E226" s="52">
        <v>14754</v>
      </c>
      <c r="F226" s="127"/>
      <c r="G226" s="52">
        <v>8181</v>
      </c>
      <c r="H226" s="241"/>
      <c r="I226" s="96">
        <f t="shared" si="3"/>
        <v>55.44936966246442</v>
      </c>
    </row>
    <row r="227" spans="1:9" ht="24" customHeight="1">
      <c r="A227" s="80"/>
      <c r="B227" s="81"/>
      <c r="C227" s="8">
        <v>4520</v>
      </c>
      <c r="D227" s="170" t="s">
        <v>289</v>
      </c>
      <c r="E227" s="73">
        <v>420</v>
      </c>
      <c r="F227" s="127"/>
      <c r="G227" s="73">
        <v>169.6</v>
      </c>
      <c r="H227" s="241"/>
      <c r="I227" s="96">
        <f t="shared" si="3"/>
        <v>40.38095238095238</v>
      </c>
    </row>
    <row r="228" spans="1:9" ht="20.25" customHeight="1">
      <c r="A228" s="98"/>
      <c r="B228" s="46">
        <v>80104</v>
      </c>
      <c r="C228" s="35"/>
      <c r="D228" s="175" t="s">
        <v>180</v>
      </c>
      <c r="E228" s="91">
        <f>SUM(E229:E256)</f>
        <v>28981365.57</v>
      </c>
      <c r="F228" s="127"/>
      <c r="G228" s="91">
        <f>SUM(G229:G256)</f>
        <v>15847875.309999999</v>
      </c>
      <c r="H228" s="241"/>
      <c r="I228" s="96">
        <f t="shared" si="3"/>
        <v>54.68298335260259</v>
      </c>
    </row>
    <row r="229" spans="1:9" ht="31.5" customHeight="1">
      <c r="A229" s="81"/>
      <c r="B229" s="553"/>
      <c r="C229" s="13">
        <v>2540</v>
      </c>
      <c r="D229" s="170" t="s">
        <v>181</v>
      </c>
      <c r="E229" s="52">
        <v>1721800</v>
      </c>
      <c r="F229" s="127"/>
      <c r="G229" s="52">
        <v>729197.17</v>
      </c>
      <c r="H229" s="241"/>
      <c r="I229" s="96">
        <f t="shared" si="3"/>
        <v>42.350863631083755</v>
      </c>
    </row>
    <row r="230" spans="1:9" ht="17.25" customHeight="1">
      <c r="A230" s="81"/>
      <c r="B230" s="553"/>
      <c r="C230" s="13">
        <v>3020</v>
      </c>
      <c r="D230" s="170" t="s">
        <v>571</v>
      </c>
      <c r="E230" s="52">
        <v>92078</v>
      </c>
      <c r="F230" s="127"/>
      <c r="G230" s="52">
        <v>20995.78</v>
      </c>
      <c r="H230" s="241"/>
      <c r="I230" s="96">
        <f t="shared" si="3"/>
        <v>22.80216772736158</v>
      </c>
    </row>
    <row r="231" spans="1:9" ht="16.5" customHeight="1">
      <c r="A231" s="81"/>
      <c r="B231" s="553"/>
      <c r="C231" s="2">
        <v>4010</v>
      </c>
      <c r="D231" s="170" t="s">
        <v>378</v>
      </c>
      <c r="E231" s="52">
        <v>15690127.28</v>
      </c>
      <c r="F231" s="127"/>
      <c r="G231" s="52">
        <v>8523086.55</v>
      </c>
      <c r="H231" s="241"/>
      <c r="I231" s="96">
        <f t="shared" si="3"/>
        <v>54.32133467052411</v>
      </c>
    </row>
    <row r="232" spans="1:9" ht="16.5" customHeight="1">
      <c r="A232" s="81"/>
      <c r="B232" s="553"/>
      <c r="C232" s="2">
        <v>4040</v>
      </c>
      <c r="D232" s="170" t="s">
        <v>379</v>
      </c>
      <c r="E232" s="52">
        <v>1564147.05</v>
      </c>
      <c r="F232" s="127"/>
      <c r="G232" s="52">
        <v>1440363.51</v>
      </c>
      <c r="H232" s="241"/>
      <c r="I232" s="96">
        <f t="shared" si="3"/>
        <v>92.08619547631407</v>
      </c>
    </row>
    <row r="233" spans="1:9" ht="16.5" customHeight="1">
      <c r="A233" s="81"/>
      <c r="B233" s="553"/>
      <c r="C233" s="2">
        <v>4110</v>
      </c>
      <c r="D233" s="170" t="s">
        <v>565</v>
      </c>
      <c r="E233" s="52">
        <v>2990814</v>
      </c>
      <c r="F233" s="127"/>
      <c r="G233" s="52">
        <v>1564048.66</v>
      </c>
      <c r="H233" s="241"/>
      <c r="I233" s="96">
        <f t="shared" si="3"/>
        <v>52.29508287710301</v>
      </c>
    </row>
    <row r="234" spans="1:9" ht="16.5" customHeight="1">
      <c r="A234" s="81"/>
      <c r="B234" s="553"/>
      <c r="C234" s="2">
        <v>4120</v>
      </c>
      <c r="D234" s="170" t="s">
        <v>566</v>
      </c>
      <c r="E234" s="52">
        <v>455474</v>
      </c>
      <c r="F234" s="127"/>
      <c r="G234" s="52">
        <v>175249.74</v>
      </c>
      <c r="H234" s="241"/>
      <c r="I234" s="96">
        <f t="shared" si="3"/>
        <v>38.47634332585395</v>
      </c>
    </row>
    <row r="235" spans="1:9" ht="24" customHeight="1">
      <c r="A235" s="81"/>
      <c r="B235" s="553"/>
      <c r="C235" s="13">
        <v>4140</v>
      </c>
      <c r="D235" s="170" t="s">
        <v>220</v>
      </c>
      <c r="E235" s="52">
        <v>11800</v>
      </c>
      <c r="F235" s="127"/>
      <c r="G235" s="52">
        <v>0</v>
      </c>
      <c r="H235" s="241"/>
      <c r="I235" s="96"/>
    </row>
    <row r="236" spans="1:9" ht="16.5" customHeight="1">
      <c r="A236" s="81"/>
      <c r="B236" s="553"/>
      <c r="C236" s="2">
        <v>4170</v>
      </c>
      <c r="D236" s="170" t="s">
        <v>572</v>
      </c>
      <c r="E236" s="52">
        <v>12900</v>
      </c>
      <c r="F236" s="127"/>
      <c r="G236" s="52">
        <v>3780</v>
      </c>
      <c r="H236" s="241"/>
      <c r="I236" s="96">
        <f t="shared" si="3"/>
        <v>29.30232558139535</v>
      </c>
    </row>
    <row r="237" spans="1:9" ht="16.5" customHeight="1">
      <c r="A237" s="81"/>
      <c r="B237" s="553"/>
      <c r="C237" s="2">
        <v>4210</v>
      </c>
      <c r="D237" s="170" t="s">
        <v>573</v>
      </c>
      <c r="E237" s="52">
        <v>611184</v>
      </c>
      <c r="F237" s="88"/>
      <c r="G237" s="52">
        <v>310793.08</v>
      </c>
      <c r="H237" s="128"/>
      <c r="I237" s="96">
        <f t="shared" si="3"/>
        <v>50.85098431896123</v>
      </c>
    </row>
    <row r="238" spans="1:9" ht="16.5" customHeight="1">
      <c r="A238" s="81"/>
      <c r="B238" s="553"/>
      <c r="C238" s="1">
        <v>4220</v>
      </c>
      <c r="D238" s="205" t="s">
        <v>223</v>
      </c>
      <c r="E238" s="88">
        <v>2187371</v>
      </c>
      <c r="F238" s="127"/>
      <c r="G238" s="88">
        <v>1147815.38</v>
      </c>
      <c r="H238" s="241"/>
      <c r="I238" s="250">
        <f t="shared" si="3"/>
        <v>52.47465473392487</v>
      </c>
    </row>
    <row r="239" spans="1:9" ht="23.25" customHeight="1">
      <c r="A239" s="81"/>
      <c r="B239" s="553"/>
      <c r="C239" s="2">
        <v>4240</v>
      </c>
      <c r="D239" s="170" t="s">
        <v>221</v>
      </c>
      <c r="E239" s="52">
        <v>43600</v>
      </c>
      <c r="F239" s="127"/>
      <c r="G239" s="52">
        <v>28429.85</v>
      </c>
      <c r="H239" s="241"/>
      <c r="I239" s="96">
        <f t="shared" si="3"/>
        <v>65.20607798165138</v>
      </c>
    </row>
    <row r="240" spans="1:9" ht="16.5" customHeight="1">
      <c r="A240" s="81"/>
      <c r="B240" s="553"/>
      <c r="C240" s="2">
        <v>4260</v>
      </c>
      <c r="D240" s="170" t="s">
        <v>579</v>
      </c>
      <c r="E240" s="52">
        <v>1131900</v>
      </c>
      <c r="F240" s="127"/>
      <c r="G240" s="52">
        <v>544425.07</v>
      </c>
      <c r="H240" s="241"/>
      <c r="I240" s="96">
        <f t="shared" si="3"/>
        <v>48.098336425479275</v>
      </c>
    </row>
    <row r="241" spans="1:9" ht="16.5" customHeight="1">
      <c r="A241" s="81"/>
      <c r="B241" s="553"/>
      <c r="C241" s="2">
        <v>4270</v>
      </c>
      <c r="D241" s="170" t="s">
        <v>335</v>
      </c>
      <c r="E241" s="52">
        <v>244815</v>
      </c>
      <c r="F241" s="127"/>
      <c r="G241" s="52">
        <v>75419.03</v>
      </c>
      <c r="H241" s="241"/>
      <c r="I241" s="96">
        <f t="shared" si="3"/>
        <v>30.806539631966995</v>
      </c>
    </row>
    <row r="242" spans="1:9" ht="16.5" customHeight="1">
      <c r="A242" s="81"/>
      <c r="B242" s="553"/>
      <c r="C242" s="2">
        <v>4280</v>
      </c>
      <c r="D242" s="205" t="s">
        <v>179</v>
      </c>
      <c r="E242" s="52">
        <v>25240</v>
      </c>
      <c r="F242" s="127"/>
      <c r="G242" s="52">
        <v>4580.84</v>
      </c>
      <c r="H242" s="241"/>
      <c r="I242" s="96">
        <f t="shared" si="3"/>
        <v>18.149128367670365</v>
      </c>
    </row>
    <row r="243" spans="1:9" ht="16.5" customHeight="1">
      <c r="A243" s="81"/>
      <c r="B243" s="553"/>
      <c r="C243" s="2">
        <v>4300</v>
      </c>
      <c r="D243" s="170" t="s">
        <v>375</v>
      </c>
      <c r="E243" s="52">
        <v>660456.24</v>
      </c>
      <c r="F243" s="127"/>
      <c r="G243" s="52">
        <v>321344.6</v>
      </c>
      <c r="H243" s="241"/>
      <c r="I243" s="96">
        <f t="shared" si="3"/>
        <v>48.654941923177226</v>
      </c>
    </row>
    <row r="244" spans="1:9" ht="36" customHeight="1">
      <c r="A244" s="81"/>
      <c r="B244" s="553"/>
      <c r="C244" s="2">
        <v>4330</v>
      </c>
      <c r="D244" s="170" t="s">
        <v>143</v>
      </c>
      <c r="E244" s="52">
        <v>152000</v>
      </c>
      <c r="F244" s="127"/>
      <c r="G244" s="52">
        <v>35511.86</v>
      </c>
      <c r="H244" s="241"/>
      <c r="I244" s="96">
        <f t="shared" si="3"/>
        <v>23.363065789473687</v>
      </c>
    </row>
    <row r="245" spans="1:9" ht="24" customHeight="1">
      <c r="A245" s="81"/>
      <c r="B245" s="553"/>
      <c r="C245" s="2">
        <v>4360</v>
      </c>
      <c r="D245" s="170" t="s">
        <v>90</v>
      </c>
      <c r="E245" s="52">
        <v>79560</v>
      </c>
      <c r="F245" s="127"/>
      <c r="G245" s="52">
        <v>23324.51</v>
      </c>
      <c r="H245" s="241"/>
      <c r="I245" s="96">
        <f t="shared" si="3"/>
        <v>29.316880341880342</v>
      </c>
    </row>
    <row r="246" spans="1:9" ht="24" customHeight="1">
      <c r="A246" s="81"/>
      <c r="B246" s="553"/>
      <c r="C246" s="2">
        <v>4390</v>
      </c>
      <c r="D246" s="170" t="s">
        <v>261</v>
      </c>
      <c r="E246" s="52">
        <v>1750</v>
      </c>
      <c r="F246" s="127"/>
      <c r="G246" s="52">
        <v>300</v>
      </c>
      <c r="H246" s="241"/>
      <c r="I246" s="96">
        <f t="shared" si="3"/>
        <v>17.142857142857142</v>
      </c>
    </row>
    <row r="247" spans="1:9" ht="24" customHeight="1">
      <c r="A247" s="81"/>
      <c r="B247" s="553"/>
      <c r="C247" s="2">
        <v>4400</v>
      </c>
      <c r="D247" s="170" t="s">
        <v>184</v>
      </c>
      <c r="E247" s="52">
        <v>25200</v>
      </c>
      <c r="F247" s="127"/>
      <c r="G247" s="52">
        <v>12600</v>
      </c>
      <c r="H247" s="241"/>
      <c r="I247" s="96">
        <f t="shared" si="3"/>
        <v>50</v>
      </c>
    </row>
    <row r="248" spans="1:9" ht="16.5" customHeight="1">
      <c r="A248" s="81"/>
      <c r="B248" s="553"/>
      <c r="C248" s="2">
        <v>4410</v>
      </c>
      <c r="D248" s="170" t="s">
        <v>569</v>
      </c>
      <c r="E248" s="52">
        <v>16660</v>
      </c>
      <c r="F248" s="127"/>
      <c r="G248" s="52">
        <v>6904.12</v>
      </c>
      <c r="H248" s="241"/>
      <c r="I248" s="96">
        <f t="shared" si="3"/>
        <v>41.44129651860744</v>
      </c>
    </row>
    <row r="249" spans="1:9" ht="16.5" customHeight="1">
      <c r="A249" s="81"/>
      <c r="B249" s="553"/>
      <c r="C249" s="2">
        <v>4430</v>
      </c>
      <c r="D249" s="170" t="s">
        <v>314</v>
      </c>
      <c r="E249" s="52">
        <v>25650</v>
      </c>
      <c r="F249" s="127"/>
      <c r="G249" s="52">
        <v>8628.8</v>
      </c>
      <c r="H249" s="241"/>
      <c r="I249" s="96">
        <f t="shared" si="3"/>
        <v>33.64054580896686</v>
      </c>
    </row>
    <row r="250" spans="1:9" ht="24.75" customHeight="1">
      <c r="A250" s="81"/>
      <c r="B250" s="553"/>
      <c r="C250" s="2">
        <v>4440</v>
      </c>
      <c r="D250" s="170" t="s">
        <v>567</v>
      </c>
      <c r="E250" s="52">
        <v>1032605</v>
      </c>
      <c r="F250" s="127"/>
      <c r="G250" s="52">
        <v>787143.52</v>
      </c>
      <c r="H250" s="241"/>
      <c r="I250" s="96">
        <f t="shared" si="3"/>
        <v>76.22890844030388</v>
      </c>
    </row>
    <row r="251" spans="1:9" ht="16.5" customHeight="1">
      <c r="A251" s="81"/>
      <c r="B251" s="553"/>
      <c r="C251" s="2">
        <v>4480</v>
      </c>
      <c r="D251" s="170" t="s">
        <v>272</v>
      </c>
      <c r="E251" s="52">
        <v>5900</v>
      </c>
      <c r="F251" s="127"/>
      <c r="G251" s="52">
        <v>2715.5</v>
      </c>
      <c r="H251" s="241"/>
      <c r="I251" s="96">
        <f t="shared" si="3"/>
        <v>46.02542372881356</v>
      </c>
    </row>
    <row r="252" spans="1:9" ht="16.5" customHeight="1">
      <c r="A252" s="81"/>
      <c r="B252" s="553"/>
      <c r="C252" s="2">
        <v>4510</v>
      </c>
      <c r="D252" s="170" t="s">
        <v>226</v>
      </c>
      <c r="E252" s="52">
        <v>1455</v>
      </c>
      <c r="F252" s="127"/>
      <c r="G252" s="52">
        <v>52.5</v>
      </c>
      <c r="H252" s="241"/>
      <c r="I252" s="96">
        <f t="shared" si="3"/>
        <v>3.608247422680412</v>
      </c>
    </row>
    <row r="253" spans="1:9" ht="24.75" customHeight="1">
      <c r="A253" s="81"/>
      <c r="B253" s="553"/>
      <c r="C253" s="2">
        <v>4520</v>
      </c>
      <c r="D253" s="170" t="s">
        <v>289</v>
      </c>
      <c r="E253" s="52">
        <v>58675</v>
      </c>
      <c r="F253" s="127"/>
      <c r="G253" s="52">
        <v>20850.76</v>
      </c>
      <c r="H253" s="241"/>
      <c r="I253" s="96">
        <f t="shared" si="3"/>
        <v>35.53602045164039</v>
      </c>
    </row>
    <row r="254" spans="1:9" ht="24.75" customHeight="1">
      <c r="A254" s="81"/>
      <c r="B254" s="553"/>
      <c r="C254" s="2">
        <v>4700</v>
      </c>
      <c r="D254" s="170" t="s">
        <v>290</v>
      </c>
      <c r="E254" s="52">
        <v>35490</v>
      </c>
      <c r="F254" s="127"/>
      <c r="G254" s="52">
        <v>21135.31</v>
      </c>
      <c r="H254" s="241"/>
      <c r="I254" s="96">
        <f t="shared" si="3"/>
        <v>59.552859960552276</v>
      </c>
    </row>
    <row r="255" spans="1:9" ht="24.75" customHeight="1">
      <c r="A255" s="81"/>
      <c r="B255" s="553"/>
      <c r="C255" s="2">
        <v>6050</v>
      </c>
      <c r="D255" s="170" t="s">
        <v>342</v>
      </c>
      <c r="E255" s="73">
        <v>55214</v>
      </c>
      <c r="F255" s="127"/>
      <c r="G255" s="73">
        <f>9279.19</f>
        <v>9279.19</v>
      </c>
      <c r="H255" s="241"/>
      <c r="I255" s="96">
        <f t="shared" si="3"/>
        <v>16.805864454667297</v>
      </c>
    </row>
    <row r="256" spans="1:9" ht="24" customHeight="1">
      <c r="A256" s="81"/>
      <c r="B256" s="553"/>
      <c r="C256" s="2">
        <v>6060</v>
      </c>
      <c r="D256" s="170" t="s">
        <v>584</v>
      </c>
      <c r="E256" s="73">
        <v>47500</v>
      </c>
      <c r="F256" s="127"/>
      <c r="G256" s="73">
        <v>29899.98</v>
      </c>
      <c r="H256" s="241"/>
      <c r="I256" s="96">
        <f t="shared" si="3"/>
        <v>62.947326315789475</v>
      </c>
    </row>
    <row r="257" spans="1:9" ht="20.25" customHeight="1">
      <c r="A257" s="98"/>
      <c r="B257" s="46">
        <v>80110</v>
      </c>
      <c r="C257" s="24"/>
      <c r="D257" s="175" t="s">
        <v>257</v>
      </c>
      <c r="E257" s="38">
        <f>SUM(E258:E283)</f>
        <v>21520784.130000003</v>
      </c>
      <c r="F257" s="91">
        <f>SUM(F258:F283)</f>
        <v>223319.13</v>
      </c>
      <c r="G257" s="38">
        <f>SUM(G258:G283)</f>
        <v>11163247.029999997</v>
      </c>
      <c r="H257" s="28">
        <f>SUM(H258:H283)</f>
        <v>0</v>
      </c>
      <c r="I257" s="96">
        <f t="shared" si="3"/>
        <v>51.87193441728927</v>
      </c>
    </row>
    <row r="258" spans="1:9" ht="23.25" customHeight="1">
      <c r="A258" s="81"/>
      <c r="B258" s="553"/>
      <c r="C258" s="2">
        <v>2540</v>
      </c>
      <c r="D258" s="170" t="s">
        <v>181</v>
      </c>
      <c r="E258" s="88">
        <v>595800</v>
      </c>
      <c r="F258" s="127"/>
      <c r="G258" s="88">
        <v>307490.59</v>
      </c>
      <c r="H258" s="241"/>
      <c r="I258" s="96">
        <f t="shared" si="3"/>
        <v>51.609699563611954</v>
      </c>
    </row>
    <row r="259" spans="1:9" ht="50.25" customHeight="1">
      <c r="A259" s="81"/>
      <c r="B259" s="553"/>
      <c r="C259" s="2">
        <v>2830</v>
      </c>
      <c r="D259" s="170" t="s">
        <v>121</v>
      </c>
      <c r="E259" s="88">
        <v>5148.38</v>
      </c>
      <c r="F259" s="52">
        <v>5148.38</v>
      </c>
      <c r="G259" s="88">
        <v>0</v>
      </c>
      <c r="H259" s="26">
        <v>0</v>
      </c>
      <c r="I259" s="96"/>
    </row>
    <row r="260" spans="1:9" ht="20.25" customHeight="1">
      <c r="A260" s="81"/>
      <c r="B260" s="9"/>
      <c r="C260" s="2">
        <v>3020</v>
      </c>
      <c r="D260" s="170" t="s">
        <v>177</v>
      </c>
      <c r="E260" s="52">
        <v>94436</v>
      </c>
      <c r="F260" s="127"/>
      <c r="G260" s="52">
        <v>9656.32</v>
      </c>
      <c r="H260" s="241"/>
      <c r="I260" s="96">
        <f t="shared" si="3"/>
        <v>10.225253081451989</v>
      </c>
    </row>
    <row r="261" spans="1:9" ht="16.5" customHeight="1">
      <c r="A261" s="81"/>
      <c r="B261" s="9"/>
      <c r="C261" s="2">
        <v>4010</v>
      </c>
      <c r="D261" s="170" t="s">
        <v>378</v>
      </c>
      <c r="E261" s="52">
        <v>13212893</v>
      </c>
      <c r="F261" s="127"/>
      <c r="G261" s="52">
        <v>6601299.27</v>
      </c>
      <c r="H261" s="241"/>
      <c r="I261" s="96">
        <f t="shared" si="3"/>
        <v>49.96104388342507</v>
      </c>
    </row>
    <row r="262" spans="1:9" ht="16.5" customHeight="1">
      <c r="A262" s="81"/>
      <c r="B262" s="9"/>
      <c r="C262" s="2">
        <v>4040</v>
      </c>
      <c r="D262" s="170" t="s">
        <v>379</v>
      </c>
      <c r="E262" s="52">
        <v>1209679</v>
      </c>
      <c r="F262" s="127"/>
      <c r="G262" s="52">
        <v>1169805.16</v>
      </c>
      <c r="H262" s="241"/>
      <c r="I262" s="96">
        <f t="shared" si="3"/>
        <v>96.70376686707796</v>
      </c>
    </row>
    <row r="263" spans="1:9" ht="16.5" customHeight="1">
      <c r="A263" s="81"/>
      <c r="B263" s="9"/>
      <c r="C263" s="2">
        <v>4110</v>
      </c>
      <c r="D263" s="170" t="s">
        <v>565</v>
      </c>
      <c r="E263" s="52">
        <v>2078841</v>
      </c>
      <c r="F263" s="127"/>
      <c r="G263" s="52">
        <v>1266460.91</v>
      </c>
      <c r="H263" s="241"/>
      <c r="I263" s="96">
        <f t="shared" si="3"/>
        <v>60.92148990711651</v>
      </c>
    </row>
    <row r="264" spans="1:9" ht="16.5" customHeight="1">
      <c r="A264" s="81"/>
      <c r="B264" s="9"/>
      <c r="C264" s="2">
        <v>4120</v>
      </c>
      <c r="D264" s="170" t="s">
        <v>566</v>
      </c>
      <c r="E264" s="52">
        <v>307438</v>
      </c>
      <c r="F264" s="127"/>
      <c r="G264" s="52">
        <v>147803.45</v>
      </c>
      <c r="H264" s="241"/>
      <c r="I264" s="96">
        <f t="shared" si="3"/>
        <v>48.075855944938496</v>
      </c>
    </row>
    <row r="265" spans="1:9" ht="23.25" customHeight="1">
      <c r="A265" s="81"/>
      <c r="B265" s="9"/>
      <c r="C265" s="2">
        <v>4140</v>
      </c>
      <c r="D265" s="170" t="s">
        <v>220</v>
      </c>
      <c r="E265" s="52">
        <v>5000</v>
      </c>
      <c r="F265" s="127"/>
      <c r="G265" s="52">
        <v>0</v>
      </c>
      <c r="H265" s="241"/>
      <c r="I265" s="96"/>
    </row>
    <row r="266" spans="1:9" ht="16.5" customHeight="1">
      <c r="A266" s="81"/>
      <c r="B266" s="9"/>
      <c r="C266" s="2">
        <v>4170</v>
      </c>
      <c r="D266" s="170" t="s">
        <v>572</v>
      </c>
      <c r="E266" s="52">
        <v>40350</v>
      </c>
      <c r="F266" s="127"/>
      <c r="G266" s="52">
        <v>11480.86</v>
      </c>
      <c r="H266" s="241"/>
      <c r="I266" s="96">
        <f t="shared" si="3"/>
        <v>28.453184634448576</v>
      </c>
    </row>
    <row r="267" spans="1:9" ht="16.5" customHeight="1">
      <c r="A267" s="81"/>
      <c r="B267" s="9"/>
      <c r="C267" s="2">
        <v>4210</v>
      </c>
      <c r="D267" s="170" t="s">
        <v>334</v>
      </c>
      <c r="E267" s="52">
        <v>264875</v>
      </c>
      <c r="F267" s="127"/>
      <c r="G267" s="52">
        <v>139316.91</v>
      </c>
      <c r="H267" s="241"/>
      <c r="I267" s="96">
        <f t="shared" si="3"/>
        <v>52.5972288815479</v>
      </c>
    </row>
    <row r="268" spans="1:9" ht="16.5" customHeight="1">
      <c r="A268" s="81"/>
      <c r="B268" s="9"/>
      <c r="C268" s="2">
        <v>4220</v>
      </c>
      <c r="D268" s="170" t="s">
        <v>223</v>
      </c>
      <c r="E268" s="52">
        <v>1200</v>
      </c>
      <c r="F268" s="127"/>
      <c r="G268" s="52">
        <v>517.2</v>
      </c>
      <c r="H268" s="241"/>
      <c r="I268" s="96">
        <f t="shared" si="3"/>
        <v>43.10000000000001</v>
      </c>
    </row>
    <row r="269" spans="1:9" ht="24" customHeight="1">
      <c r="A269" s="81"/>
      <c r="B269" s="9"/>
      <c r="C269" s="2">
        <v>4240</v>
      </c>
      <c r="D269" s="170" t="s">
        <v>221</v>
      </c>
      <c r="E269" s="52">
        <v>310959.67</v>
      </c>
      <c r="F269" s="52">
        <v>215959.67</v>
      </c>
      <c r="G269" s="52">
        <v>34175.14</v>
      </c>
      <c r="H269" s="26">
        <v>0</v>
      </c>
      <c r="I269" s="96">
        <f t="shared" si="3"/>
        <v>10.990216191057831</v>
      </c>
    </row>
    <row r="270" spans="1:9" ht="16.5" customHeight="1">
      <c r="A270" s="81"/>
      <c r="B270" s="9"/>
      <c r="C270" s="2">
        <v>4260</v>
      </c>
      <c r="D270" s="170" t="s">
        <v>579</v>
      </c>
      <c r="E270" s="52">
        <v>713850</v>
      </c>
      <c r="F270" s="127"/>
      <c r="G270" s="52">
        <v>343802.85</v>
      </c>
      <c r="H270" s="241"/>
      <c r="I270" s="96">
        <f t="shared" si="3"/>
        <v>48.161777684387474</v>
      </c>
    </row>
    <row r="271" spans="1:9" ht="16.5" customHeight="1">
      <c r="A271" s="81"/>
      <c r="B271" s="9"/>
      <c r="C271" s="2">
        <v>4270</v>
      </c>
      <c r="D271" s="170" t="s">
        <v>335</v>
      </c>
      <c r="E271" s="52">
        <v>176760</v>
      </c>
      <c r="F271" s="127"/>
      <c r="G271" s="52">
        <v>67493.59</v>
      </c>
      <c r="H271" s="241"/>
      <c r="I271" s="96">
        <f t="shared" si="3"/>
        <v>38.183746322697445</v>
      </c>
    </row>
    <row r="272" spans="1:9" ht="16.5" customHeight="1">
      <c r="A272" s="81"/>
      <c r="B272" s="9"/>
      <c r="C272" s="2">
        <v>4280</v>
      </c>
      <c r="D272" s="170" t="s">
        <v>179</v>
      </c>
      <c r="E272" s="52">
        <v>17090</v>
      </c>
      <c r="F272" s="127"/>
      <c r="G272" s="52">
        <v>1928</v>
      </c>
      <c r="H272" s="241"/>
      <c r="I272" s="96">
        <f t="shared" si="3"/>
        <v>11.28145114101814</v>
      </c>
    </row>
    <row r="273" spans="1:9" ht="16.5" customHeight="1">
      <c r="A273" s="81"/>
      <c r="B273" s="9"/>
      <c r="C273" s="2">
        <v>4300</v>
      </c>
      <c r="D273" s="170" t="s">
        <v>331</v>
      </c>
      <c r="E273" s="52">
        <f>307181+2211.08</f>
        <v>309392.08</v>
      </c>
      <c r="F273" s="52">
        <v>2211.08</v>
      </c>
      <c r="G273" s="52">
        <v>129294.73</v>
      </c>
      <c r="H273" s="26">
        <v>0</v>
      </c>
      <c r="I273" s="96">
        <f t="shared" si="3"/>
        <v>41.78992881782882</v>
      </c>
    </row>
    <row r="274" spans="1:9" ht="24" customHeight="1">
      <c r="A274" s="81"/>
      <c r="B274" s="9"/>
      <c r="C274" s="2">
        <v>4360</v>
      </c>
      <c r="D274" s="170" t="s">
        <v>90</v>
      </c>
      <c r="E274" s="52">
        <v>35901</v>
      </c>
      <c r="F274" s="127"/>
      <c r="G274" s="52">
        <v>12490.37</v>
      </c>
      <c r="H274" s="241"/>
      <c r="I274" s="96">
        <f t="shared" si="3"/>
        <v>34.79114787888917</v>
      </c>
    </row>
    <row r="275" spans="1:9" ht="24" customHeight="1">
      <c r="A275" s="81"/>
      <c r="B275" s="9"/>
      <c r="C275" s="2">
        <v>4390</v>
      </c>
      <c r="D275" s="170" t="s">
        <v>261</v>
      </c>
      <c r="E275" s="52">
        <v>4000</v>
      </c>
      <c r="F275" s="127"/>
      <c r="G275" s="52">
        <v>1506</v>
      </c>
      <c r="H275" s="241"/>
      <c r="I275" s="96">
        <f aca="true" t="shared" si="4" ref="I275:I376">G275/E275*100</f>
        <v>37.65</v>
      </c>
    </row>
    <row r="276" spans="1:9" ht="15.75" customHeight="1">
      <c r="A276" s="81"/>
      <c r="B276" s="9"/>
      <c r="C276" s="2">
        <v>4410</v>
      </c>
      <c r="D276" s="170" t="s">
        <v>569</v>
      </c>
      <c r="E276" s="52">
        <v>17600</v>
      </c>
      <c r="F276" s="127"/>
      <c r="G276" s="52">
        <v>5839.09</v>
      </c>
      <c r="H276" s="241"/>
      <c r="I276" s="96">
        <f t="shared" si="4"/>
        <v>33.17664772727273</v>
      </c>
    </row>
    <row r="277" spans="1:9" ht="15.75" customHeight="1">
      <c r="A277" s="81"/>
      <c r="B277" s="9"/>
      <c r="C277" s="2">
        <v>4430</v>
      </c>
      <c r="D277" s="170" t="s">
        <v>314</v>
      </c>
      <c r="E277" s="52">
        <v>30776</v>
      </c>
      <c r="F277" s="127"/>
      <c r="G277" s="52">
        <v>12195</v>
      </c>
      <c r="H277" s="241"/>
      <c r="I277" s="96">
        <f t="shared" si="4"/>
        <v>39.625032492851574</v>
      </c>
    </row>
    <row r="278" spans="1:9" ht="24.75" customHeight="1">
      <c r="A278" s="81"/>
      <c r="B278" s="9"/>
      <c r="C278" s="2">
        <v>4440</v>
      </c>
      <c r="D278" s="170" t="s">
        <v>567</v>
      </c>
      <c r="E278" s="52">
        <v>883819</v>
      </c>
      <c r="F278" s="127"/>
      <c r="G278" s="52">
        <v>664625.25</v>
      </c>
      <c r="H278" s="241"/>
      <c r="I278" s="96">
        <f t="shared" si="4"/>
        <v>75.19924894124249</v>
      </c>
    </row>
    <row r="279" spans="1:9" ht="16.5" customHeight="1">
      <c r="A279" s="81"/>
      <c r="B279" s="9"/>
      <c r="C279" s="2">
        <v>4480</v>
      </c>
      <c r="D279" s="170" t="s">
        <v>272</v>
      </c>
      <c r="E279" s="52">
        <v>1770</v>
      </c>
      <c r="F279" s="127"/>
      <c r="G279" s="52">
        <v>792</v>
      </c>
      <c r="H279" s="241"/>
      <c r="I279" s="96">
        <f t="shared" si="4"/>
        <v>44.74576271186441</v>
      </c>
    </row>
    <row r="280" spans="1:9" ht="24.75" customHeight="1">
      <c r="A280" s="81"/>
      <c r="B280" s="9"/>
      <c r="C280" s="2">
        <v>4520</v>
      </c>
      <c r="D280" s="170" t="s">
        <v>289</v>
      </c>
      <c r="E280" s="52">
        <v>23078</v>
      </c>
      <c r="F280" s="127"/>
      <c r="G280" s="52">
        <v>7393.28</v>
      </c>
      <c r="H280" s="241"/>
      <c r="I280" s="96">
        <f t="shared" si="4"/>
        <v>32.03605165092295</v>
      </c>
    </row>
    <row r="281" spans="1:9" ht="24.75" customHeight="1">
      <c r="A281" s="81"/>
      <c r="B281" s="9"/>
      <c r="C281" s="2">
        <v>4610</v>
      </c>
      <c r="D281" s="170" t="s">
        <v>554</v>
      </c>
      <c r="E281" s="52">
        <v>2952</v>
      </c>
      <c r="F281" s="127"/>
      <c r="G281" s="52">
        <v>2952</v>
      </c>
      <c r="H281" s="241"/>
      <c r="I281" s="96">
        <f t="shared" si="4"/>
        <v>100</v>
      </c>
    </row>
    <row r="282" spans="1:9" ht="24.75" customHeight="1">
      <c r="A282" s="81"/>
      <c r="B282" s="9"/>
      <c r="C282" s="2">
        <v>4700</v>
      </c>
      <c r="D282" s="170" t="s">
        <v>290</v>
      </c>
      <c r="E282" s="52">
        <v>19176</v>
      </c>
      <c r="F282" s="127"/>
      <c r="G282" s="52">
        <v>6852</v>
      </c>
      <c r="H282" s="241"/>
      <c r="I282" s="96">
        <f t="shared" si="4"/>
        <v>35.732165206508135</v>
      </c>
    </row>
    <row r="283" spans="1:9" ht="20.25" customHeight="1">
      <c r="A283" s="81"/>
      <c r="B283" s="9"/>
      <c r="C283" s="2">
        <v>6050</v>
      </c>
      <c r="D283" s="170" t="s">
        <v>342</v>
      </c>
      <c r="E283" s="52">
        <v>1158000</v>
      </c>
      <c r="F283" s="127"/>
      <c r="G283" s="52">
        <v>218077.06</v>
      </c>
      <c r="H283" s="241"/>
      <c r="I283" s="96">
        <f t="shared" si="4"/>
        <v>18.832215889464592</v>
      </c>
    </row>
    <row r="284" spans="1:9" ht="20.25" customHeight="1">
      <c r="A284" s="81"/>
      <c r="B284" s="23">
        <v>80113</v>
      </c>
      <c r="C284" s="24"/>
      <c r="D284" s="175" t="s">
        <v>224</v>
      </c>
      <c r="E284" s="91">
        <f>SUM(E285:E285)</f>
        <v>107180</v>
      </c>
      <c r="F284" s="127"/>
      <c r="G284" s="91">
        <f>SUM(G285:G285)</f>
        <v>40787.310000000005</v>
      </c>
      <c r="H284" s="241"/>
      <c r="I284" s="96">
        <f t="shared" si="4"/>
        <v>38.0549636126143</v>
      </c>
    </row>
    <row r="285" spans="1:9" ht="16.5" customHeight="1">
      <c r="A285" s="81"/>
      <c r="B285" s="9"/>
      <c r="C285" s="2">
        <v>4300</v>
      </c>
      <c r="D285" s="170" t="s">
        <v>331</v>
      </c>
      <c r="E285" s="52">
        <f>91280+15900</f>
        <v>107180</v>
      </c>
      <c r="F285" s="127"/>
      <c r="G285" s="52">
        <f>35535.12+5252.19</f>
        <v>40787.310000000005</v>
      </c>
      <c r="H285" s="241"/>
      <c r="I285" s="96">
        <f t="shared" si="4"/>
        <v>38.0549636126143</v>
      </c>
    </row>
    <row r="286" spans="1:9" ht="20.25" customHeight="1">
      <c r="A286" s="81"/>
      <c r="B286" s="46">
        <v>80146</v>
      </c>
      <c r="C286" s="2"/>
      <c r="D286" s="175" t="s">
        <v>137</v>
      </c>
      <c r="E286" s="91">
        <f>SUM(E287:E294)</f>
        <v>459473</v>
      </c>
      <c r="F286" s="127"/>
      <c r="G286" s="91">
        <f>SUM(G287:G294)</f>
        <v>265410.74</v>
      </c>
      <c r="H286" s="241"/>
      <c r="I286" s="96">
        <f t="shared" si="4"/>
        <v>57.76416459726686</v>
      </c>
    </row>
    <row r="287" spans="1:9" ht="16.5" customHeight="1">
      <c r="A287" s="81"/>
      <c r="B287" s="78"/>
      <c r="C287" s="2">
        <v>4010</v>
      </c>
      <c r="D287" s="170" t="s">
        <v>378</v>
      </c>
      <c r="E287" s="52">
        <v>78728</v>
      </c>
      <c r="F287" s="127"/>
      <c r="G287" s="52">
        <v>59008.49</v>
      </c>
      <c r="H287" s="241"/>
      <c r="I287" s="96">
        <f t="shared" si="4"/>
        <v>74.9523549436033</v>
      </c>
    </row>
    <row r="288" spans="1:9" ht="16.5" customHeight="1">
      <c r="A288" s="81"/>
      <c r="B288" s="78"/>
      <c r="C288" s="2">
        <v>4110</v>
      </c>
      <c r="D288" s="170" t="s">
        <v>565</v>
      </c>
      <c r="E288" s="52">
        <v>13533</v>
      </c>
      <c r="F288" s="127"/>
      <c r="G288" s="52">
        <v>9883.42</v>
      </c>
      <c r="H288" s="241"/>
      <c r="I288" s="96">
        <f t="shared" si="4"/>
        <v>73.03199586196705</v>
      </c>
    </row>
    <row r="289" spans="1:9" ht="16.5" customHeight="1">
      <c r="A289" s="81"/>
      <c r="B289" s="78"/>
      <c r="C289" s="2">
        <v>4120</v>
      </c>
      <c r="D289" s="170" t="s">
        <v>566</v>
      </c>
      <c r="E289" s="52">
        <v>1927</v>
      </c>
      <c r="F289" s="127"/>
      <c r="G289" s="52">
        <v>1307.16</v>
      </c>
      <c r="H289" s="241"/>
      <c r="I289" s="96">
        <f t="shared" si="4"/>
        <v>67.83393876491957</v>
      </c>
    </row>
    <row r="290" spans="1:9" ht="16.5" customHeight="1">
      <c r="A290" s="81"/>
      <c r="B290" s="78"/>
      <c r="C290" s="2">
        <v>4210</v>
      </c>
      <c r="D290" s="170" t="s">
        <v>334</v>
      </c>
      <c r="E290" s="52">
        <v>6170</v>
      </c>
      <c r="F290" s="127"/>
      <c r="G290" s="52">
        <v>3247.54</v>
      </c>
      <c r="H290" s="241"/>
      <c r="I290" s="96">
        <f t="shared" si="4"/>
        <v>52.634359805510535</v>
      </c>
    </row>
    <row r="291" spans="1:9" ht="23.25" customHeight="1">
      <c r="A291" s="81"/>
      <c r="B291" s="78"/>
      <c r="C291" s="2">
        <v>4240</v>
      </c>
      <c r="D291" s="170" t="s">
        <v>221</v>
      </c>
      <c r="E291" s="52">
        <v>4870</v>
      </c>
      <c r="F291" s="127"/>
      <c r="G291" s="52">
        <v>770.34</v>
      </c>
      <c r="H291" s="241"/>
      <c r="I291" s="96">
        <f t="shared" si="4"/>
        <v>15.818069815195074</v>
      </c>
    </row>
    <row r="292" spans="1:9" ht="16.5" customHeight="1">
      <c r="A292" s="81"/>
      <c r="B292" s="78"/>
      <c r="C292" s="2">
        <v>4300</v>
      </c>
      <c r="D292" s="170" t="s">
        <v>331</v>
      </c>
      <c r="E292" s="52">
        <v>78911</v>
      </c>
      <c r="F292" s="127"/>
      <c r="G292" s="52">
        <v>33635.09</v>
      </c>
      <c r="H292" s="241"/>
      <c r="I292" s="96">
        <f t="shared" si="4"/>
        <v>42.62408282748919</v>
      </c>
    </row>
    <row r="293" spans="1:9" ht="16.5" customHeight="1">
      <c r="A293" s="81"/>
      <c r="B293" s="78"/>
      <c r="C293" s="2">
        <v>4410</v>
      </c>
      <c r="D293" s="170" t="s">
        <v>569</v>
      </c>
      <c r="E293" s="52">
        <v>24647</v>
      </c>
      <c r="F293" s="127"/>
      <c r="G293" s="52">
        <v>9812.19</v>
      </c>
      <c r="H293" s="241"/>
      <c r="I293" s="96">
        <f t="shared" si="4"/>
        <v>39.810889763460054</v>
      </c>
    </row>
    <row r="294" spans="1:9" ht="24" customHeight="1">
      <c r="A294" s="81"/>
      <c r="B294" s="78"/>
      <c r="C294" s="2">
        <v>4700</v>
      </c>
      <c r="D294" s="170" t="s">
        <v>290</v>
      </c>
      <c r="E294" s="52">
        <v>250687</v>
      </c>
      <c r="F294" s="127"/>
      <c r="G294" s="52">
        <v>147746.51</v>
      </c>
      <c r="H294" s="241"/>
      <c r="I294" s="96">
        <f t="shared" si="4"/>
        <v>58.936646096526744</v>
      </c>
    </row>
    <row r="295" spans="1:9" ht="20.25" customHeight="1">
      <c r="A295" s="81"/>
      <c r="B295" s="24">
        <v>80148</v>
      </c>
      <c r="C295" s="24"/>
      <c r="D295" s="175" t="s">
        <v>198</v>
      </c>
      <c r="E295" s="91">
        <f>SUM(E296:E314)</f>
        <v>4059960</v>
      </c>
      <c r="F295" s="127"/>
      <c r="G295" s="91">
        <f>SUM(G296:G314)</f>
        <v>2014902.6500000001</v>
      </c>
      <c r="H295" s="241"/>
      <c r="I295" s="96">
        <f t="shared" si="4"/>
        <v>49.62863304071961</v>
      </c>
    </row>
    <row r="296" spans="1:9" ht="19.5" customHeight="1">
      <c r="A296" s="81"/>
      <c r="B296" s="9"/>
      <c r="C296" s="2">
        <v>3020</v>
      </c>
      <c r="D296" s="170" t="s">
        <v>177</v>
      </c>
      <c r="E296" s="88">
        <v>20280</v>
      </c>
      <c r="F296" s="127"/>
      <c r="G296" s="88">
        <v>2357.92</v>
      </c>
      <c r="H296" s="241"/>
      <c r="I296" s="96">
        <f t="shared" si="4"/>
        <v>11.626824457593688</v>
      </c>
    </row>
    <row r="297" spans="1:9" ht="16.5" customHeight="1">
      <c r="A297" s="81"/>
      <c r="B297" s="9"/>
      <c r="C297" s="2">
        <v>4010</v>
      </c>
      <c r="D297" s="170" t="s">
        <v>378</v>
      </c>
      <c r="E297" s="52">
        <v>1206161</v>
      </c>
      <c r="F297" s="127"/>
      <c r="G297" s="52">
        <v>565220.38</v>
      </c>
      <c r="H297" s="241"/>
      <c r="I297" s="96">
        <f t="shared" si="4"/>
        <v>46.861105606962916</v>
      </c>
    </row>
    <row r="298" spans="1:9" ht="16.5" customHeight="1">
      <c r="A298" s="81"/>
      <c r="B298" s="9"/>
      <c r="C298" s="2">
        <v>4040</v>
      </c>
      <c r="D298" s="170" t="s">
        <v>379</v>
      </c>
      <c r="E298" s="52">
        <v>91174</v>
      </c>
      <c r="F298" s="127"/>
      <c r="G298" s="52">
        <v>88503.78</v>
      </c>
      <c r="H298" s="241"/>
      <c r="I298" s="96">
        <f t="shared" si="4"/>
        <v>97.07129225437076</v>
      </c>
    </row>
    <row r="299" spans="1:9" ht="16.5" customHeight="1">
      <c r="A299" s="81"/>
      <c r="B299" s="9"/>
      <c r="C299" s="2">
        <v>4110</v>
      </c>
      <c r="D299" s="170" t="s">
        <v>565</v>
      </c>
      <c r="E299" s="52">
        <v>214731</v>
      </c>
      <c r="F299" s="127"/>
      <c r="G299" s="52">
        <v>99958.75</v>
      </c>
      <c r="H299" s="241"/>
      <c r="I299" s="96">
        <f t="shared" si="4"/>
        <v>46.550684344598594</v>
      </c>
    </row>
    <row r="300" spans="1:9" ht="16.5" customHeight="1">
      <c r="A300" s="81"/>
      <c r="B300" s="9"/>
      <c r="C300" s="2">
        <v>4120</v>
      </c>
      <c r="D300" s="170" t="s">
        <v>566</v>
      </c>
      <c r="E300" s="52">
        <v>30737</v>
      </c>
      <c r="F300" s="127"/>
      <c r="G300" s="52">
        <v>10584.18</v>
      </c>
      <c r="H300" s="241"/>
      <c r="I300" s="96">
        <f t="shared" si="4"/>
        <v>34.43465530142824</v>
      </c>
    </row>
    <row r="301" spans="1:9" ht="16.5" customHeight="1">
      <c r="A301" s="81"/>
      <c r="B301" s="9"/>
      <c r="C301" s="2">
        <v>4170</v>
      </c>
      <c r="D301" s="170" t="s">
        <v>572</v>
      </c>
      <c r="E301" s="52">
        <v>3015</v>
      </c>
      <c r="F301" s="127"/>
      <c r="G301" s="52">
        <v>1544</v>
      </c>
      <c r="H301" s="241"/>
      <c r="I301" s="96">
        <f t="shared" si="4"/>
        <v>51.210613598673305</v>
      </c>
    </row>
    <row r="302" spans="1:9" ht="16.5" customHeight="1">
      <c r="A302" s="81"/>
      <c r="B302" s="9"/>
      <c r="C302" s="2">
        <v>4210</v>
      </c>
      <c r="D302" s="170" t="s">
        <v>334</v>
      </c>
      <c r="E302" s="52">
        <v>92380</v>
      </c>
      <c r="F302" s="127"/>
      <c r="G302" s="52">
        <v>34306.18</v>
      </c>
      <c r="H302" s="241"/>
      <c r="I302" s="96">
        <f t="shared" si="4"/>
        <v>37.13593851483005</v>
      </c>
    </row>
    <row r="303" spans="1:9" ht="16.5" customHeight="1">
      <c r="A303" s="81"/>
      <c r="B303" s="9"/>
      <c r="C303" s="2">
        <v>4220</v>
      </c>
      <c r="D303" s="170" t="s">
        <v>223</v>
      </c>
      <c r="E303" s="52">
        <v>1856974</v>
      </c>
      <c r="F303" s="127"/>
      <c r="G303" s="52">
        <v>950260.46</v>
      </c>
      <c r="H303" s="241"/>
      <c r="I303" s="96">
        <f t="shared" si="4"/>
        <v>51.17252368638441</v>
      </c>
    </row>
    <row r="304" spans="1:9" ht="16.5" customHeight="1">
      <c r="A304" s="81"/>
      <c r="B304" s="9"/>
      <c r="C304" s="2">
        <v>4260</v>
      </c>
      <c r="D304" s="170" t="s">
        <v>579</v>
      </c>
      <c r="E304" s="52">
        <v>287750</v>
      </c>
      <c r="F304" s="127"/>
      <c r="G304" s="52">
        <v>139357.06</v>
      </c>
      <c r="H304" s="241"/>
      <c r="I304" s="96">
        <f t="shared" si="4"/>
        <v>48.429907906168545</v>
      </c>
    </row>
    <row r="305" spans="1:9" ht="16.5" customHeight="1">
      <c r="A305" s="81"/>
      <c r="B305" s="9"/>
      <c r="C305" s="2">
        <v>4270</v>
      </c>
      <c r="D305" s="170" t="s">
        <v>335</v>
      </c>
      <c r="E305" s="52">
        <v>48940</v>
      </c>
      <c r="F305" s="127"/>
      <c r="G305" s="52">
        <v>14529</v>
      </c>
      <c r="H305" s="241"/>
      <c r="I305" s="96">
        <f t="shared" si="4"/>
        <v>29.687372292603186</v>
      </c>
    </row>
    <row r="306" spans="1:9" ht="16.5" customHeight="1">
      <c r="A306" s="81"/>
      <c r="B306" s="9"/>
      <c r="C306" s="2">
        <v>4280</v>
      </c>
      <c r="D306" s="170" t="s">
        <v>179</v>
      </c>
      <c r="E306" s="52">
        <v>2350</v>
      </c>
      <c r="F306" s="88"/>
      <c r="G306" s="52">
        <v>128</v>
      </c>
      <c r="H306" s="128"/>
      <c r="I306" s="96">
        <f t="shared" si="4"/>
        <v>5.446808510638298</v>
      </c>
    </row>
    <row r="307" spans="1:9" ht="16.5" customHeight="1">
      <c r="A307" s="81"/>
      <c r="B307" s="9"/>
      <c r="C307" s="1">
        <v>4300</v>
      </c>
      <c r="D307" s="205" t="s">
        <v>331</v>
      </c>
      <c r="E307" s="88">
        <v>119037</v>
      </c>
      <c r="F307" s="127"/>
      <c r="G307" s="88">
        <v>48082.11</v>
      </c>
      <c r="H307" s="241"/>
      <c r="I307" s="250">
        <f t="shared" si="4"/>
        <v>40.39257541772726</v>
      </c>
    </row>
    <row r="308" spans="1:9" ht="23.25" customHeight="1">
      <c r="A308" s="81"/>
      <c r="B308" s="9"/>
      <c r="C308" s="2">
        <v>4390</v>
      </c>
      <c r="D308" s="170" t="s">
        <v>261</v>
      </c>
      <c r="E308" s="52">
        <v>300</v>
      </c>
      <c r="F308" s="127"/>
      <c r="G308" s="52">
        <v>0</v>
      </c>
      <c r="H308" s="241"/>
      <c r="I308" s="96"/>
    </row>
    <row r="309" spans="1:9" ht="16.5" customHeight="1">
      <c r="A309" s="81"/>
      <c r="B309" s="9"/>
      <c r="C309" s="2">
        <v>4410</v>
      </c>
      <c r="D309" s="170" t="s">
        <v>569</v>
      </c>
      <c r="E309" s="52">
        <v>800</v>
      </c>
      <c r="F309" s="127"/>
      <c r="G309" s="52">
        <v>0</v>
      </c>
      <c r="H309" s="241"/>
      <c r="I309" s="96"/>
    </row>
    <row r="310" spans="1:9" ht="16.5" customHeight="1">
      <c r="A310" s="81"/>
      <c r="B310" s="9"/>
      <c r="C310" s="2">
        <v>4430</v>
      </c>
      <c r="D310" s="170" t="s">
        <v>314</v>
      </c>
      <c r="E310" s="52">
        <v>600</v>
      </c>
      <c r="F310" s="127"/>
      <c r="G310" s="52">
        <v>0</v>
      </c>
      <c r="H310" s="241"/>
      <c r="I310" s="96"/>
    </row>
    <row r="311" spans="1:9" ht="24" customHeight="1">
      <c r="A311" s="81"/>
      <c r="B311" s="9"/>
      <c r="C311" s="2">
        <v>4440</v>
      </c>
      <c r="D311" s="170" t="s">
        <v>567</v>
      </c>
      <c r="E311" s="52">
        <v>50301</v>
      </c>
      <c r="F311" s="127"/>
      <c r="G311" s="52">
        <v>37171.75</v>
      </c>
      <c r="H311" s="241"/>
      <c r="I311" s="96">
        <f t="shared" si="4"/>
        <v>73.89863024591956</v>
      </c>
    </row>
    <row r="312" spans="1:9" ht="24" customHeight="1">
      <c r="A312" s="81"/>
      <c r="B312" s="9"/>
      <c r="C312" s="2">
        <v>4520</v>
      </c>
      <c r="D312" s="170" t="s">
        <v>289</v>
      </c>
      <c r="E312" s="73">
        <v>10130</v>
      </c>
      <c r="F312" s="127"/>
      <c r="G312" s="73">
        <v>3701.7</v>
      </c>
      <c r="H312" s="241"/>
      <c r="I312" s="96">
        <f t="shared" si="4"/>
        <v>36.541954590325766</v>
      </c>
    </row>
    <row r="313" spans="1:9" ht="24" customHeight="1">
      <c r="A313" s="81"/>
      <c r="B313" s="9"/>
      <c r="C313" s="2">
        <v>4700</v>
      </c>
      <c r="D313" s="170" t="s">
        <v>290</v>
      </c>
      <c r="E313" s="73">
        <v>3000</v>
      </c>
      <c r="F313" s="127"/>
      <c r="G313" s="73">
        <v>440</v>
      </c>
      <c r="H313" s="241"/>
      <c r="I313" s="96">
        <f t="shared" si="4"/>
        <v>14.666666666666666</v>
      </c>
    </row>
    <row r="314" spans="1:9" ht="24" customHeight="1">
      <c r="A314" s="81"/>
      <c r="B314" s="9"/>
      <c r="C314" s="2">
        <v>6060</v>
      </c>
      <c r="D314" s="170" t="s">
        <v>584</v>
      </c>
      <c r="E314" s="178">
        <v>21300</v>
      </c>
      <c r="F314" s="127"/>
      <c r="G314" s="178">
        <f>18757.38</f>
        <v>18757.38</v>
      </c>
      <c r="H314" s="241"/>
      <c r="I314" s="96">
        <f t="shared" si="4"/>
        <v>88.06281690140845</v>
      </c>
    </row>
    <row r="315" spans="1:9" ht="61.5" customHeight="1">
      <c r="A315" s="81"/>
      <c r="B315" s="24">
        <v>80149</v>
      </c>
      <c r="C315" s="24"/>
      <c r="D315" s="175" t="s">
        <v>688</v>
      </c>
      <c r="E315" s="91">
        <f>SUM(E316:E337)</f>
        <v>3171984.4299999997</v>
      </c>
      <c r="F315" s="127"/>
      <c r="G315" s="91">
        <f>SUM(G316:G337)</f>
        <v>1480008.8599999999</v>
      </c>
      <c r="H315" s="241"/>
      <c r="I315" s="96">
        <f t="shared" si="4"/>
        <v>46.65876812011968</v>
      </c>
    </row>
    <row r="316" spans="1:9" ht="24" customHeight="1">
      <c r="A316" s="81"/>
      <c r="B316" s="29"/>
      <c r="C316" s="2">
        <v>2540</v>
      </c>
      <c r="D316" s="170" t="s">
        <v>181</v>
      </c>
      <c r="E316" s="88">
        <v>571200</v>
      </c>
      <c r="F316" s="127"/>
      <c r="G316" s="88">
        <v>253386.16</v>
      </c>
      <c r="H316" s="241"/>
      <c r="I316" s="96">
        <f t="shared" si="4"/>
        <v>44.36032212885154</v>
      </c>
    </row>
    <row r="317" spans="1:9" ht="18" customHeight="1">
      <c r="A317" s="81"/>
      <c r="B317" s="9"/>
      <c r="C317" s="2">
        <v>3020</v>
      </c>
      <c r="D317" s="170" t="s">
        <v>177</v>
      </c>
      <c r="E317" s="88">
        <v>3900</v>
      </c>
      <c r="F317" s="127"/>
      <c r="G317" s="88">
        <v>766.65</v>
      </c>
      <c r="H317" s="241"/>
      <c r="I317" s="96">
        <f t="shared" si="4"/>
        <v>19.657692307692308</v>
      </c>
    </row>
    <row r="318" spans="1:9" ht="16.5" customHeight="1">
      <c r="A318" s="81"/>
      <c r="B318" s="9"/>
      <c r="C318" s="2">
        <v>4010</v>
      </c>
      <c r="D318" s="170" t="s">
        <v>378</v>
      </c>
      <c r="E318" s="52">
        <v>1985274.72</v>
      </c>
      <c r="F318" s="127"/>
      <c r="G318" s="52">
        <v>937646.74</v>
      </c>
      <c r="H318" s="241"/>
      <c r="I318" s="96">
        <f t="shared" si="4"/>
        <v>47.23007503969022</v>
      </c>
    </row>
    <row r="319" spans="1:9" ht="16.5" customHeight="1">
      <c r="A319" s="81"/>
      <c r="B319" s="9"/>
      <c r="C319" s="2">
        <v>4110</v>
      </c>
      <c r="D319" s="170" t="s">
        <v>565</v>
      </c>
      <c r="E319" s="52">
        <v>348725</v>
      </c>
      <c r="F319" s="127"/>
      <c r="G319" s="52">
        <v>140766.23</v>
      </c>
      <c r="H319" s="241"/>
      <c r="I319" s="96">
        <f t="shared" si="4"/>
        <v>40.36597032045308</v>
      </c>
    </row>
    <row r="320" spans="1:9" ht="16.5" customHeight="1">
      <c r="A320" s="81"/>
      <c r="B320" s="9"/>
      <c r="C320" s="2">
        <v>4120</v>
      </c>
      <c r="D320" s="170" t="s">
        <v>566</v>
      </c>
      <c r="E320" s="52">
        <v>43705.95</v>
      </c>
      <c r="F320" s="127"/>
      <c r="G320" s="52">
        <v>18812.37</v>
      </c>
      <c r="H320" s="241"/>
      <c r="I320" s="96">
        <f t="shared" si="4"/>
        <v>43.04304105047482</v>
      </c>
    </row>
    <row r="321" spans="1:9" ht="16.5" customHeight="1">
      <c r="A321" s="81"/>
      <c r="B321" s="9"/>
      <c r="C321" s="2">
        <v>4170</v>
      </c>
      <c r="D321" s="170" t="s">
        <v>572</v>
      </c>
      <c r="E321" s="52">
        <v>13200</v>
      </c>
      <c r="F321" s="127"/>
      <c r="G321" s="52">
        <v>8655.38</v>
      </c>
      <c r="H321" s="241"/>
      <c r="I321" s="96">
        <f t="shared" si="4"/>
        <v>65.5710606060606</v>
      </c>
    </row>
    <row r="322" spans="1:9" ht="16.5" customHeight="1">
      <c r="A322" s="81"/>
      <c r="B322" s="9"/>
      <c r="C322" s="2">
        <v>4210</v>
      </c>
      <c r="D322" s="170" t="s">
        <v>334</v>
      </c>
      <c r="E322" s="52">
        <v>12000</v>
      </c>
      <c r="F322" s="127"/>
      <c r="G322" s="52">
        <v>11351.4</v>
      </c>
      <c r="H322" s="241"/>
      <c r="I322" s="96">
        <f t="shared" si="4"/>
        <v>94.595</v>
      </c>
    </row>
    <row r="323" spans="1:9" ht="16.5" customHeight="1">
      <c r="A323" s="81"/>
      <c r="B323" s="9"/>
      <c r="C323" s="2">
        <v>4220</v>
      </c>
      <c r="D323" s="170" t="s">
        <v>223</v>
      </c>
      <c r="E323" s="52">
        <v>42600</v>
      </c>
      <c r="F323" s="127"/>
      <c r="G323" s="52">
        <v>6213.1</v>
      </c>
      <c r="H323" s="241"/>
      <c r="I323" s="96">
        <f t="shared" si="4"/>
        <v>14.584741784037558</v>
      </c>
    </row>
    <row r="324" spans="1:9" ht="24" customHeight="1">
      <c r="A324" s="81"/>
      <c r="B324" s="9"/>
      <c r="C324" s="2">
        <v>4240</v>
      </c>
      <c r="D324" s="170" t="s">
        <v>221</v>
      </c>
      <c r="E324" s="52">
        <v>8449.76</v>
      </c>
      <c r="F324" s="127"/>
      <c r="G324" s="52">
        <v>6196.92</v>
      </c>
      <c r="H324" s="241"/>
      <c r="I324" s="96">
        <f t="shared" si="4"/>
        <v>73.3384143454962</v>
      </c>
    </row>
    <row r="325" spans="1:9" ht="17.25" customHeight="1">
      <c r="A325" s="81"/>
      <c r="B325" s="9"/>
      <c r="C325" s="2">
        <v>4260</v>
      </c>
      <c r="D325" s="170" t="s">
        <v>579</v>
      </c>
      <c r="E325" s="52">
        <v>22500</v>
      </c>
      <c r="F325" s="127"/>
      <c r="G325" s="52">
        <v>8685.69</v>
      </c>
      <c r="H325" s="241"/>
      <c r="I325" s="96">
        <f t="shared" si="4"/>
        <v>38.60306666666667</v>
      </c>
    </row>
    <row r="326" spans="1:9" ht="17.25" customHeight="1">
      <c r="A326" s="81"/>
      <c r="B326" s="9"/>
      <c r="C326" s="2">
        <v>4270</v>
      </c>
      <c r="D326" s="170" t="s">
        <v>335</v>
      </c>
      <c r="E326" s="52">
        <v>3000</v>
      </c>
      <c r="F326" s="127"/>
      <c r="G326" s="52">
        <v>1507.79</v>
      </c>
      <c r="H326" s="241"/>
      <c r="I326" s="96">
        <f t="shared" si="4"/>
        <v>50.25966666666667</v>
      </c>
    </row>
    <row r="327" spans="1:9" ht="17.25" customHeight="1">
      <c r="A327" s="81"/>
      <c r="B327" s="9"/>
      <c r="C327" s="2">
        <v>4280</v>
      </c>
      <c r="D327" s="170" t="s">
        <v>179</v>
      </c>
      <c r="E327" s="52">
        <v>660</v>
      </c>
      <c r="F327" s="127"/>
      <c r="G327" s="52">
        <v>331.43</v>
      </c>
      <c r="H327" s="241"/>
      <c r="I327" s="96">
        <f t="shared" si="4"/>
        <v>50.21666666666667</v>
      </c>
    </row>
    <row r="328" spans="1:9" ht="17.25" customHeight="1">
      <c r="A328" s="81"/>
      <c r="B328" s="9"/>
      <c r="C328" s="2">
        <v>4300</v>
      </c>
      <c r="D328" s="170" t="s">
        <v>331</v>
      </c>
      <c r="E328" s="52">
        <v>25120</v>
      </c>
      <c r="F328" s="127"/>
      <c r="G328" s="52">
        <v>15133.84</v>
      </c>
      <c r="H328" s="241"/>
      <c r="I328" s="96">
        <f t="shared" si="4"/>
        <v>60.24617834394904</v>
      </c>
    </row>
    <row r="329" spans="1:9" ht="23.25" customHeight="1">
      <c r="A329" s="81"/>
      <c r="B329" s="9"/>
      <c r="C329" s="2">
        <v>4360</v>
      </c>
      <c r="D329" s="170" t="s">
        <v>90</v>
      </c>
      <c r="E329" s="52">
        <v>1440</v>
      </c>
      <c r="F329" s="127"/>
      <c r="G329" s="52">
        <v>337.41</v>
      </c>
      <c r="H329" s="241"/>
      <c r="I329" s="96">
        <f t="shared" si="4"/>
        <v>23.431250000000002</v>
      </c>
    </row>
    <row r="330" spans="1:9" ht="23.25" customHeight="1">
      <c r="A330" s="81"/>
      <c r="B330" s="9"/>
      <c r="C330" s="2">
        <v>4390</v>
      </c>
      <c r="D330" s="170" t="s">
        <v>261</v>
      </c>
      <c r="E330" s="52">
        <v>600</v>
      </c>
      <c r="F330" s="127"/>
      <c r="G330" s="52">
        <v>0</v>
      </c>
      <c r="H330" s="241"/>
      <c r="I330" s="96"/>
    </row>
    <row r="331" spans="1:9" ht="23.25" customHeight="1">
      <c r="A331" s="81"/>
      <c r="B331" s="9"/>
      <c r="C331" s="2">
        <v>4400</v>
      </c>
      <c r="D331" s="170" t="s">
        <v>184</v>
      </c>
      <c r="E331" s="52">
        <v>10800</v>
      </c>
      <c r="F331" s="127"/>
      <c r="G331" s="52">
        <v>5400</v>
      </c>
      <c r="H331" s="241"/>
      <c r="I331" s="96">
        <f t="shared" si="4"/>
        <v>50</v>
      </c>
    </row>
    <row r="332" spans="1:9" ht="17.25" customHeight="1">
      <c r="A332" s="81"/>
      <c r="B332" s="9"/>
      <c r="C332" s="2">
        <v>4410</v>
      </c>
      <c r="D332" s="170" t="s">
        <v>569</v>
      </c>
      <c r="E332" s="52">
        <v>1200</v>
      </c>
      <c r="F332" s="127"/>
      <c r="G332" s="52">
        <v>903.62</v>
      </c>
      <c r="H332" s="241"/>
      <c r="I332" s="96">
        <f t="shared" si="4"/>
        <v>75.30166666666666</v>
      </c>
    </row>
    <row r="333" spans="1:9" ht="17.25" customHeight="1">
      <c r="A333" s="81"/>
      <c r="B333" s="9"/>
      <c r="C333" s="2">
        <v>4430</v>
      </c>
      <c r="D333" s="170" t="s">
        <v>314</v>
      </c>
      <c r="E333" s="52">
        <v>1050</v>
      </c>
      <c r="F333" s="127"/>
      <c r="G333" s="52">
        <v>754.2</v>
      </c>
      <c r="H333" s="241"/>
      <c r="I333" s="96">
        <f t="shared" si="4"/>
        <v>71.82857142857144</v>
      </c>
    </row>
    <row r="334" spans="1:9" ht="23.25" customHeight="1">
      <c r="A334" s="81"/>
      <c r="B334" s="9"/>
      <c r="C334" s="2">
        <v>4440</v>
      </c>
      <c r="D334" s="170" t="s">
        <v>567</v>
      </c>
      <c r="E334" s="52">
        <v>74314</v>
      </c>
      <c r="F334" s="127"/>
      <c r="G334" s="52">
        <v>61680</v>
      </c>
      <c r="H334" s="241"/>
      <c r="I334" s="96">
        <f t="shared" si="4"/>
        <v>82.99916570229028</v>
      </c>
    </row>
    <row r="335" spans="1:9" ht="17.25" customHeight="1">
      <c r="A335" s="81"/>
      <c r="B335" s="9"/>
      <c r="C335" s="2">
        <v>4510</v>
      </c>
      <c r="D335" s="170" t="s">
        <v>226</v>
      </c>
      <c r="E335" s="73">
        <v>45</v>
      </c>
      <c r="F335" s="127"/>
      <c r="G335" s="73">
        <v>22.5</v>
      </c>
      <c r="H335" s="241"/>
      <c r="I335" s="96">
        <f t="shared" si="4"/>
        <v>50</v>
      </c>
    </row>
    <row r="336" spans="1:9" ht="23.25" customHeight="1">
      <c r="A336" s="81"/>
      <c r="B336" s="9"/>
      <c r="C336" s="2">
        <v>4520</v>
      </c>
      <c r="D336" s="170" t="s">
        <v>289</v>
      </c>
      <c r="E336" s="73">
        <v>900</v>
      </c>
      <c r="F336" s="127"/>
      <c r="G336" s="73">
        <v>226.44</v>
      </c>
      <c r="H336" s="241"/>
      <c r="I336" s="96">
        <f t="shared" si="4"/>
        <v>25.16</v>
      </c>
    </row>
    <row r="337" spans="1:9" ht="23.25" customHeight="1">
      <c r="A337" s="81"/>
      <c r="B337" s="9"/>
      <c r="C337" s="2">
        <v>4700</v>
      </c>
      <c r="D337" s="170" t="s">
        <v>290</v>
      </c>
      <c r="E337" s="52">
        <v>1300</v>
      </c>
      <c r="F337" s="88"/>
      <c r="G337" s="52">
        <v>1230.99</v>
      </c>
      <c r="H337" s="128"/>
      <c r="I337" s="96">
        <f t="shared" si="4"/>
        <v>94.69153846153846</v>
      </c>
    </row>
    <row r="338" spans="1:9" ht="71.25" customHeight="1">
      <c r="A338" s="81"/>
      <c r="B338" s="24">
        <v>80150</v>
      </c>
      <c r="C338" s="24"/>
      <c r="D338" s="175" t="s">
        <v>287</v>
      </c>
      <c r="E338" s="91">
        <f>SUM(E339:E349)</f>
        <v>5535967.39</v>
      </c>
      <c r="F338" s="91">
        <f>SUM(F339:F349)</f>
        <v>14857.390000000001</v>
      </c>
      <c r="G338" s="91">
        <f>SUM(G339:G349)</f>
        <v>1995827.7000000002</v>
      </c>
      <c r="H338" s="28">
        <f>SUM(H339:H349)</f>
        <v>0</v>
      </c>
      <c r="I338" s="96">
        <f t="shared" si="4"/>
        <v>36.05201330494109</v>
      </c>
    </row>
    <row r="339" spans="1:9" ht="21.75" customHeight="1">
      <c r="A339" s="81"/>
      <c r="B339" s="9"/>
      <c r="C339" s="2">
        <v>3020</v>
      </c>
      <c r="D339" s="170" t="s">
        <v>177</v>
      </c>
      <c r="E339" s="88">
        <v>1000</v>
      </c>
      <c r="F339" s="127"/>
      <c r="G339" s="88">
        <v>385.2</v>
      </c>
      <c r="H339" s="241"/>
      <c r="I339" s="96">
        <f t="shared" si="4"/>
        <v>38.519999999999996</v>
      </c>
    </row>
    <row r="340" spans="1:9" ht="17.25" customHeight="1">
      <c r="A340" s="81"/>
      <c r="B340" s="9"/>
      <c r="C340" s="2">
        <v>4010</v>
      </c>
      <c r="D340" s="170" t="s">
        <v>378</v>
      </c>
      <c r="E340" s="52">
        <v>4484474</v>
      </c>
      <c r="F340" s="127"/>
      <c r="G340" s="52">
        <v>1641262.76</v>
      </c>
      <c r="H340" s="241"/>
      <c r="I340" s="96">
        <f t="shared" si="4"/>
        <v>36.59877970080772</v>
      </c>
    </row>
    <row r="341" spans="1:9" ht="17.25" customHeight="1">
      <c r="A341" s="81"/>
      <c r="B341" s="9"/>
      <c r="C341" s="2">
        <v>4110</v>
      </c>
      <c r="D341" s="170" t="s">
        <v>565</v>
      </c>
      <c r="E341" s="52">
        <v>807295</v>
      </c>
      <c r="F341" s="127"/>
      <c r="G341" s="52">
        <v>251667.78</v>
      </c>
      <c r="H341" s="241"/>
      <c r="I341" s="96">
        <f t="shared" si="4"/>
        <v>31.174202738775787</v>
      </c>
    </row>
    <row r="342" spans="1:9" ht="17.25" customHeight="1">
      <c r="A342" s="81"/>
      <c r="B342" s="9"/>
      <c r="C342" s="2">
        <v>4120</v>
      </c>
      <c r="D342" s="170" t="s">
        <v>566</v>
      </c>
      <c r="E342" s="52">
        <v>124441</v>
      </c>
      <c r="F342" s="127"/>
      <c r="G342" s="52">
        <v>31011.32</v>
      </c>
      <c r="H342" s="241"/>
      <c r="I342" s="96">
        <f t="shared" si="4"/>
        <v>24.920500478138234</v>
      </c>
    </row>
    <row r="343" spans="1:9" ht="17.25" customHeight="1">
      <c r="A343" s="81"/>
      <c r="B343" s="9"/>
      <c r="C343" s="2">
        <v>4170</v>
      </c>
      <c r="D343" s="170" t="s">
        <v>572</v>
      </c>
      <c r="E343" s="52">
        <v>100</v>
      </c>
      <c r="F343" s="127"/>
      <c r="G343" s="52">
        <v>0</v>
      </c>
      <c r="H343" s="241"/>
      <c r="I343" s="96"/>
    </row>
    <row r="344" spans="1:9" ht="17.25" customHeight="1">
      <c r="A344" s="81"/>
      <c r="B344" s="9"/>
      <c r="C344" s="2">
        <v>4210</v>
      </c>
      <c r="D344" s="170" t="s">
        <v>334</v>
      </c>
      <c r="E344" s="52">
        <v>14000</v>
      </c>
      <c r="F344" s="127"/>
      <c r="G344" s="52">
        <v>5141.05</v>
      </c>
      <c r="H344" s="241"/>
      <c r="I344" s="96">
        <f t="shared" si="4"/>
        <v>36.721785714285716</v>
      </c>
    </row>
    <row r="345" spans="1:9" ht="23.25" customHeight="1">
      <c r="A345" s="81"/>
      <c r="B345" s="9"/>
      <c r="C345" s="2">
        <v>4240</v>
      </c>
      <c r="D345" s="170" t="s">
        <v>221</v>
      </c>
      <c r="E345" s="52">
        <v>21710.37</v>
      </c>
      <c r="F345" s="52">
        <v>14710.37</v>
      </c>
      <c r="G345" s="52">
        <v>6800</v>
      </c>
      <c r="H345" s="26">
        <v>0</v>
      </c>
      <c r="I345" s="96">
        <f t="shared" si="4"/>
        <v>31.3214376355631</v>
      </c>
    </row>
    <row r="346" spans="1:9" ht="17.25" customHeight="1">
      <c r="A346" s="81"/>
      <c r="B346" s="9"/>
      <c r="C346" s="2">
        <v>4270</v>
      </c>
      <c r="D346" s="170" t="s">
        <v>335</v>
      </c>
      <c r="E346" s="52">
        <v>3000</v>
      </c>
      <c r="F346" s="127"/>
      <c r="G346" s="52">
        <v>567</v>
      </c>
      <c r="H346" s="241"/>
      <c r="I346" s="96">
        <f t="shared" si="4"/>
        <v>18.9</v>
      </c>
    </row>
    <row r="347" spans="1:9" ht="17.25" customHeight="1">
      <c r="A347" s="81"/>
      <c r="B347" s="9"/>
      <c r="C347" s="2">
        <v>4280</v>
      </c>
      <c r="D347" s="170" t="s">
        <v>179</v>
      </c>
      <c r="E347" s="52">
        <v>500</v>
      </c>
      <c r="F347" s="127"/>
      <c r="G347" s="52">
        <v>0</v>
      </c>
      <c r="H347" s="241"/>
      <c r="I347" s="96"/>
    </row>
    <row r="348" spans="1:9" ht="17.25" customHeight="1">
      <c r="A348" s="81"/>
      <c r="B348" s="9"/>
      <c r="C348" s="2">
        <v>4300</v>
      </c>
      <c r="D348" s="170" t="s">
        <v>331</v>
      </c>
      <c r="E348" s="52">
        <f>1000+147.02</f>
        <v>1147.02</v>
      </c>
      <c r="F348" s="52">
        <v>147.02</v>
      </c>
      <c r="G348" s="52">
        <v>403.59</v>
      </c>
      <c r="H348" s="26">
        <v>0</v>
      </c>
      <c r="I348" s="96">
        <f t="shared" si="4"/>
        <v>35.18596014018936</v>
      </c>
    </row>
    <row r="349" spans="1:9" ht="23.25" customHeight="1">
      <c r="A349" s="81"/>
      <c r="B349" s="9"/>
      <c r="C349" s="2">
        <v>4440</v>
      </c>
      <c r="D349" s="170" t="s">
        <v>567</v>
      </c>
      <c r="E349" s="52">
        <v>78300</v>
      </c>
      <c r="F349" s="127"/>
      <c r="G349" s="52">
        <v>58589</v>
      </c>
      <c r="H349" s="241"/>
      <c r="I349" s="96">
        <f t="shared" si="4"/>
        <v>74.82630906768838</v>
      </c>
    </row>
    <row r="350" spans="1:9" ht="20.25" customHeight="1">
      <c r="A350" s="98"/>
      <c r="B350" s="94">
        <v>80195</v>
      </c>
      <c r="C350" s="24"/>
      <c r="D350" s="175" t="s">
        <v>250</v>
      </c>
      <c r="E350" s="130">
        <f>SUM(E351:E366)</f>
        <v>1009114.42</v>
      </c>
      <c r="F350" s="127"/>
      <c r="G350" s="130">
        <f>SUM(G351:G366)</f>
        <v>716478.72</v>
      </c>
      <c r="H350" s="241"/>
      <c r="I350" s="96">
        <f t="shared" si="4"/>
        <v>71.00074142236517</v>
      </c>
    </row>
    <row r="351" spans="1:9" ht="16.5" customHeight="1">
      <c r="A351" s="100"/>
      <c r="B351" s="93"/>
      <c r="C351" s="2">
        <v>4170</v>
      </c>
      <c r="D351" s="170" t="s">
        <v>572</v>
      </c>
      <c r="E351" s="213">
        <v>1120</v>
      </c>
      <c r="F351" s="127"/>
      <c r="G351" s="213">
        <v>0</v>
      </c>
      <c r="H351" s="241"/>
      <c r="I351" s="96">
        <f t="shared" si="4"/>
        <v>0</v>
      </c>
    </row>
    <row r="352" spans="1:9" ht="16.5" customHeight="1">
      <c r="A352" s="100"/>
      <c r="B352" s="93"/>
      <c r="C352" s="2">
        <v>4211</v>
      </c>
      <c r="D352" s="170" t="s">
        <v>334</v>
      </c>
      <c r="E352" s="213">
        <v>2314.33</v>
      </c>
      <c r="F352" s="127"/>
      <c r="G352" s="213">
        <v>2259.55</v>
      </c>
      <c r="H352" s="241"/>
      <c r="I352" s="96">
        <f t="shared" si="4"/>
        <v>97.63300825724941</v>
      </c>
    </row>
    <row r="353" spans="1:9" ht="16.5" customHeight="1">
      <c r="A353" s="100"/>
      <c r="B353" s="93"/>
      <c r="C353" s="2">
        <v>4217</v>
      </c>
      <c r="D353" s="170" t="s">
        <v>334</v>
      </c>
      <c r="E353" s="213">
        <v>6506.01</v>
      </c>
      <c r="F353" s="127"/>
      <c r="G353" s="213">
        <v>0</v>
      </c>
      <c r="H353" s="241"/>
      <c r="I353" s="96"/>
    </row>
    <row r="354" spans="1:9" ht="16.5" customHeight="1">
      <c r="A354" s="100"/>
      <c r="B354" s="93"/>
      <c r="C354" s="2">
        <v>4219</v>
      </c>
      <c r="D354" s="170" t="s">
        <v>334</v>
      </c>
      <c r="E354" s="213">
        <v>393.99</v>
      </c>
      <c r="F354" s="127"/>
      <c r="G354" s="213">
        <v>0</v>
      </c>
      <c r="H354" s="241"/>
      <c r="I354" s="96"/>
    </row>
    <row r="355" spans="1:9" ht="16.5" customHeight="1">
      <c r="A355" s="100"/>
      <c r="B355" s="93"/>
      <c r="C355" s="2">
        <v>4300</v>
      </c>
      <c r="D355" s="170" t="s">
        <v>331</v>
      </c>
      <c r="E355" s="125">
        <v>34563</v>
      </c>
      <c r="F355" s="127"/>
      <c r="G355" s="125">
        <v>9963</v>
      </c>
      <c r="H355" s="241"/>
      <c r="I355" s="96">
        <f t="shared" si="4"/>
        <v>28.825622775800714</v>
      </c>
    </row>
    <row r="356" spans="1:9" ht="16.5" customHeight="1">
      <c r="A356" s="100"/>
      <c r="B356" s="93"/>
      <c r="C356" s="8">
        <v>4301</v>
      </c>
      <c r="D356" s="170" t="s">
        <v>331</v>
      </c>
      <c r="E356" s="125">
        <v>11397.43</v>
      </c>
      <c r="F356" s="127"/>
      <c r="G356" s="125">
        <v>11162.44</v>
      </c>
      <c r="H356" s="241"/>
      <c r="I356" s="96">
        <f t="shared" si="4"/>
        <v>97.93821940560285</v>
      </c>
    </row>
    <row r="357" spans="1:9" ht="16.5" customHeight="1">
      <c r="A357" s="100"/>
      <c r="B357" s="93"/>
      <c r="C357" s="8">
        <v>4307</v>
      </c>
      <c r="D357" s="170" t="s">
        <v>331</v>
      </c>
      <c r="E357" s="125">
        <v>942.9</v>
      </c>
      <c r="F357" s="127"/>
      <c r="G357" s="125">
        <v>0</v>
      </c>
      <c r="H357" s="241"/>
      <c r="I357" s="96"/>
    </row>
    <row r="358" spans="1:9" ht="16.5" customHeight="1">
      <c r="A358" s="100"/>
      <c r="B358" s="93"/>
      <c r="C358" s="8">
        <v>4309</v>
      </c>
      <c r="D358" s="170" t="s">
        <v>331</v>
      </c>
      <c r="E358" s="125">
        <v>57.1</v>
      </c>
      <c r="F358" s="127"/>
      <c r="G358" s="125">
        <v>0</v>
      </c>
      <c r="H358" s="241"/>
      <c r="I358" s="96"/>
    </row>
    <row r="359" spans="1:9" ht="16.5" customHeight="1">
      <c r="A359" s="100"/>
      <c r="B359" s="93"/>
      <c r="C359" s="8">
        <v>4421</v>
      </c>
      <c r="D359" s="170" t="s">
        <v>576</v>
      </c>
      <c r="E359" s="125">
        <v>17872.66</v>
      </c>
      <c r="F359" s="127"/>
      <c r="G359" s="125">
        <v>17872.05</v>
      </c>
      <c r="H359" s="241"/>
      <c r="I359" s="96">
        <f t="shared" si="4"/>
        <v>99.9965869657902</v>
      </c>
    </row>
    <row r="360" spans="1:9" ht="16.5" customHeight="1">
      <c r="A360" s="100"/>
      <c r="B360" s="93"/>
      <c r="C360" s="8">
        <v>4427</v>
      </c>
      <c r="D360" s="170" t="s">
        <v>576</v>
      </c>
      <c r="E360" s="125">
        <v>43688.33</v>
      </c>
      <c r="F360" s="127"/>
      <c r="G360" s="125">
        <v>10829.85</v>
      </c>
      <c r="H360" s="241"/>
      <c r="I360" s="96">
        <f t="shared" si="4"/>
        <v>24.788885269819193</v>
      </c>
    </row>
    <row r="361" spans="1:9" ht="16.5" customHeight="1">
      <c r="A361" s="100"/>
      <c r="B361" s="93"/>
      <c r="C361" s="8">
        <v>4429</v>
      </c>
      <c r="D361" s="170" t="s">
        <v>576</v>
      </c>
      <c r="E361" s="125">
        <v>2645.67</v>
      </c>
      <c r="F361" s="127"/>
      <c r="G361" s="125">
        <v>655.83</v>
      </c>
      <c r="H361" s="241"/>
      <c r="I361" s="96">
        <f t="shared" si="4"/>
        <v>24.788805860141288</v>
      </c>
    </row>
    <row r="362" spans="1:9" ht="16.5" customHeight="1">
      <c r="A362" s="100"/>
      <c r="B362" s="93"/>
      <c r="C362" s="8">
        <v>4437</v>
      </c>
      <c r="D362" s="170" t="s">
        <v>314</v>
      </c>
      <c r="E362" s="125">
        <v>565.74</v>
      </c>
      <c r="F362" s="127"/>
      <c r="G362" s="125">
        <v>0</v>
      </c>
      <c r="H362" s="241"/>
      <c r="I362" s="96"/>
    </row>
    <row r="363" spans="1:9" ht="16.5" customHeight="1">
      <c r="A363" s="100"/>
      <c r="B363" s="93"/>
      <c r="C363" s="8">
        <v>4439</v>
      </c>
      <c r="D363" s="170" t="s">
        <v>314</v>
      </c>
      <c r="E363" s="125">
        <v>34.26</v>
      </c>
      <c r="F363" s="127"/>
      <c r="G363" s="125">
        <v>0</v>
      </c>
      <c r="H363" s="241"/>
      <c r="I363" s="96"/>
    </row>
    <row r="364" spans="1:9" ht="24" customHeight="1">
      <c r="A364" s="100"/>
      <c r="B364" s="93"/>
      <c r="C364" s="8">
        <v>4440</v>
      </c>
      <c r="D364" s="170" t="s">
        <v>567</v>
      </c>
      <c r="E364" s="125">
        <v>869415</v>
      </c>
      <c r="F364" s="127"/>
      <c r="G364" s="125">
        <v>652075</v>
      </c>
      <c r="H364" s="241"/>
      <c r="I364" s="96">
        <f t="shared" si="4"/>
        <v>75.00158152320815</v>
      </c>
    </row>
    <row r="365" spans="1:9" ht="24" customHeight="1">
      <c r="A365" s="100"/>
      <c r="B365" s="93"/>
      <c r="C365" s="8">
        <v>4707</v>
      </c>
      <c r="D365" s="170" t="s">
        <v>290</v>
      </c>
      <c r="E365" s="125">
        <v>16593.15</v>
      </c>
      <c r="F365" s="127"/>
      <c r="G365" s="125">
        <v>10995.16</v>
      </c>
      <c r="H365" s="241"/>
      <c r="I365" s="96">
        <f t="shared" si="4"/>
        <v>66.26324718332565</v>
      </c>
    </row>
    <row r="366" spans="1:9" ht="24" customHeight="1">
      <c r="A366" s="100"/>
      <c r="B366" s="93"/>
      <c r="C366" s="8">
        <v>4709</v>
      </c>
      <c r="D366" s="170" t="s">
        <v>290</v>
      </c>
      <c r="E366" s="125">
        <v>1004.85</v>
      </c>
      <c r="F366" s="127"/>
      <c r="G366" s="125">
        <v>665.84</v>
      </c>
      <c r="H366" s="241"/>
      <c r="I366" s="96">
        <f t="shared" si="4"/>
        <v>66.26262626262627</v>
      </c>
    </row>
    <row r="367" spans="1:9" ht="24.75" customHeight="1">
      <c r="A367" s="60">
        <v>851</v>
      </c>
      <c r="B367" s="58"/>
      <c r="C367" s="11"/>
      <c r="D367" s="174" t="s">
        <v>200</v>
      </c>
      <c r="E367" s="33">
        <f>E368+E370+E374+E394+E415</f>
        <v>3003700</v>
      </c>
      <c r="F367" s="52"/>
      <c r="G367" s="33">
        <f>G368+G370+G374+G394+G415</f>
        <v>1578453.31</v>
      </c>
      <c r="H367" s="26"/>
      <c r="I367" s="132">
        <f t="shared" si="4"/>
        <v>52.550298298764865</v>
      </c>
    </row>
    <row r="368" spans="1:22" s="53" customFormat="1" ht="20.25" customHeight="1">
      <c r="A368" s="210"/>
      <c r="B368" s="103">
        <v>85149</v>
      </c>
      <c r="C368" s="23"/>
      <c r="D368" s="175" t="s">
        <v>242</v>
      </c>
      <c r="E368" s="91">
        <f>E369</f>
        <v>100000</v>
      </c>
      <c r="F368" s="233"/>
      <c r="G368" s="91">
        <f>G369</f>
        <v>31500</v>
      </c>
      <c r="H368" s="551"/>
      <c r="I368" s="96">
        <f t="shared" si="4"/>
        <v>31.5</v>
      </c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</row>
    <row r="369" spans="1:9" ht="17.25" customHeight="1">
      <c r="A369" s="70"/>
      <c r="B369" s="58"/>
      <c r="C369" s="2">
        <v>4280</v>
      </c>
      <c r="D369" s="170" t="s">
        <v>179</v>
      </c>
      <c r="E369" s="52">
        <v>100000</v>
      </c>
      <c r="F369" s="127"/>
      <c r="G369" s="52">
        <v>31500</v>
      </c>
      <c r="H369" s="241"/>
      <c r="I369" s="96">
        <f t="shared" si="4"/>
        <v>31.5</v>
      </c>
    </row>
    <row r="370" spans="1:9" ht="20.25" customHeight="1">
      <c r="A370" s="93"/>
      <c r="B370" s="94">
        <v>85153</v>
      </c>
      <c r="C370" s="24"/>
      <c r="D370" s="175" t="s">
        <v>338</v>
      </c>
      <c r="E370" s="91">
        <f>SUM(E371:E373)</f>
        <v>96000</v>
      </c>
      <c r="F370" s="88"/>
      <c r="G370" s="91">
        <f>SUM(G371:G373)</f>
        <v>56149</v>
      </c>
      <c r="H370" s="128"/>
      <c r="I370" s="96">
        <f t="shared" si="4"/>
        <v>58.48854166666667</v>
      </c>
    </row>
    <row r="371" spans="1:9" ht="69.75" customHeight="1">
      <c r="A371" s="71"/>
      <c r="B371" s="62"/>
      <c r="C371" s="19">
        <v>2360</v>
      </c>
      <c r="D371" s="205" t="s">
        <v>101</v>
      </c>
      <c r="E371" s="88">
        <v>90000</v>
      </c>
      <c r="F371" s="127"/>
      <c r="G371" s="88">
        <v>56000</v>
      </c>
      <c r="H371" s="241"/>
      <c r="I371" s="250">
        <f t="shared" si="4"/>
        <v>62.22222222222222</v>
      </c>
    </row>
    <row r="372" spans="1:9" ht="16.5" customHeight="1">
      <c r="A372" s="71"/>
      <c r="B372" s="62"/>
      <c r="C372" s="8">
        <v>4210</v>
      </c>
      <c r="D372" s="170" t="s">
        <v>334</v>
      </c>
      <c r="E372" s="52">
        <v>3000</v>
      </c>
      <c r="F372" s="127"/>
      <c r="G372" s="52">
        <v>149</v>
      </c>
      <c r="H372" s="241"/>
      <c r="I372" s="96">
        <f t="shared" si="4"/>
        <v>4.966666666666667</v>
      </c>
    </row>
    <row r="373" spans="1:9" ht="16.5" customHeight="1">
      <c r="A373" s="71"/>
      <c r="B373" s="69"/>
      <c r="C373" s="8">
        <v>4300</v>
      </c>
      <c r="D373" s="170" t="s">
        <v>331</v>
      </c>
      <c r="E373" s="73">
        <v>3000</v>
      </c>
      <c r="F373" s="127"/>
      <c r="G373" s="73">
        <v>0</v>
      </c>
      <c r="H373" s="241"/>
      <c r="I373" s="96">
        <f t="shared" si="4"/>
        <v>0</v>
      </c>
    </row>
    <row r="374" spans="1:9" ht="20.25" customHeight="1">
      <c r="A374" s="62"/>
      <c r="B374" s="94">
        <v>85154</v>
      </c>
      <c r="C374" s="24"/>
      <c r="D374" s="175" t="s">
        <v>546</v>
      </c>
      <c r="E374" s="38">
        <f>SUM(E375:E393)</f>
        <v>1665000</v>
      </c>
      <c r="F374" s="127"/>
      <c r="G374" s="38">
        <f>SUM(G375:G393)</f>
        <v>912556.8300000001</v>
      </c>
      <c r="H374" s="241"/>
      <c r="I374" s="96">
        <f t="shared" si="4"/>
        <v>54.80821801801802</v>
      </c>
    </row>
    <row r="375" spans="1:9" ht="64.5" customHeight="1">
      <c r="A375" s="81"/>
      <c r="B375" s="81"/>
      <c r="C375" s="8">
        <v>2360</v>
      </c>
      <c r="D375" s="170" t="s">
        <v>101</v>
      </c>
      <c r="E375" s="88">
        <v>886000</v>
      </c>
      <c r="F375" s="127"/>
      <c r="G375" s="88">
        <v>541000</v>
      </c>
      <c r="H375" s="241"/>
      <c r="I375" s="96">
        <f t="shared" si="4"/>
        <v>61.06094808126411</v>
      </c>
    </row>
    <row r="376" spans="1:9" ht="27.75" customHeight="1">
      <c r="A376" s="81"/>
      <c r="B376" s="81"/>
      <c r="C376" s="2">
        <v>3020</v>
      </c>
      <c r="D376" s="170" t="s">
        <v>225</v>
      </c>
      <c r="E376" s="52">
        <v>4000</v>
      </c>
      <c r="F376" s="127"/>
      <c r="G376" s="52">
        <v>1306.51</v>
      </c>
      <c r="H376" s="241"/>
      <c r="I376" s="96">
        <f t="shared" si="4"/>
        <v>32.66275</v>
      </c>
    </row>
    <row r="377" spans="1:9" ht="16.5" customHeight="1">
      <c r="A377" s="81"/>
      <c r="B377" s="81"/>
      <c r="C377" s="8">
        <v>4010</v>
      </c>
      <c r="D377" s="170" t="s">
        <v>378</v>
      </c>
      <c r="E377" s="52">
        <v>317000</v>
      </c>
      <c r="F377" s="127"/>
      <c r="G377" s="52">
        <f>120807.43+33529.84</f>
        <v>154337.27</v>
      </c>
      <c r="H377" s="241"/>
      <c r="I377" s="96">
        <f aca="true" t="shared" si="5" ref="I377:I440">G377/E377*100</f>
        <v>48.68683596214511</v>
      </c>
    </row>
    <row r="378" spans="1:9" ht="16.5" customHeight="1">
      <c r="A378" s="81"/>
      <c r="B378" s="81"/>
      <c r="C378" s="2">
        <v>4040</v>
      </c>
      <c r="D378" s="170" t="s">
        <v>379</v>
      </c>
      <c r="E378" s="52">
        <v>26000</v>
      </c>
      <c r="F378" s="127"/>
      <c r="G378" s="52">
        <v>26000</v>
      </c>
      <c r="H378" s="241"/>
      <c r="I378" s="96">
        <f t="shared" si="5"/>
        <v>100</v>
      </c>
    </row>
    <row r="379" spans="1:9" ht="16.5" customHeight="1">
      <c r="A379" s="81"/>
      <c r="B379" s="81"/>
      <c r="C379" s="8">
        <v>4110</v>
      </c>
      <c r="D379" s="170" t="s">
        <v>565</v>
      </c>
      <c r="E379" s="52">
        <v>54700</v>
      </c>
      <c r="F379" s="127"/>
      <c r="G379" s="52">
        <f>26666.69+5747.71</f>
        <v>32414.399999999998</v>
      </c>
      <c r="H379" s="241"/>
      <c r="I379" s="96">
        <f t="shared" si="5"/>
        <v>59.258500914076784</v>
      </c>
    </row>
    <row r="380" spans="1:9" ht="16.5" customHeight="1">
      <c r="A380" s="81"/>
      <c r="B380" s="81"/>
      <c r="C380" s="8">
        <v>4120</v>
      </c>
      <c r="D380" s="170" t="s">
        <v>566</v>
      </c>
      <c r="E380" s="52">
        <v>8300</v>
      </c>
      <c r="F380" s="127"/>
      <c r="G380" s="52">
        <f>2532.54+415.72</f>
        <v>2948.26</v>
      </c>
      <c r="H380" s="241"/>
      <c r="I380" s="96">
        <f t="shared" si="5"/>
        <v>35.521204819277116</v>
      </c>
    </row>
    <row r="381" spans="1:9" ht="16.5" customHeight="1">
      <c r="A381" s="81"/>
      <c r="B381" s="81"/>
      <c r="C381" s="2">
        <v>4170</v>
      </c>
      <c r="D381" s="170" t="s">
        <v>572</v>
      </c>
      <c r="E381" s="52">
        <v>81350</v>
      </c>
      <c r="F381" s="127"/>
      <c r="G381" s="52">
        <f>14909.34+16344</f>
        <v>31253.34</v>
      </c>
      <c r="H381" s="241"/>
      <c r="I381" s="96">
        <f t="shared" si="5"/>
        <v>38.41836508912108</v>
      </c>
    </row>
    <row r="382" spans="1:9" ht="16.5" customHeight="1">
      <c r="A382" s="81"/>
      <c r="B382" s="81"/>
      <c r="C382" s="8">
        <v>4210</v>
      </c>
      <c r="D382" s="170" t="s">
        <v>334</v>
      </c>
      <c r="E382" s="52">
        <v>15850</v>
      </c>
      <c r="F382" s="127"/>
      <c r="G382" s="52">
        <f>839.16+1991.02+285.7</f>
        <v>3115.8799999999997</v>
      </c>
      <c r="H382" s="241"/>
      <c r="I382" s="96">
        <f t="shared" si="5"/>
        <v>19.65854889589905</v>
      </c>
    </row>
    <row r="383" spans="1:9" ht="16.5" customHeight="1">
      <c r="A383" s="81"/>
      <c r="B383" s="81"/>
      <c r="C383" s="8">
        <v>4260</v>
      </c>
      <c r="D383" s="170" t="s">
        <v>579</v>
      </c>
      <c r="E383" s="52">
        <v>26000</v>
      </c>
      <c r="F383" s="127"/>
      <c r="G383" s="52">
        <v>13062.71</v>
      </c>
      <c r="H383" s="241"/>
      <c r="I383" s="96">
        <f t="shared" si="5"/>
        <v>50.24119230769231</v>
      </c>
    </row>
    <row r="384" spans="1:9" ht="16.5" customHeight="1">
      <c r="A384" s="81"/>
      <c r="B384" s="81"/>
      <c r="C384" s="8">
        <v>4270</v>
      </c>
      <c r="D384" s="170" t="s">
        <v>335</v>
      </c>
      <c r="E384" s="52">
        <v>500</v>
      </c>
      <c r="F384" s="127"/>
      <c r="G384" s="52">
        <v>123</v>
      </c>
      <c r="H384" s="241"/>
      <c r="I384" s="96">
        <f t="shared" si="5"/>
        <v>24.6</v>
      </c>
    </row>
    <row r="385" spans="1:9" ht="16.5" customHeight="1">
      <c r="A385" s="81"/>
      <c r="B385" s="81"/>
      <c r="C385" s="8">
        <v>4300</v>
      </c>
      <c r="D385" s="170" t="s">
        <v>331</v>
      </c>
      <c r="E385" s="52">
        <v>205600</v>
      </c>
      <c r="F385" s="127"/>
      <c r="G385" s="52">
        <f>21300+1791.16+66139.25</f>
        <v>89230.41</v>
      </c>
      <c r="H385" s="241"/>
      <c r="I385" s="96">
        <f t="shared" si="5"/>
        <v>43.40000486381323</v>
      </c>
    </row>
    <row r="386" spans="1:9" ht="24.75" customHeight="1">
      <c r="A386" s="81"/>
      <c r="B386" s="81"/>
      <c r="C386" s="2">
        <v>4360</v>
      </c>
      <c r="D386" s="170" t="s">
        <v>90</v>
      </c>
      <c r="E386" s="52">
        <v>8400</v>
      </c>
      <c r="F386" s="127"/>
      <c r="G386" s="52">
        <v>2826.28</v>
      </c>
      <c r="H386" s="241"/>
      <c r="I386" s="96">
        <f t="shared" si="5"/>
        <v>33.646190476190476</v>
      </c>
    </row>
    <row r="387" spans="1:9" ht="24.75" customHeight="1">
      <c r="A387" s="81"/>
      <c r="B387" s="81"/>
      <c r="C387" s="2">
        <v>4390</v>
      </c>
      <c r="D387" s="170" t="s">
        <v>261</v>
      </c>
      <c r="E387" s="52">
        <v>8000</v>
      </c>
      <c r="F387" s="127"/>
      <c r="G387" s="52">
        <v>1370</v>
      </c>
      <c r="H387" s="241"/>
      <c r="I387" s="96">
        <f t="shared" si="5"/>
        <v>17.125</v>
      </c>
    </row>
    <row r="388" spans="1:9" ht="16.5" customHeight="1">
      <c r="A388" s="81"/>
      <c r="B388" s="81"/>
      <c r="C388" s="8">
        <v>4410</v>
      </c>
      <c r="D388" s="170" t="s">
        <v>569</v>
      </c>
      <c r="E388" s="52">
        <v>4900</v>
      </c>
      <c r="F388" s="127"/>
      <c r="G388" s="52">
        <v>1048.57</v>
      </c>
      <c r="H388" s="241"/>
      <c r="I388" s="96">
        <f t="shared" si="5"/>
        <v>21.39938775510204</v>
      </c>
    </row>
    <row r="389" spans="1:9" ht="16.5" customHeight="1">
      <c r="A389" s="81"/>
      <c r="B389" s="81"/>
      <c r="C389" s="2">
        <v>4430</v>
      </c>
      <c r="D389" s="170" t="s">
        <v>314</v>
      </c>
      <c r="E389" s="52">
        <v>200</v>
      </c>
      <c r="F389" s="127"/>
      <c r="G389" s="52">
        <v>0</v>
      </c>
      <c r="H389" s="241"/>
      <c r="I389" s="96"/>
    </row>
    <row r="390" spans="1:9" ht="24.75" customHeight="1">
      <c r="A390" s="81"/>
      <c r="B390" s="81"/>
      <c r="C390" s="2">
        <v>4440</v>
      </c>
      <c r="D390" s="170" t="s">
        <v>567</v>
      </c>
      <c r="E390" s="52">
        <v>12900</v>
      </c>
      <c r="F390" s="127"/>
      <c r="G390" s="52">
        <v>9675</v>
      </c>
      <c r="H390" s="241"/>
      <c r="I390" s="96">
        <f t="shared" si="5"/>
        <v>75</v>
      </c>
    </row>
    <row r="391" spans="1:9" ht="16.5" customHeight="1">
      <c r="A391" s="81"/>
      <c r="B391" s="81"/>
      <c r="C391" s="2">
        <v>4480</v>
      </c>
      <c r="D391" s="170" t="s">
        <v>272</v>
      </c>
      <c r="E391" s="52">
        <v>2000</v>
      </c>
      <c r="F391" s="127"/>
      <c r="G391" s="52">
        <v>889.8</v>
      </c>
      <c r="H391" s="241"/>
      <c r="I391" s="96">
        <f t="shared" si="5"/>
        <v>44.489999999999995</v>
      </c>
    </row>
    <row r="392" spans="1:9" ht="24.75" customHeight="1">
      <c r="A392" s="81"/>
      <c r="B392" s="81"/>
      <c r="C392" s="8">
        <v>4520</v>
      </c>
      <c r="D392" s="170" t="s">
        <v>289</v>
      </c>
      <c r="E392" s="52">
        <v>2300</v>
      </c>
      <c r="F392" s="127"/>
      <c r="G392" s="52">
        <v>1635.4</v>
      </c>
      <c r="H392" s="241"/>
      <c r="I392" s="96">
        <f t="shared" si="5"/>
        <v>71.10434782608695</v>
      </c>
    </row>
    <row r="393" spans="1:9" ht="24.75" customHeight="1">
      <c r="A393" s="81"/>
      <c r="B393" s="81"/>
      <c r="C393" s="2">
        <v>4610</v>
      </c>
      <c r="D393" s="170" t="s">
        <v>554</v>
      </c>
      <c r="E393" s="52">
        <v>1000</v>
      </c>
      <c r="F393" s="127"/>
      <c r="G393" s="52">
        <v>320</v>
      </c>
      <c r="H393" s="241"/>
      <c r="I393" s="96">
        <f t="shared" si="5"/>
        <v>32</v>
      </c>
    </row>
    <row r="394" spans="1:9" ht="20.25" customHeight="1">
      <c r="A394" s="81"/>
      <c r="B394" s="24">
        <v>85158</v>
      </c>
      <c r="C394" s="24"/>
      <c r="D394" s="175" t="s">
        <v>271</v>
      </c>
      <c r="E394" s="28">
        <f>SUM(E395:E414)</f>
        <v>1122200</v>
      </c>
      <c r="F394" s="127"/>
      <c r="G394" s="28">
        <f>SUM(G395:G414)</f>
        <v>563050.6000000001</v>
      </c>
      <c r="H394" s="241"/>
      <c r="I394" s="96">
        <f t="shared" si="5"/>
        <v>50.17381928355018</v>
      </c>
    </row>
    <row r="395" spans="1:9" ht="21" customHeight="1">
      <c r="A395" s="81"/>
      <c r="B395" s="15"/>
      <c r="C395" s="8">
        <v>3020</v>
      </c>
      <c r="D395" s="170" t="s">
        <v>225</v>
      </c>
      <c r="E395" s="88">
        <v>2000</v>
      </c>
      <c r="F395" s="127"/>
      <c r="G395" s="88">
        <v>316.2</v>
      </c>
      <c r="H395" s="241"/>
      <c r="I395" s="96">
        <f t="shared" si="5"/>
        <v>15.809999999999999</v>
      </c>
    </row>
    <row r="396" spans="1:9" ht="16.5" customHeight="1">
      <c r="A396" s="81"/>
      <c r="B396" s="17"/>
      <c r="C396" s="8">
        <v>4010</v>
      </c>
      <c r="D396" s="170" t="s">
        <v>378</v>
      </c>
      <c r="E396" s="52">
        <v>693500</v>
      </c>
      <c r="F396" s="127"/>
      <c r="G396" s="52">
        <v>309654.51</v>
      </c>
      <c r="H396" s="241"/>
      <c r="I396" s="96">
        <f t="shared" si="5"/>
        <v>44.650974765681326</v>
      </c>
    </row>
    <row r="397" spans="1:9" ht="16.5" customHeight="1">
      <c r="A397" s="81"/>
      <c r="B397" s="17"/>
      <c r="C397" s="8">
        <v>4040</v>
      </c>
      <c r="D397" s="170" t="s">
        <v>379</v>
      </c>
      <c r="E397" s="52">
        <v>58615</v>
      </c>
      <c r="F397" s="127"/>
      <c r="G397" s="52">
        <v>58614.99</v>
      </c>
      <c r="H397" s="241"/>
      <c r="I397" s="96">
        <f t="shared" si="5"/>
        <v>99.99998293952059</v>
      </c>
    </row>
    <row r="398" spans="1:9" ht="16.5" customHeight="1">
      <c r="A398" s="81"/>
      <c r="B398" s="17"/>
      <c r="C398" s="8">
        <v>4110</v>
      </c>
      <c r="D398" s="170" t="s">
        <v>565</v>
      </c>
      <c r="E398" s="52">
        <v>117060</v>
      </c>
      <c r="F398" s="127"/>
      <c r="G398" s="52">
        <v>55949.84</v>
      </c>
      <c r="H398" s="241"/>
      <c r="I398" s="96">
        <f t="shared" si="5"/>
        <v>47.79586536818725</v>
      </c>
    </row>
    <row r="399" spans="1:9" ht="16.5" customHeight="1">
      <c r="A399" s="81"/>
      <c r="B399" s="17"/>
      <c r="C399" s="8">
        <v>4120</v>
      </c>
      <c r="D399" s="170" t="s">
        <v>566</v>
      </c>
      <c r="E399" s="52">
        <v>13239</v>
      </c>
      <c r="F399" s="127"/>
      <c r="G399" s="52">
        <v>5001.77</v>
      </c>
      <c r="H399" s="241"/>
      <c r="I399" s="96">
        <f t="shared" si="5"/>
        <v>37.78057255079689</v>
      </c>
    </row>
    <row r="400" spans="1:9" ht="16.5" customHeight="1">
      <c r="A400" s="81"/>
      <c r="B400" s="17"/>
      <c r="C400" s="2">
        <v>4170</v>
      </c>
      <c r="D400" s="170" t="s">
        <v>572</v>
      </c>
      <c r="E400" s="52">
        <v>13277</v>
      </c>
      <c r="F400" s="127"/>
      <c r="G400" s="52">
        <v>6698</v>
      </c>
      <c r="H400" s="241"/>
      <c r="I400" s="96">
        <f t="shared" si="5"/>
        <v>50.44814340588989</v>
      </c>
    </row>
    <row r="401" spans="1:9" ht="16.5" customHeight="1">
      <c r="A401" s="81"/>
      <c r="B401" s="17"/>
      <c r="C401" s="2">
        <v>4210</v>
      </c>
      <c r="D401" s="170" t="s">
        <v>334</v>
      </c>
      <c r="E401" s="52">
        <v>32409</v>
      </c>
      <c r="F401" s="88"/>
      <c r="G401" s="52">
        <v>12544</v>
      </c>
      <c r="H401" s="128"/>
      <c r="I401" s="96">
        <f t="shared" si="5"/>
        <v>38.705297911074084</v>
      </c>
    </row>
    <row r="402" spans="1:9" ht="23.25" customHeight="1">
      <c r="A402" s="81"/>
      <c r="B402" s="17"/>
      <c r="C402" s="19">
        <v>4230</v>
      </c>
      <c r="D402" s="205" t="s">
        <v>182</v>
      </c>
      <c r="E402" s="88">
        <v>1000</v>
      </c>
      <c r="F402" s="127"/>
      <c r="G402" s="88">
        <v>299.95</v>
      </c>
      <c r="H402" s="241"/>
      <c r="I402" s="250">
        <f t="shared" si="5"/>
        <v>29.995</v>
      </c>
    </row>
    <row r="403" spans="1:9" ht="16.5" customHeight="1">
      <c r="A403" s="81"/>
      <c r="B403" s="17"/>
      <c r="C403" s="8">
        <v>4260</v>
      </c>
      <c r="D403" s="170" t="s">
        <v>579</v>
      </c>
      <c r="E403" s="52">
        <v>65300</v>
      </c>
      <c r="F403" s="127"/>
      <c r="G403" s="52">
        <v>35181.74</v>
      </c>
      <c r="H403" s="241"/>
      <c r="I403" s="96">
        <f t="shared" si="5"/>
        <v>53.87709035222051</v>
      </c>
    </row>
    <row r="404" spans="1:9" ht="16.5" customHeight="1">
      <c r="A404" s="81"/>
      <c r="B404" s="17"/>
      <c r="C404" s="8">
        <v>4270</v>
      </c>
      <c r="D404" s="170" t="s">
        <v>335</v>
      </c>
      <c r="E404" s="52">
        <v>4200</v>
      </c>
      <c r="F404" s="127"/>
      <c r="G404" s="52">
        <v>2944.93</v>
      </c>
      <c r="H404" s="241"/>
      <c r="I404" s="96">
        <f t="shared" si="5"/>
        <v>70.11738095238094</v>
      </c>
    </row>
    <row r="405" spans="1:9" ht="16.5" customHeight="1">
      <c r="A405" s="81"/>
      <c r="B405" s="17"/>
      <c r="C405" s="8">
        <v>4280</v>
      </c>
      <c r="D405" s="170" t="s">
        <v>179</v>
      </c>
      <c r="E405" s="52">
        <v>900</v>
      </c>
      <c r="F405" s="127"/>
      <c r="G405" s="52">
        <v>310</v>
      </c>
      <c r="H405" s="241"/>
      <c r="I405" s="96">
        <f t="shared" si="5"/>
        <v>34.44444444444444</v>
      </c>
    </row>
    <row r="406" spans="1:9" ht="16.5" customHeight="1">
      <c r="A406" s="81"/>
      <c r="B406" s="17"/>
      <c r="C406" s="8">
        <v>4300</v>
      </c>
      <c r="D406" s="170" t="s">
        <v>331</v>
      </c>
      <c r="E406" s="52">
        <v>73000</v>
      </c>
      <c r="F406" s="127"/>
      <c r="G406" s="52">
        <v>47615.22</v>
      </c>
      <c r="H406" s="241"/>
      <c r="I406" s="96">
        <f t="shared" si="5"/>
        <v>65.22632876712329</v>
      </c>
    </row>
    <row r="407" spans="1:9" ht="23.25" customHeight="1">
      <c r="A407" s="81"/>
      <c r="B407" s="17"/>
      <c r="C407" s="2">
        <v>4360</v>
      </c>
      <c r="D407" s="170" t="s">
        <v>90</v>
      </c>
      <c r="E407" s="52">
        <v>4160</v>
      </c>
      <c r="F407" s="127"/>
      <c r="G407" s="52">
        <v>1645.05</v>
      </c>
      <c r="H407" s="241"/>
      <c r="I407" s="96">
        <f t="shared" si="5"/>
        <v>39.54447115384615</v>
      </c>
    </row>
    <row r="408" spans="1:9" ht="17.25" customHeight="1">
      <c r="A408" s="81"/>
      <c r="B408" s="17"/>
      <c r="C408" s="8">
        <v>4410</v>
      </c>
      <c r="D408" s="170" t="s">
        <v>569</v>
      </c>
      <c r="E408" s="52">
        <v>2800</v>
      </c>
      <c r="F408" s="127"/>
      <c r="G408" s="52">
        <v>0</v>
      </c>
      <c r="H408" s="241"/>
      <c r="I408" s="96"/>
    </row>
    <row r="409" spans="1:9" ht="24" customHeight="1">
      <c r="A409" s="81"/>
      <c r="B409" s="17"/>
      <c r="C409" s="8">
        <v>4440</v>
      </c>
      <c r="D409" s="170" t="s">
        <v>567</v>
      </c>
      <c r="E409" s="52">
        <v>22973</v>
      </c>
      <c r="F409" s="127"/>
      <c r="G409" s="52">
        <v>17230</v>
      </c>
      <c r="H409" s="241"/>
      <c r="I409" s="96">
        <f t="shared" si="5"/>
        <v>75.00108823401385</v>
      </c>
    </row>
    <row r="410" spans="1:9" ht="16.5" customHeight="1">
      <c r="A410" s="81"/>
      <c r="B410" s="17"/>
      <c r="C410" s="8">
        <v>4480</v>
      </c>
      <c r="D410" s="170" t="s">
        <v>272</v>
      </c>
      <c r="E410" s="52">
        <v>10436</v>
      </c>
      <c r="F410" s="127"/>
      <c r="G410" s="52">
        <v>6091</v>
      </c>
      <c r="H410" s="241"/>
      <c r="I410" s="96">
        <f t="shared" si="5"/>
        <v>58.36527405136067</v>
      </c>
    </row>
    <row r="411" spans="1:9" ht="23.25" customHeight="1">
      <c r="A411" s="81"/>
      <c r="B411" s="17"/>
      <c r="C411" s="8">
        <v>4520</v>
      </c>
      <c r="D411" s="170" t="s">
        <v>289</v>
      </c>
      <c r="E411" s="52">
        <v>755</v>
      </c>
      <c r="F411" s="127"/>
      <c r="G411" s="52">
        <v>377.4</v>
      </c>
      <c r="H411" s="241"/>
      <c r="I411" s="96">
        <f t="shared" si="5"/>
        <v>49.98675496688742</v>
      </c>
    </row>
    <row r="412" spans="1:9" ht="23.25" customHeight="1">
      <c r="A412" s="81"/>
      <c r="B412" s="17"/>
      <c r="C412" s="8">
        <v>4590</v>
      </c>
      <c r="D412" s="170" t="s">
        <v>336</v>
      </c>
      <c r="E412" s="52">
        <v>1500</v>
      </c>
      <c r="F412" s="127"/>
      <c r="G412" s="52">
        <v>1500</v>
      </c>
      <c r="H412" s="241"/>
      <c r="I412" s="96">
        <f t="shared" si="5"/>
        <v>100</v>
      </c>
    </row>
    <row r="413" spans="1:9" ht="23.25" customHeight="1">
      <c r="A413" s="81"/>
      <c r="B413" s="17"/>
      <c r="C413" s="8">
        <v>4610</v>
      </c>
      <c r="D413" s="170" t="s">
        <v>554</v>
      </c>
      <c r="E413" s="52">
        <v>1076</v>
      </c>
      <c r="F413" s="127"/>
      <c r="G413" s="52">
        <v>1076</v>
      </c>
      <c r="H413" s="241"/>
      <c r="I413" s="96">
        <f t="shared" si="5"/>
        <v>100</v>
      </c>
    </row>
    <row r="414" spans="1:9" ht="23.25" customHeight="1">
      <c r="A414" s="81"/>
      <c r="B414" s="17"/>
      <c r="C414" s="2">
        <v>4700</v>
      </c>
      <c r="D414" s="170" t="s">
        <v>290</v>
      </c>
      <c r="E414" s="52">
        <v>4000</v>
      </c>
      <c r="F414" s="127"/>
      <c r="G414" s="52">
        <v>0</v>
      </c>
      <c r="H414" s="241"/>
      <c r="I414" s="96"/>
    </row>
    <row r="415" spans="1:9" ht="20.25" customHeight="1">
      <c r="A415" s="98"/>
      <c r="B415" s="46">
        <v>85195</v>
      </c>
      <c r="C415" s="23"/>
      <c r="D415" s="175" t="s">
        <v>581</v>
      </c>
      <c r="E415" s="91">
        <f>SUM(E416:E417)</f>
        <v>20500</v>
      </c>
      <c r="F415" s="127"/>
      <c r="G415" s="91">
        <f>SUM(G416:G417)</f>
        <v>15196.88</v>
      </c>
      <c r="H415" s="241"/>
      <c r="I415" s="96">
        <f t="shared" si="5"/>
        <v>74.1311219512195</v>
      </c>
    </row>
    <row r="416" spans="1:9" ht="17.25" customHeight="1">
      <c r="A416" s="81"/>
      <c r="B416" s="550"/>
      <c r="C416" s="8">
        <v>4210</v>
      </c>
      <c r="D416" s="170" t="s">
        <v>330</v>
      </c>
      <c r="E416" s="88">
        <v>500</v>
      </c>
      <c r="F416" s="127"/>
      <c r="G416" s="88">
        <v>365.74</v>
      </c>
      <c r="H416" s="241"/>
      <c r="I416" s="96">
        <f t="shared" si="5"/>
        <v>73.148</v>
      </c>
    </row>
    <row r="417" spans="1:9" ht="17.25" customHeight="1">
      <c r="A417" s="81"/>
      <c r="B417" s="550"/>
      <c r="C417" s="8">
        <v>4300</v>
      </c>
      <c r="D417" s="170" t="s">
        <v>331</v>
      </c>
      <c r="E417" s="88">
        <v>20000</v>
      </c>
      <c r="F417" s="127"/>
      <c r="G417" s="88">
        <v>14831.14</v>
      </c>
      <c r="H417" s="241"/>
      <c r="I417" s="96">
        <f t="shared" si="5"/>
        <v>74.1557</v>
      </c>
    </row>
    <row r="418" spans="1:9" ht="23.25" customHeight="1">
      <c r="A418" s="58">
        <v>852</v>
      </c>
      <c r="B418" s="90"/>
      <c r="C418" s="11"/>
      <c r="D418" s="174" t="s">
        <v>306</v>
      </c>
      <c r="E418" s="84">
        <f>E419+E422+E437+E440+E450+E457+E475+E477+E479+E482+E484+E507+E515+E518</f>
        <v>45142028</v>
      </c>
      <c r="F418" s="84">
        <f>F419+F422+F437+F440+F450+F457+F475+F477+F479+F482+F484+F507+F515+F518</f>
        <v>20570478</v>
      </c>
      <c r="G418" s="84">
        <f>G419+G422+G437+G440+G450+G457+G475+G477+G479+G482+G484+G507+G515+G518</f>
        <v>24501416.119999997</v>
      </c>
      <c r="H418" s="84">
        <f>H419+H422+H437+H440+H450+H457+H475+H477+H479+H482+H484+H507+H515+H518</f>
        <v>11376744.559999997</v>
      </c>
      <c r="I418" s="132">
        <f t="shared" si="5"/>
        <v>54.276285770767764</v>
      </c>
    </row>
    <row r="419" spans="1:22" s="53" customFormat="1" ht="20.25" customHeight="1">
      <c r="A419" s="93"/>
      <c r="B419" s="104">
        <v>85202</v>
      </c>
      <c r="C419" s="23"/>
      <c r="D419" s="175" t="s">
        <v>600</v>
      </c>
      <c r="E419" s="28">
        <f>SUM(E420:E421)</f>
        <v>3105000</v>
      </c>
      <c r="F419" s="91"/>
      <c r="G419" s="28">
        <f>SUM(G420:G421)</f>
        <v>1594439.23</v>
      </c>
      <c r="H419" s="28"/>
      <c r="I419" s="96">
        <f t="shared" si="5"/>
        <v>51.350699838969405</v>
      </c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</row>
    <row r="420" spans="1:9" ht="15.75" customHeight="1">
      <c r="A420" s="71"/>
      <c r="B420" s="63"/>
      <c r="C420" s="8">
        <v>4300</v>
      </c>
      <c r="D420" s="170" t="s">
        <v>331</v>
      </c>
      <c r="E420" s="26">
        <v>1345000</v>
      </c>
      <c r="F420" s="52"/>
      <c r="G420" s="26">
        <v>734473.13</v>
      </c>
      <c r="H420" s="26"/>
      <c r="I420" s="96">
        <f t="shared" si="5"/>
        <v>54.607667657992565</v>
      </c>
    </row>
    <row r="421" spans="1:9" ht="34.5" customHeight="1">
      <c r="A421" s="71"/>
      <c r="B421" s="69"/>
      <c r="C421" s="8">
        <v>4330</v>
      </c>
      <c r="D421" s="170" t="s">
        <v>143</v>
      </c>
      <c r="E421" s="26">
        <v>1760000</v>
      </c>
      <c r="F421" s="52"/>
      <c r="G421" s="26">
        <v>859966.1</v>
      </c>
      <c r="H421" s="26"/>
      <c r="I421" s="96">
        <f t="shared" si="5"/>
        <v>48.861710227272724</v>
      </c>
    </row>
    <row r="422" spans="1:9" ht="20.25" customHeight="1">
      <c r="A422" s="67"/>
      <c r="B422" s="24">
        <v>85203</v>
      </c>
      <c r="C422" s="24"/>
      <c r="D422" s="175" t="s">
        <v>183</v>
      </c>
      <c r="E422" s="91">
        <f>SUM(E423:E436)</f>
        <v>304901</v>
      </c>
      <c r="F422" s="91">
        <f>SUM(F423:F436)</f>
        <v>258900</v>
      </c>
      <c r="G422" s="91">
        <f>SUM(G423:G436)</f>
        <v>153814.11</v>
      </c>
      <c r="H422" s="28">
        <f>SUM(H423:H436)</f>
        <v>122813.11</v>
      </c>
      <c r="I422" s="96">
        <f t="shared" si="5"/>
        <v>50.44723041249455</v>
      </c>
    </row>
    <row r="423" spans="1:9" ht="18.75" customHeight="1">
      <c r="A423" s="70"/>
      <c r="B423" s="32"/>
      <c r="C423" s="8">
        <v>3020</v>
      </c>
      <c r="D423" s="170" t="s">
        <v>225</v>
      </c>
      <c r="E423" s="52">
        <v>500</v>
      </c>
      <c r="F423" s="52">
        <v>500</v>
      </c>
      <c r="G423" s="52">
        <v>219.78</v>
      </c>
      <c r="H423" s="26">
        <v>219.78</v>
      </c>
      <c r="I423" s="96">
        <f t="shared" si="5"/>
        <v>43.956</v>
      </c>
    </row>
    <row r="424" spans="1:9" ht="16.5" customHeight="1">
      <c r="A424" s="70"/>
      <c r="B424" s="7"/>
      <c r="C424" s="8">
        <v>4010</v>
      </c>
      <c r="D424" s="170" t="s">
        <v>378</v>
      </c>
      <c r="E424" s="52">
        <v>163506</v>
      </c>
      <c r="F424" s="52">
        <v>120000</v>
      </c>
      <c r="G424" s="52">
        <v>89113.17</v>
      </c>
      <c r="H424" s="26">
        <v>60607.17</v>
      </c>
      <c r="I424" s="96">
        <f t="shared" si="5"/>
        <v>54.501467836042714</v>
      </c>
    </row>
    <row r="425" spans="1:9" ht="16.5" customHeight="1">
      <c r="A425" s="70"/>
      <c r="B425" s="7"/>
      <c r="C425" s="8">
        <v>4040</v>
      </c>
      <c r="D425" s="170" t="s">
        <v>379</v>
      </c>
      <c r="E425" s="52">
        <v>15155.03</v>
      </c>
      <c r="F425" s="52">
        <v>15155.03</v>
      </c>
      <c r="G425" s="52">
        <v>15155.03</v>
      </c>
      <c r="H425" s="26">
        <v>15155.03</v>
      </c>
      <c r="I425" s="96">
        <f t="shared" si="5"/>
        <v>100</v>
      </c>
    </row>
    <row r="426" spans="1:9" ht="16.5" customHeight="1">
      <c r="A426" s="70"/>
      <c r="B426" s="7"/>
      <c r="C426" s="8">
        <v>4110</v>
      </c>
      <c r="D426" s="170" t="s">
        <v>565</v>
      </c>
      <c r="E426" s="52">
        <v>32495</v>
      </c>
      <c r="F426" s="52">
        <v>30000</v>
      </c>
      <c r="G426" s="52">
        <v>18946.27</v>
      </c>
      <c r="H426" s="26">
        <v>16451.27</v>
      </c>
      <c r="I426" s="96">
        <f t="shared" si="5"/>
        <v>58.30518541314048</v>
      </c>
    </row>
    <row r="427" spans="1:9" ht="16.5" customHeight="1">
      <c r="A427" s="70"/>
      <c r="B427" s="7"/>
      <c r="C427" s="8">
        <v>4120</v>
      </c>
      <c r="D427" s="170" t="s">
        <v>566</v>
      </c>
      <c r="E427" s="52">
        <v>5290</v>
      </c>
      <c r="F427" s="52">
        <v>5290</v>
      </c>
      <c r="G427" s="52">
        <v>2261.15</v>
      </c>
      <c r="H427" s="26">
        <v>2261.15</v>
      </c>
      <c r="I427" s="96">
        <f t="shared" si="5"/>
        <v>42.74385633270322</v>
      </c>
    </row>
    <row r="428" spans="1:9" ht="16.5" customHeight="1">
      <c r="A428" s="70"/>
      <c r="B428" s="7"/>
      <c r="C428" s="8">
        <v>4210</v>
      </c>
      <c r="D428" s="170" t="s">
        <v>334</v>
      </c>
      <c r="E428" s="52">
        <v>35000</v>
      </c>
      <c r="F428" s="52">
        <v>35000</v>
      </c>
      <c r="G428" s="52">
        <v>8433.72</v>
      </c>
      <c r="H428" s="26">
        <v>8433.72</v>
      </c>
      <c r="I428" s="96">
        <f t="shared" si="5"/>
        <v>24.096342857142854</v>
      </c>
    </row>
    <row r="429" spans="1:9" ht="16.5" customHeight="1">
      <c r="A429" s="70"/>
      <c r="B429" s="7"/>
      <c r="C429" s="8">
        <v>4260</v>
      </c>
      <c r="D429" s="170" t="s">
        <v>579</v>
      </c>
      <c r="E429" s="52">
        <v>13000</v>
      </c>
      <c r="F429" s="52">
        <v>13000</v>
      </c>
      <c r="G429" s="52">
        <v>3243.09</v>
      </c>
      <c r="H429" s="26">
        <v>3243.09</v>
      </c>
      <c r="I429" s="96">
        <f t="shared" si="5"/>
        <v>24.946846153846156</v>
      </c>
    </row>
    <row r="430" spans="1:9" ht="16.5" customHeight="1">
      <c r="A430" s="70"/>
      <c r="B430" s="7"/>
      <c r="C430" s="8">
        <v>4300</v>
      </c>
      <c r="D430" s="170" t="s">
        <v>331</v>
      </c>
      <c r="E430" s="52">
        <v>13700</v>
      </c>
      <c r="F430" s="52">
        <v>13700</v>
      </c>
      <c r="G430" s="52">
        <v>2589.1</v>
      </c>
      <c r="H430" s="26">
        <v>2589.1</v>
      </c>
      <c r="I430" s="96">
        <f t="shared" si="5"/>
        <v>18.8985401459854</v>
      </c>
    </row>
    <row r="431" spans="1:9" ht="24" customHeight="1">
      <c r="A431" s="70"/>
      <c r="B431" s="7"/>
      <c r="C431" s="8">
        <v>4360</v>
      </c>
      <c r="D431" s="170" t="s">
        <v>90</v>
      </c>
      <c r="E431" s="52">
        <v>2813</v>
      </c>
      <c r="F431" s="52">
        <v>2813</v>
      </c>
      <c r="G431" s="52">
        <v>1079.34</v>
      </c>
      <c r="H431" s="26">
        <v>1079.34</v>
      </c>
      <c r="I431" s="96">
        <f t="shared" si="5"/>
        <v>38.369712051190895</v>
      </c>
    </row>
    <row r="432" spans="1:9" ht="24" customHeight="1">
      <c r="A432" s="70"/>
      <c r="B432" s="7"/>
      <c r="C432" s="8">
        <v>4400</v>
      </c>
      <c r="D432" s="170" t="s">
        <v>184</v>
      </c>
      <c r="E432" s="52">
        <v>15712</v>
      </c>
      <c r="F432" s="52">
        <v>15712</v>
      </c>
      <c r="G432" s="52">
        <v>7199.46</v>
      </c>
      <c r="H432" s="26">
        <v>7199.46</v>
      </c>
      <c r="I432" s="96">
        <f t="shared" si="5"/>
        <v>45.821410386965375</v>
      </c>
    </row>
    <row r="433" spans="1:9" ht="16.5" customHeight="1">
      <c r="A433" s="70"/>
      <c r="B433" s="7"/>
      <c r="C433" s="8">
        <v>4410</v>
      </c>
      <c r="D433" s="170" t="s">
        <v>569</v>
      </c>
      <c r="E433" s="52">
        <v>1000</v>
      </c>
      <c r="F433" s="52">
        <v>1000</v>
      </c>
      <c r="G433" s="52">
        <v>574</v>
      </c>
      <c r="H433" s="26">
        <v>574</v>
      </c>
      <c r="I433" s="96">
        <f t="shared" si="5"/>
        <v>57.4</v>
      </c>
    </row>
    <row r="434" spans="1:9" ht="16.5" customHeight="1">
      <c r="A434" s="70"/>
      <c r="B434" s="7"/>
      <c r="C434" s="8">
        <v>4430</v>
      </c>
      <c r="D434" s="170" t="s">
        <v>314</v>
      </c>
      <c r="E434" s="52">
        <v>768</v>
      </c>
      <c r="F434" s="52">
        <v>768</v>
      </c>
      <c r="G434" s="52">
        <v>768</v>
      </c>
      <c r="H434" s="26">
        <v>768</v>
      </c>
      <c r="I434" s="96">
        <f t="shared" si="5"/>
        <v>100</v>
      </c>
    </row>
    <row r="435" spans="1:9" ht="24" customHeight="1">
      <c r="A435" s="70"/>
      <c r="B435" s="7"/>
      <c r="C435" s="2">
        <v>4440</v>
      </c>
      <c r="D435" s="170" t="s">
        <v>567</v>
      </c>
      <c r="E435" s="52">
        <v>5470</v>
      </c>
      <c r="F435" s="52">
        <v>5470</v>
      </c>
      <c r="G435" s="52">
        <v>4103</v>
      </c>
      <c r="H435" s="26">
        <v>4103</v>
      </c>
      <c r="I435" s="96">
        <f t="shared" si="5"/>
        <v>75.0091407678245</v>
      </c>
    </row>
    <row r="436" spans="1:9" ht="24" customHeight="1">
      <c r="A436" s="70"/>
      <c r="B436" s="7"/>
      <c r="C436" s="8">
        <v>4700</v>
      </c>
      <c r="D436" s="170" t="s">
        <v>290</v>
      </c>
      <c r="E436" s="52">
        <v>491.97</v>
      </c>
      <c r="F436" s="52">
        <v>491.97</v>
      </c>
      <c r="G436" s="52">
        <v>129</v>
      </c>
      <c r="H436" s="26">
        <v>129</v>
      </c>
      <c r="I436" s="96">
        <f t="shared" si="5"/>
        <v>26.2211110433563</v>
      </c>
    </row>
    <row r="437" spans="1:22" s="53" customFormat="1" ht="20.25" customHeight="1">
      <c r="A437" s="83"/>
      <c r="B437" s="24">
        <v>85204</v>
      </c>
      <c r="C437" s="24"/>
      <c r="D437" s="175" t="s">
        <v>627</v>
      </c>
      <c r="E437" s="91">
        <f>SUM(E438:E439)</f>
        <v>161000</v>
      </c>
      <c r="F437" s="91"/>
      <c r="G437" s="91">
        <f>SUM(G438:G439)</f>
        <v>96227.82</v>
      </c>
      <c r="H437" s="28"/>
      <c r="I437" s="96">
        <f t="shared" si="5"/>
        <v>59.76883229813665</v>
      </c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</row>
    <row r="438" spans="1:9" ht="17.25" customHeight="1">
      <c r="A438" s="67"/>
      <c r="B438" s="9"/>
      <c r="C438" s="2">
        <v>3110</v>
      </c>
      <c r="D438" s="170" t="s">
        <v>547</v>
      </c>
      <c r="E438" s="52">
        <v>95000</v>
      </c>
      <c r="F438" s="52"/>
      <c r="G438" s="52">
        <v>61863.04</v>
      </c>
      <c r="H438" s="26"/>
      <c r="I438" s="96">
        <f t="shared" si="5"/>
        <v>65.11898947368421</v>
      </c>
    </row>
    <row r="439" spans="1:9" ht="35.25" customHeight="1">
      <c r="A439" s="67"/>
      <c r="B439" s="9"/>
      <c r="C439" s="2">
        <v>4330</v>
      </c>
      <c r="D439" s="170" t="s">
        <v>143</v>
      </c>
      <c r="E439" s="52">
        <v>66000</v>
      </c>
      <c r="F439" s="52"/>
      <c r="G439" s="52">
        <v>34364.78</v>
      </c>
      <c r="H439" s="26"/>
      <c r="I439" s="96">
        <f t="shared" si="5"/>
        <v>52.067848484848476</v>
      </c>
    </row>
    <row r="440" spans="1:22" s="53" customFormat="1" ht="24" customHeight="1">
      <c r="A440" s="83"/>
      <c r="B440" s="24">
        <v>85205</v>
      </c>
      <c r="C440" s="24"/>
      <c r="D440" s="175" t="s">
        <v>193</v>
      </c>
      <c r="E440" s="91">
        <f>SUM(E441:E449)</f>
        <v>64290</v>
      </c>
      <c r="F440" s="91"/>
      <c r="G440" s="91">
        <f>SUM(G441:G449)</f>
        <v>36098.03</v>
      </c>
      <c r="H440" s="28"/>
      <c r="I440" s="96">
        <f t="shared" si="5"/>
        <v>56.14874786125369</v>
      </c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</row>
    <row r="441" spans="1:9" ht="17.25" customHeight="1">
      <c r="A441" s="67"/>
      <c r="B441" s="9"/>
      <c r="C441" s="2">
        <v>4010</v>
      </c>
      <c r="D441" s="170" t="s">
        <v>378</v>
      </c>
      <c r="E441" s="52">
        <v>30210</v>
      </c>
      <c r="F441" s="52"/>
      <c r="G441" s="52">
        <v>14797.4</v>
      </c>
      <c r="H441" s="26"/>
      <c r="I441" s="96">
        <f aca="true" t="shared" si="6" ref="I441:I505">G441/E441*100</f>
        <v>48.981794107911284</v>
      </c>
    </row>
    <row r="442" spans="1:9" ht="17.25" customHeight="1">
      <c r="A442" s="67"/>
      <c r="B442" s="9"/>
      <c r="C442" s="2">
        <v>4040</v>
      </c>
      <c r="D442" s="170" t="s">
        <v>379</v>
      </c>
      <c r="E442" s="52">
        <v>2600</v>
      </c>
      <c r="F442" s="52"/>
      <c r="G442" s="52">
        <v>2600</v>
      </c>
      <c r="H442" s="26"/>
      <c r="I442" s="96">
        <f t="shared" si="6"/>
        <v>100</v>
      </c>
    </row>
    <row r="443" spans="1:9" ht="17.25" customHeight="1">
      <c r="A443" s="67"/>
      <c r="B443" s="9"/>
      <c r="C443" s="2">
        <v>4110</v>
      </c>
      <c r="D443" s="170" t="s">
        <v>565</v>
      </c>
      <c r="E443" s="52">
        <v>6700</v>
      </c>
      <c r="F443" s="52"/>
      <c r="G443" s="52">
        <v>3687.2</v>
      </c>
      <c r="H443" s="26"/>
      <c r="I443" s="96">
        <f t="shared" si="6"/>
        <v>55.03283582089552</v>
      </c>
    </row>
    <row r="444" spans="1:9" ht="17.25" customHeight="1">
      <c r="A444" s="67"/>
      <c r="B444" s="9"/>
      <c r="C444" s="2">
        <v>4120</v>
      </c>
      <c r="D444" s="170" t="s">
        <v>566</v>
      </c>
      <c r="E444" s="52">
        <v>810</v>
      </c>
      <c r="F444" s="52"/>
      <c r="G444" s="52">
        <v>377.4</v>
      </c>
      <c r="H444" s="26"/>
      <c r="I444" s="96">
        <f t="shared" si="6"/>
        <v>46.59259259259259</v>
      </c>
    </row>
    <row r="445" spans="1:9" ht="17.25" customHeight="1">
      <c r="A445" s="67"/>
      <c r="B445" s="9"/>
      <c r="C445" s="2">
        <v>4210</v>
      </c>
      <c r="D445" s="170" t="s">
        <v>334</v>
      </c>
      <c r="E445" s="52">
        <v>3000</v>
      </c>
      <c r="F445" s="52"/>
      <c r="G445" s="52">
        <v>1135.5</v>
      </c>
      <c r="H445" s="26"/>
      <c r="I445" s="96">
        <f t="shared" si="6"/>
        <v>37.85</v>
      </c>
    </row>
    <row r="446" spans="1:9" ht="17.25" customHeight="1">
      <c r="A446" s="67"/>
      <c r="B446" s="9"/>
      <c r="C446" s="2">
        <v>4260</v>
      </c>
      <c r="D446" s="170" t="s">
        <v>579</v>
      </c>
      <c r="E446" s="52">
        <v>5000</v>
      </c>
      <c r="F446" s="52"/>
      <c r="G446" s="52">
        <v>1553.03</v>
      </c>
      <c r="H446" s="26"/>
      <c r="I446" s="96">
        <f t="shared" si="6"/>
        <v>31.0606</v>
      </c>
    </row>
    <row r="447" spans="1:9" ht="17.25" customHeight="1">
      <c r="A447" s="67"/>
      <c r="B447" s="9"/>
      <c r="C447" s="2">
        <v>4300</v>
      </c>
      <c r="D447" s="170" t="s">
        <v>331</v>
      </c>
      <c r="E447" s="52">
        <v>14000</v>
      </c>
      <c r="F447" s="52"/>
      <c r="G447" s="52">
        <v>11070</v>
      </c>
      <c r="H447" s="26"/>
      <c r="I447" s="96">
        <f t="shared" si="6"/>
        <v>79.07142857142857</v>
      </c>
    </row>
    <row r="448" spans="1:9" ht="24.75" customHeight="1">
      <c r="A448" s="67"/>
      <c r="B448" s="9"/>
      <c r="C448" s="2">
        <v>4440</v>
      </c>
      <c r="D448" s="170" t="s">
        <v>567</v>
      </c>
      <c r="E448" s="52">
        <v>1170</v>
      </c>
      <c r="F448" s="52"/>
      <c r="G448" s="52">
        <v>877.5</v>
      </c>
      <c r="H448" s="26"/>
      <c r="I448" s="96">
        <f t="shared" si="6"/>
        <v>75</v>
      </c>
    </row>
    <row r="449" spans="1:9" ht="24.75" customHeight="1">
      <c r="A449" s="67"/>
      <c r="B449" s="9"/>
      <c r="C449" s="2">
        <v>4700</v>
      </c>
      <c r="D449" s="170" t="s">
        <v>290</v>
      </c>
      <c r="E449" s="52">
        <v>800</v>
      </c>
      <c r="F449" s="52"/>
      <c r="G449" s="52">
        <v>0</v>
      </c>
      <c r="H449" s="26"/>
      <c r="I449" s="96"/>
    </row>
    <row r="450" spans="1:22" s="53" customFormat="1" ht="20.25" customHeight="1">
      <c r="A450" s="83"/>
      <c r="B450" s="24">
        <v>85206</v>
      </c>
      <c r="C450" s="24"/>
      <c r="D450" s="175" t="s">
        <v>582</v>
      </c>
      <c r="E450" s="91">
        <f>SUM(E451:E456)</f>
        <v>208600</v>
      </c>
      <c r="F450" s="91"/>
      <c r="G450" s="91">
        <f>SUM(G451:G456)</f>
        <v>96729.06999999999</v>
      </c>
      <c r="H450" s="28"/>
      <c r="I450" s="96">
        <f t="shared" si="6"/>
        <v>46.37059923298178</v>
      </c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</row>
    <row r="451" spans="1:9" ht="16.5" customHeight="1">
      <c r="A451" s="67"/>
      <c r="B451" s="9"/>
      <c r="C451" s="2">
        <v>4010</v>
      </c>
      <c r="D451" s="170" t="s">
        <v>378</v>
      </c>
      <c r="E451" s="52">
        <v>137980</v>
      </c>
      <c r="F451" s="52"/>
      <c r="G451" s="52">
        <v>67421.25</v>
      </c>
      <c r="H451" s="26"/>
      <c r="I451" s="96">
        <f t="shared" si="6"/>
        <v>48.86305986374837</v>
      </c>
    </row>
    <row r="452" spans="1:9" ht="16.5" customHeight="1">
      <c r="A452" s="67"/>
      <c r="B452" s="9"/>
      <c r="C452" s="2">
        <v>4040</v>
      </c>
      <c r="D452" s="170" t="s">
        <v>379</v>
      </c>
      <c r="E452" s="52">
        <v>11000</v>
      </c>
      <c r="F452" s="52"/>
      <c r="G452" s="52">
        <v>11000</v>
      </c>
      <c r="H452" s="26"/>
      <c r="I452" s="96">
        <f t="shared" si="6"/>
        <v>100</v>
      </c>
    </row>
    <row r="453" spans="1:9" ht="16.5" customHeight="1">
      <c r="A453" s="67"/>
      <c r="B453" s="9"/>
      <c r="C453" s="2">
        <v>4110</v>
      </c>
      <c r="D453" s="170" t="s">
        <v>565</v>
      </c>
      <c r="E453" s="52">
        <v>40900</v>
      </c>
      <c r="F453" s="52"/>
      <c r="G453" s="52">
        <v>12380.03</v>
      </c>
      <c r="H453" s="26"/>
      <c r="I453" s="96">
        <f t="shared" si="6"/>
        <v>30.26902200488998</v>
      </c>
    </row>
    <row r="454" spans="1:9" ht="16.5" customHeight="1">
      <c r="A454" s="67"/>
      <c r="B454" s="9"/>
      <c r="C454" s="2">
        <v>4120</v>
      </c>
      <c r="D454" s="170" t="s">
        <v>566</v>
      </c>
      <c r="E454" s="52">
        <v>5453</v>
      </c>
      <c r="F454" s="52"/>
      <c r="G454" s="52">
        <v>1153.04</v>
      </c>
      <c r="H454" s="26"/>
      <c r="I454" s="96">
        <f t="shared" si="6"/>
        <v>21.145057766367138</v>
      </c>
    </row>
    <row r="455" spans="1:9" ht="16.5" customHeight="1">
      <c r="A455" s="67"/>
      <c r="B455" s="9"/>
      <c r="C455" s="2">
        <v>4170</v>
      </c>
      <c r="D455" s="170" t="s">
        <v>572</v>
      </c>
      <c r="E455" s="52">
        <v>7250</v>
      </c>
      <c r="F455" s="52"/>
      <c r="G455" s="52">
        <v>262</v>
      </c>
      <c r="H455" s="26"/>
      <c r="I455" s="96">
        <f t="shared" si="6"/>
        <v>3.613793103448276</v>
      </c>
    </row>
    <row r="456" spans="1:9" ht="24" customHeight="1">
      <c r="A456" s="67"/>
      <c r="B456" s="9"/>
      <c r="C456" s="2">
        <v>4440</v>
      </c>
      <c r="D456" s="170" t="s">
        <v>567</v>
      </c>
      <c r="E456" s="52">
        <v>6017</v>
      </c>
      <c r="F456" s="52"/>
      <c r="G456" s="52">
        <v>4512.75</v>
      </c>
      <c r="H456" s="26"/>
      <c r="I456" s="96">
        <f t="shared" si="6"/>
        <v>75</v>
      </c>
    </row>
    <row r="457" spans="1:9" ht="45.75" customHeight="1">
      <c r="A457" s="67"/>
      <c r="B457" s="24">
        <v>85212</v>
      </c>
      <c r="C457" s="24"/>
      <c r="D457" s="175" t="s">
        <v>610</v>
      </c>
      <c r="E457" s="91">
        <f>SUM(E458:E474)</f>
        <v>20498515</v>
      </c>
      <c r="F457" s="91">
        <f>SUM(F458:F474)</f>
        <v>19751425</v>
      </c>
      <c r="G457" s="91">
        <f>SUM(G458:G474)</f>
        <v>11314539.489999996</v>
      </c>
      <c r="H457" s="28">
        <f>SUM(H458:H474)</f>
        <v>10980399.389999999</v>
      </c>
      <c r="I457" s="96">
        <f t="shared" si="6"/>
        <v>55.19687396867528</v>
      </c>
    </row>
    <row r="458" spans="1:9" ht="18" customHeight="1">
      <c r="A458" s="67"/>
      <c r="B458" s="29"/>
      <c r="C458" s="2">
        <v>3020</v>
      </c>
      <c r="D458" s="170" t="s">
        <v>225</v>
      </c>
      <c r="E458" s="52">
        <v>7000</v>
      </c>
      <c r="F458" s="52"/>
      <c r="G458" s="52">
        <v>587.52</v>
      </c>
      <c r="H458" s="26"/>
      <c r="I458" s="96">
        <f t="shared" si="6"/>
        <v>8.393142857142857</v>
      </c>
    </row>
    <row r="459" spans="1:9" ht="16.5" customHeight="1">
      <c r="A459" s="67"/>
      <c r="B459" s="29"/>
      <c r="C459" s="2">
        <v>3030</v>
      </c>
      <c r="D459" s="170" t="s">
        <v>588</v>
      </c>
      <c r="E459" s="52">
        <v>1000</v>
      </c>
      <c r="F459" s="52"/>
      <c r="G459" s="52">
        <v>0</v>
      </c>
      <c r="H459" s="26"/>
      <c r="I459" s="96">
        <f t="shared" si="6"/>
        <v>0</v>
      </c>
    </row>
    <row r="460" spans="1:9" ht="16.5" customHeight="1">
      <c r="A460" s="67"/>
      <c r="B460" s="9"/>
      <c r="C460" s="2">
        <v>3110</v>
      </c>
      <c r="D460" s="170" t="s">
        <v>547</v>
      </c>
      <c r="E460" s="96">
        <v>18428670</v>
      </c>
      <c r="F460" s="52">
        <v>18263670</v>
      </c>
      <c r="G460" s="96">
        <f>39500+10094178.87</f>
        <v>10133678.87</v>
      </c>
      <c r="H460" s="26">
        <v>10094178.87</v>
      </c>
      <c r="I460" s="96">
        <f t="shared" si="6"/>
        <v>54.98866098313117</v>
      </c>
    </row>
    <row r="461" spans="1:9" ht="16.5" customHeight="1">
      <c r="A461" s="67"/>
      <c r="B461" s="9"/>
      <c r="C461" s="2">
        <v>4010</v>
      </c>
      <c r="D461" s="170" t="s">
        <v>378</v>
      </c>
      <c r="E461" s="52">
        <v>752000</v>
      </c>
      <c r="F461" s="52">
        <v>434000</v>
      </c>
      <c r="G461" s="52">
        <f>155995.11+186963.77</f>
        <v>342958.88</v>
      </c>
      <c r="H461" s="26">
        <v>186963.77</v>
      </c>
      <c r="I461" s="96">
        <f t="shared" si="6"/>
        <v>45.60623404255319</v>
      </c>
    </row>
    <row r="462" spans="1:9" ht="16.5" customHeight="1">
      <c r="A462" s="67"/>
      <c r="B462" s="9"/>
      <c r="C462" s="2">
        <v>4040</v>
      </c>
      <c r="D462" s="170" t="s">
        <v>379</v>
      </c>
      <c r="E462" s="52">
        <v>68000</v>
      </c>
      <c r="F462" s="52">
        <v>38000</v>
      </c>
      <c r="G462" s="52">
        <f>30000+38000</f>
        <v>68000</v>
      </c>
      <c r="H462" s="26">
        <v>38000</v>
      </c>
      <c r="I462" s="96">
        <f t="shared" si="6"/>
        <v>100</v>
      </c>
    </row>
    <row r="463" spans="1:9" ht="16.5" customHeight="1">
      <c r="A463" s="67"/>
      <c r="B463" s="9"/>
      <c r="C463" s="2">
        <v>4110</v>
      </c>
      <c r="D463" s="170" t="s">
        <v>565</v>
      </c>
      <c r="E463" s="52">
        <v>1057000</v>
      </c>
      <c r="F463" s="52">
        <v>992000</v>
      </c>
      <c r="G463" s="52">
        <f>31051.71+646539.99</f>
        <v>677591.7</v>
      </c>
      <c r="H463" s="26">
        <v>646539.99</v>
      </c>
      <c r="I463" s="96">
        <f t="shared" si="6"/>
        <v>64.10517502365184</v>
      </c>
    </row>
    <row r="464" spans="1:9" ht="16.5" customHeight="1">
      <c r="A464" s="67"/>
      <c r="B464" s="9"/>
      <c r="C464" s="2">
        <v>4120</v>
      </c>
      <c r="D464" s="170" t="s">
        <v>566</v>
      </c>
      <c r="E464" s="52">
        <v>17275</v>
      </c>
      <c r="F464" s="52">
        <v>9755</v>
      </c>
      <c r="G464" s="52">
        <f>3714.75+4216.76</f>
        <v>7931.51</v>
      </c>
      <c r="H464" s="26">
        <v>4216.76</v>
      </c>
      <c r="I464" s="96">
        <f t="shared" si="6"/>
        <v>45.91322720694645</v>
      </c>
    </row>
    <row r="465" spans="1:9" ht="16.5" customHeight="1">
      <c r="A465" s="67"/>
      <c r="B465" s="9"/>
      <c r="C465" s="2">
        <v>4170</v>
      </c>
      <c r="D465" s="170" t="s">
        <v>572</v>
      </c>
      <c r="E465" s="52">
        <v>1000</v>
      </c>
      <c r="F465" s="52"/>
      <c r="G465" s="52">
        <v>0</v>
      </c>
      <c r="H465" s="26"/>
      <c r="I465" s="96"/>
    </row>
    <row r="466" spans="1:9" ht="16.5" customHeight="1">
      <c r="A466" s="67"/>
      <c r="B466" s="9"/>
      <c r="C466" s="2">
        <v>4210</v>
      </c>
      <c r="D466" s="170" t="s">
        <v>334</v>
      </c>
      <c r="E466" s="52">
        <v>32000</v>
      </c>
      <c r="F466" s="52"/>
      <c r="G466" s="52">
        <v>17353.19</v>
      </c>
      <c r="H466" s="26"/>
      <c r="I466" s="96">
        <f t="shared" si="6"/>
        <v>54.22871874999999</v>
      </c>
    </row>
    <row r="467" spans="1:9" ht="16.5" customHeight="1">
      <c r="A467" s="67"/>
      <c r="B467" s="9"/>
      <c r="C467" s="2">
        <v>4260</v>
      </c>
      <c r="D467" s="170" t="s">
        <v>579</v>
      </c>
      <c r="E467" s="52">
        <v>34500</v>
      </c>
      <c r="F467" s="52"/>
      <c r="G467" s="52">
        <v>19516.35</v>
      </c>
      <c r="H467" s="26"/>
      <c r="I467" s="96">
        <f t="shared" si="6"/>
        <v>56.5691304347826</v>
      </c>
    </row>
    <row r="468" spans="1:9" ht="16.5" customHeight="1">
      <c r="A468" s="67"/>
      <c r="B468" s="9"/>
      <c r="C468" s="2">
        <v>4270</v>
      </c>
      <c r="D468" s="170" t="s">
        <v>335</v>
      </c>
      <c r="E468" s="52">
        <v>5000</v>
      </c>
      <c r="F468" s="52"/>
      <c r="G468" s="52">
        <v>0</v>
      </c>
      <c r="H468" s="26"/>
      <c r="I468" s="96"/>
    </row>
    <row r="469" spans="1:9" ht="16.5" customHeight="1">
      <c r="A469" s="67"/>
      <c r="B469" s="9"/>
      <c r="C469" s="2">
        <v>4300</v>
      </c>
      <c r="D469" s="170" t="s">
        <v>331</v>
      </c>
      <c r="E469" s="52">
        <v>58000</v>
      </c>
      <c r="F469" s="52"/>
      <c r="G469" s="52">
        <v>18346.86</v>
      </c>
      <c r="H469" s="26"/>
      <c r="I469" s="96">
        <f t="shared" si="6"/>
        <v>31.63251724137931</v>
      </c>
    </row>
    <row r="470" spans="1:9" ht="16.5" customHeight="1">
      <c r="A470" s="67"/>
      <c r="B470" s="9"/>
      <c r="C470" s="2">
        <v>4380</v>
      </c>
      <c r="D470" s="170" t="s">
        <v>307</v>
      </c>
      <c r="E470" s="52">
        <v>500</v>
      </c>
      <c r="F470" s="52"/>
      <c r="G470" s="52">
        <v>0</v>
      </c>
      <c r="H470" s="26"/>
      <c r="I470" s="96"/>
    </row>
    <row r="471" spans="1:9" ht="16.5" customHeight="1">
      <c r="A471" s="67"/>
      <c r="B471" s="9"/>
      <c r="C471" s="2">
        <v>4410</v>
      </c>
      <c r="D471" s="170" t="s">
        <v>569</v>
      </c>
      <c r="E471" s="52">
        <v>400</v>
      </c>
      <c r="F471" s="52"/>
      <c r="G471" s="52">
        <v>0</v>
      </c>
      <c r="H471" s="26"/>
      <c r="I471" s="96"/>
    </row>
    <row r="472" spans="1:9" ht="23.25" customHeight="1">
      <c r="A472" s="67"/>
      <c r="B472" s="9"/>
      <c r="C472" s="2">
        <v>4440</v>
      </c>
      <c r="D472" s="170" t="s">
        <v>567</v>
      </c>
      <c r="E472" s="52">
        <v>25570</v>
      </c>
      <c r="F472" s="52">
        <v>14000</v>
      </c>
      <c r="G472" s="52">
        <f>8677.5+10500</f>
        <v>19177.5</v>
      </c>
      <c r="H472" s="26">
        <v>10500</v>
      </c>
      <c r="I472" s="96">
        <f t="shared" si="6"/>
        <v>75</v>
      </c>
    </row>
    <row r="473" spans="1:9" ht="23.25" customHeight="1">
      <c r="A473" s="67"/>
      <c r="B473" s="9"/>
      <c r="C473" s="2">
        <v>4610</v>
      </c>
      <c r="D473" s="170" t="s">
        <v>554</v>
      </c>
      <c r="E473" s="52">
        <v>9000</v>
      </c>
      <c r="F473" s="52"/>
      <c r="G473" s="52">
        <v>8983.11</v>
      </c>
      <c r="H473" s="26"/>
      <c r="I473" s="96">
        <f t="shared" si="6"/>
        <v>99.81233333333334</v>
      </c>
    </row>
    <row r="474" spans="1:9" ht="23.25" customHeight="1">
      <c r="A474" s="67"/>
      <c r="B474" s="9"/>
      <c r="C474" s="2">
        <v>4700</v>
      </c>
      <c r="D474" s="170" t="s">
        <v>290</v>
      </c>
      <c r="E474" s="52">
        <v>1600</v>
      </c>
      <c r="F474" s="52"/>
      <c r="G474" s="52">
        <v>414</v>
      </c>
      <c r="H474" s="26"/>
      <c r="I474" s="96">
        <f t="shared" si="6"/>
        <v>25.874999999999996</v>
      </c>
    </row>
    <row r="475" spans="1:9" ht="63" customHeight="1">
      <c r="A475" s="67"/>
      <c r="B475" s="24">
        <v>85213</v>
      </c>
      <c r="C475" s="24"/>
      <c r="D475" s="197" t="s">
        <v>149</v>
      </c>
      <c r="E475" s="91">
        <f>E476</f>
        <v>321219</v>
      </c>
      <c r="F475" s="91">
        <f>F476</f>
        <v>187000</v>
      </c>
      <c r="G475" s="91">
        <f>G476</f>
        <v>194349.65</v>
      </c>
      <c r="H475" s="28">
        <f>H476</f>
        <v>96098.04</v>
      </c>
      <c r="I475" s="96">
        <f t="shared" si="6"/>
        <v>60.50378402273838</v>
      </c>
    </row>
    <row r="476" spans="1:9" ht="16.5" customHeight="1">
      <c r="A476" s="67"/>
      <c r="B476" s="9"/>
      <c r="C476" s="2">
        <v>4130</v>
      </c>
      <c r="D476" s="170" t="s">
        <v>380</v>
      </c>
      <c r="E476" s="73">
        <v>321219</v>
      </c>
      <c r="F476" s="127">
        <v>187000</v>
      </c>
      <c r="G476" s="73">
        <f>98251.61+96098.04</f>
        <v>194349.65</v>
      </c>
      <c r="H476" s="241">
        <v>96098.04</v>
      </c>
      <c r="I476" s="96">
        <f t="shared" si="6"/>
        <v>60.50378402273838</v>
      </c>
    </row>
    <row r="477" spans="1:9" ht="24" customHeight="1">
      <c r="A477" s="67"/>
      <c r="B477" s="23">
        <v>85214</v>
      </c>
      <c r="C477" s="24"/>
      <c r="D477" s="175" t="s">
        <v>273</v>
      </c>
      <c r="E477" s="91">
        <f>E478</f>
        <v>4465000</v>
      </c>
      <c r="F477" s="52"/>
      <c r="G477" s="91">
        <f>G478</f>
        <v>2717037.02</v>
      </c>
      <c r="H477" s="26"/>
      <c r="I477" s="96">
        <f t="shared" si="6"/>
        <v>60.85189294512878</v>
      </c>
    </row>
    <row r="478" spans="1:9" ht="16.5" customHeight="1">
      <c r="A478" s="67"/>
      <c r="B478" s="29"/>
      <c r="C478" s="2">
        <v>3110</v>
      </c>
      <c r="D478" s="170" t="s">
        <v>547</v>
      </c>
      <c r="E478" s="88">
        <v>4465000</v>
      </c>
      <c r="F478" s="127"/>
      <c r="G478" s="88">
        <v>2717037.02</v>
      </c>
      <c r="H478" s="241"/>
      <c r="I478" s="96">
        <f t="shared" si="6"/>
        <v>60.85189294512878</v>
      </c>
    </row>
    <row r="479" spans="1:9" ht="20.25" customHeight="1">
      <c r="A479" s="98"/>
      <c r="B479" s="75">
        <v>85215</v>
      </c>
      <c r="C479" s="24"/>
      <c r="D479" s="175" t="s">
        <v>548</v>
      </c>
      <c r="E479" s="91">
        <f>E480+E481</f>
        <v>3337000</v>
      </c>
      <c r="F479" s="91">
        <f>F480+F481</f>
        <v>31000</v>
      </c>
      <c r="G479" s="91">
        <f>G480+G481</f>
        <v>1765093.5899999999</v>
      </c>
      <c r="H479" s="28">
        <f>H480+H481</f>
        <v>28234.01</v>
      </c>
      <c r="I479" s="96">
        <f t="shared" si="6"/>
        <v>52.894623614024574</v>
      </c>
    </row>
    <row r="480" spans="1:9" ht="16.5" customHeight="1">
      <c r="A480" s="81"/>
      <c r="B480" s="553"/>
      <c r="C480" s="2">
        <v>3110</v>
      </c>
      <c r="D480" s="170" t="s">
        <v>547</v>
      </c>
      <c r="E480" s="88">
        <v>3335380</v>
      </c>
      <c r="F480" s="52">
        <v>30380</v>
      </c>
      <c r="G480" s="52">
        <f>1736707.39+27681</f>
        <v>1764388.39</v>
      </c>
      <c r="H480" s="26">
        <v>27681</v>
      </c>
      <c r="I480" s="96">
        <f t="shared" si="6"/>
        <v>52.8991716086323</v>
      </c>
    </row>
    <row r="481" spans="1:9" ht="16.5" customHeight="1">
      <c r="A481" s="81"/>
      <c r="B481" s="553"/>
      <c r="C481" s="2">
        <v>4300</v>
      </c>
      <c r="D481" s="170" t="s">
        <v>331</v>
      </c>
      <c r="E481" s="52">
        <v>1620</v>
      </c>
      <c r="F481" s="52">
        <v>620</v>
      </c>
      <c r="G481" s="52">
        <f>152.19+553.01</f>
        <v>705.2</v>
      </c>
      <c r="H481" s="26">
        <v>553.01</v>
      </c>
      <c r="I481" s="96">
        <f t="shared" si="6"/>
        <v>43.53086419753087</v>
      </c>
    </row>
    <row r="482" spans="1:22" s="53" customFormat="1" ht="20.25" customHeight="1">
      <c r="A482" s="98"/>
      <c r="B482" s="46">
        <v>85216</v>
      </c>
      <c r="C482" s="24"/>
      <c r="D482" s="175" t="s">
        <v>97</v>
      </c>
      <c r="E482" s="91">
        <f>E483</f>
        <v>1400000</v>
      </c>
      <c r="F482" s="233"/>
      <c r="G482" s="121">
        <f>G483</f>
        <v>1164695.86</v>
      </c>
      <c r="H482" s="551"/>
      <c r="I482" s="96">
        <f t="shared" si="6"/>
        <v>83.19256142857144</v>
      </c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</row>
    <row r="483" spans="1:9" ht="16.5" customHeight="1">
      <c r="A483" s="81"/>
      <c r="B483" s="553"/>
      <c r="C483" s="2">
        <v>3110</v>
      </c>
      <c r="D483" s="170" t="s">
        <v>547</v>
      </c>
      <c r="E483" s="52">
        <v>1400000</v>
      </c>
      <c r="F483" s="127"/>
      <c r="G483" s="52">
        <v>1164695.86</v>
      </c>
      <c r="H483" s="241"/>
      <c r="I483" s="96">
        <f t="shared" si="6"/>
        <v>83.19256142857144</v>
      </c>
    </row>
    <row r="484" spans="1:9" ht="20.25" customHeight="1">
      <c r="A484" s="81"/>
      <c r="B484" s="27">
        <v>85219</v>
      </c>
      <c r="C484" s="24"/>
      <c r="D484" s="175" t="s">
        <v>274</v>
      </c>
      <c r="E484" s="91">
        <f>SUM(E485:E506)</f>
        <v>6388525</v>
      </c>
      <c r="F484" s="91">
        <f>SUM(F485:F506)</f>
        <v>27405</v>
      </c>
      <c r="G484" s="91">
        <f>SUM(G485:G506)</f>
        <v>3173400.46</v>
      </c>
      <c r="H484" s="28">
        <f>SUM(H485:H506)</f>
        <v>27203</v>
      </c>
      <c r="I484" s="96">
        <f t="shared" si="6"/>
        <v>49.67344512230914</v>
      </c>
    </row>
    <row r="485" spans="1:9" ht="18" customHeight="1">
      <c r="A485" s="81"/>
      <c r="B485" s="13"/>
      <c r="C485" s="8">
        <v>3020</v>
      </c>
      <c r="D485" s="170" t="s">
        <v>225</v>
      </c>
      <c r="E485" s="52">
        <v>26250</v>
      </c>
      <c r="F485" s="127"/>
      <c r="G485" s="52">
        <v>14444.32</v>
      </c>
      <c r="H485" s="241"/>
      <c r="I485" s="96">
        <f t="shared" si="6"/>
        <v>55.02598095238095</v>
      </c>
    </row>
    <row r="486" spans="1:9" ht="16.5" customHeight="1">
      <c r="A486" s="81"/>
      <c r="B486" s="7"/>
      <c r="C486" s="2">
        <v>3110</v>
      </c>
      <c r="D486" s="170" t="s">
        <v>547</v>
      </c>
      <c r="E486" s="88">
        <v>27000</v>
      </c>
      <c r="F486" s="52">
        <v>27000</v>
      </c>
      <c r="G486" s="88">
        <v>27000</v>
      </c>
      <c r="H486" s="26">
        <v>27000</v>
      </c>
      <c r="I486" s="96">
        <f t="shared" si="6"/>
        <v>100</v>
      </c>
    </row>
    <row r="487" spans="1:9" ht="16.5" customHeight="1">
      <c r="A487" s="81"/>
      <c r="B487" s="7"/>
      <c r="C487" s="8">
        <v>4010</v>
      </c>
      <c r="D487" s="170" t="s">
        <v>378</v>
      </c>
      <c r="E487" s="88">
        <v>4587115</v>
      </c>
      <c r="F487" s="127"/>
      <c r="G487" s="88">
        <v>2136426.89</v>
      </c>
      <c r="H487" s="241"/>
      <c r="I487" s="96">
        <f t="shared" si="6"/>
        <v>46.57452211248247</v>
      </c>
    </row>
    <row r="488" spans="1:9" ht="16.5" customHeight="1">
      <c r="A488" s="81"/>
      <c r="B488" s="7"/>
      <c r="C488" s="8">
        <v>4040</v>
      </c>
      <c r="D488" s="170" t="s">
        <v>379</v>
      </c>
      <c r="E488" s="52">
        <v>347000</v>
      </c>
      <c r="F488" s="127"/>
      <c r="G488" s="52">
        <v>304779.09</v>
      </c>
      <c r="H488" s="241"/>
      <c r="I488" s="96">
        <f t="shared" si="6"/>
        <v>87.83259077809798</v>
      </c>
    </row>
    <row r="489" spans="1:9" ht="16.5" customHeight="1">
      <c r="A489" s="81"/>
      <c r="B489" s="7"/>
      <c r="C489" s="8">
        <v>4110</v>
      </c>
      <c r="D489" s="170" t="s">
        <v>565</v>
      </c>
      <c r="E489" s="52">
        <v>826075</v>
      </c>
      <c r="F489" s="127"/>
      <c r="G489" s="52">
        <v>402485.66</v>
      </c>
      <c r="H489" s="241"/>
      <c r="I489" s="96">
        <f t="shared" si="6"/>
        <v>48.722653512090304</v>
      </c>
    </row>
    <row r="490" spans="1:9" ht="16.5" customHeight="1">
      <c r="A490" s="81"/>
      <c r="B490" s="7"/>
      <c r="C490" s="8">
        <v>4120</v>
      </c>
      <c r="D490" s="170" t="s">
        <v>566</v>
      </c>
      <c r="E490" s="52">
        <v>80000</v>
      </c>
      <c r="F490" s="127"/>
      <c r="G490" s="52">
        <v>37496.9</v>
      </c>
      <c r="H490" s="241"/>
      <c r="I490" s="96">
        <f t="shared" si="6"/>
        <v>46.871125</v>
      </c>
    </row>
    <row r="491" spans="1:9" ht="16.5" customHeight="1">
      <c r="A491" s="81"/>
      <c r="B491" s="7"/>
      <c r="C491" s="2">
        <v>4170</v>
      </c>
      <c r="D491" s="170" t="s">
        <v>572</v>
      </c>
      <c r="E491" s="52">
        <v>20000</v>
      </c>
      <c r="F491" s="127"/>
      <c r="G491" s="52">
        <v>3616</v>
      </c>
      <c r="H491" s="241"/>
      <c r="I491" s="96">
        <f t="shared" si="6"/>
        <v>18.08</v>
      </c>
    </row>
    <row r="492" spans="1:9" ht="16.5" customHeight="1">
      <c r="A492" s="81"/>
      <c r="B492" s="7"/>
      <c r="C492" s="15">
        <v>4210</v>
      </c>
      <c r="D492" s="172" t="s">
        <v>334</v>
      </c>
      <c r="E492" s="52">
        <v>74350</v>
      </c>
      <c r="F492" s="127"/>
      <c r="G492" s="52">
        <v>28840.56</v>
      </c>
      <c r="H492" s="241"/>
      <c r="I492" s="96">
        <f t="shared" si="6"/>
        <v>38.79026227303296</v>
      </c>
    </row>
    <row r="493" spans="1:9" ht="16.5" customHeight="1">
      <c r="A493" s="81"/>
      <c r="B493" s="7"/>
      <c r="C493" s="8">
        <v>4260</v>
      </c>
      <c r="D493" s="170" t="s">
        <v>579</v>
      </c>
      <c r="E493" s="52">
        <v>70600</v>
      </c>
      <c r="F493" s="127"/>
      <c r="G493" s="52">
        <v>29601.34</v>
      </c>
      <c r="H493" s="241"/>
      <c r="I493" s="96">
        <f t="shared" si="6"/>
        <v>41.928243626062326</v>
      </c>
    </row>
    <row r="494" spans="1:9" ht="16.5" customHeight="1">
      <c r="A494" s="81"/>
      <c r="B494" s="7"/>
      <c r="C494" s="8">
        <v>4270</v>
      </c>
      <c r="D494" s="170" t="s">
        <v>335</v>
      </c>
      <c r="E494" s="52">
        <v>9000</v>
      </c>
      <c r="F494" s="127"/>
      <c r="G494" s="52">
        <v>1486.25</v>
      </c>
      <c r="H494" s="241"/>
      <c r="I494" s="96">
        <f t="shared" si="6"/>
        <v>16.51388888888889</v>
      </c>
    </row>
    <row r="495" spans="1:9" ht="16.5" customHeight="1">
      <c r="A495" s="81"/>
      <c r="B495" s="7"/>
      <c r="C495" s="8">
        <v>4280</v>
      </c>
      <c r="D495" s="170" t="s">
        <v>179</v>
      </c>
      <c r="E495" s="52">
        <v>6100</v>
      </c>
      <c r="F495" s="127"/>
      <c r="G495" s="52">
        <v>3582</v>
      </c>
      <c r="H495" s="241"/>
      <c r="I495" s="96">
        <f t="shared" si="6"/>
        <v>58.721311475409834</v>
      </c>
    </row>
    <row r="496" spans="1:9" ht="16.5" customHeight="1">
      <c r="A496" s="81"/>
      <c r="B496" s="7"/>
      <c r="C496" s="8">
        <v>4300</v>
      </c>
      <c r="D496" s="170" t="s">
        <v>331</v>
      </c>
      <c r="E496" s="52">
        <v>98405</v>
      </c>
      <c r="F496" s="52">
        <v>405</v>
      </c>
      <c r="G496" s="52">
        <f>52286.25+203</f>
        <v>52489.25</v>
      </c>
      <c r="H496" s="26">
        <v>203</v>
      </c>
      <c r="I496" s="96">
        <f t="shared" si="6"/>
        <v>53.3400233727961</v>
      </c>
    </row>
    <row r="497" spans="1:9" ht="24" customHeight="1">
      <c r="A497" s="81"/>
      <c r="B497" s="7"/>
      <c r="C497" s="2">
        <v>4360</v>
      </c>
      <c r="D497" s="170" t="s">
        <v>90</v>
      </c>
      <c r="E497" s="52">
        <v>28860</v>
      </c>
      <c r="F497" s="127"/>
      <c r="G497" s="52">
        <v>8242.05</v>
      </c>
      <c r="H497" s="241"/>
      <c r="I497" s="96">
        <f t="shared" si="6"/>
        <v>28.558731808731807</v>
      </c>
    </row>
    <row r="498" spans="1:9" ht="16.5" customHeight="1">
      <c r="A498" s="81"/>
      <c r="B498" s="7"/>
      <c r="C498" s="8">
        <v>4410</v>
      </c>
      <c r="D498" s="170" t="s">
        <v>569</v>
      </c>
      <c r="E498" s="52">
        <v>16950</v>
      </c>
      <c r="F498" s="127"/>
      <c r="G498" s="52">
        <v>9262.41</v>
      </c>
      <c r="H498" s="241"/>
      <c r="I498" s="96">
        <f t="shared" si="6"/>
        <v>54.645486725663716</v>
      </c>
    </row>
    <row r="499" spans="1:9" ht="16.5" customHeight="1">
      <c r="A499" s="81"/>
      <c r="B499" s="7"/>
      <c r="C499" s="2">
        <v>4420</v>
      </c>
      <c r="D499" s="170" t="s">
        <v>576</v>
      </c>
      <c r="E499" s="52">
        <v>550</v>
      </c>
      <c r="F499" s="127"/>
      <c r="G499" s="52">
        <v>0</v>
      </c>
      <c r="H499" s="241"/>
      <c r="I499" s="96"/>
    </row>
    <row r="500" spans="1:9" ht="16.5" customHeight="1">
      <c r="A500" s="81"/>
      <c r="B500" s="7"/>
      <c r="C500" s="8">
        <v>4430</v>
      </c>
      <c r="D500" s="170" t="s">
        <v>314</v>
      </c>
      <c r="E500" s="52">
        <v>11000</v>
      </c>
      <c r="F500" s="127"/>
      <c r="G500" s="52">
        <v>1809.81</v>
      </c>
      <c r="H500" s="241"/>
      <c r="I500" s="96">
        <f t="shared" si="6"/>
        <v>16.45281818181818</v>
      </c>
    </row>
    <row r="501" spans="1:9" ht="24" customHeight="1">
      <c r="A501" s="81"/>
      <c r="B501" s="7"/>
      <c r="C501" s="8">
        <v>4440</v>
      </c>
      <c r="D501" s="170" t="s">
        <v>567</v>
      </c>
      <c r="E501" s="52">
        <v>132370</v>
      </c>
      <c r="F501" s="127"/>
      <c r="G501" s="52">
        <v>99277.5</v>
      </c>
      <c r="H501" s="241"/>
      <c r="I501" s="96">
        <f t="shared" si="6"/>
        <v>75</v>
      </c>
    </row>
    <row r="502" spans="1:9" ht="16.5" customHeight="1">
      <c r="A502" s="81"/>
      <c r="B502" s="7"/>
      <c r="C502" s="8">
        <v>4480</v>
      </c>
      <c r="D502" s="170" t="s">
        <v>272</v>
      </c>
      <c r="E502" s="52">
        <v>8000</v>
      </c>
      <c r="F502" s="127"/>
      <c r="G502" s="52">
        <v>3456</v>
      </c>
      <c r="H502" s="241"/>
      <c r="I502" s="96">
        <f t="shared" si="6"/>
        <v>43.2</v>
      </c>
    </row>
    <row r="503" spans="1:9" ht="16.5" customHeight="1">
      <c r="A503" s="81"/>
      <c r="B503" s="7"/>
      <c r="C503" s="8">
        <v>4510</v>
      </c>
      <c r="D503" s="170" t="s">
        <v>226</v>
      </c>
      <c r="E503" s="52">
        <v>100</v>
      </c>
      <c r="F503" s="127"/>
      <c r="G503" s="52">
        <v>0</v>
      </c>
      <c r="H503" s="241"/>
      <c r="I503" s="96"/>
    </row>
    <row r="504" spans="1:9" ht="23.25" customHeight="1">
      <c r="A504" s="81"/>
      <c r="B504" s="7"/>
      <c r="C504" s="2">
        <v>4520</v>
      </c>
      <c r="D504" s="170" t="s">
        <v>289</v>
      </c>
      <c r="E504" s="52">
        <v>4000</v>
      </c>
      <c r="F504" s="88"/>
      <c r="G504" s="52">
        <v>3774</v>
      </c>
      <c r="H504" s="128"/>
      <c r="I504" s="96">
        <f t="shared" si="6"/>
        <v>94.35</v>
      </c>
    </row>
    <row r="505" spans="1:9" ht="23.25" customHeight="1">
      <c r="A505" s="81"/>
      <c r="B505" s="7"/>
      <c r="C505" s="19">
        <v>4610</v>
      </c>
      <c r="D505" s="205" t="s">
        <v>554</v>
      </c>
      <c r="E505" s="88">
        <v>6000</v>
      </c>
      <c r="F505" s="127"/>
      <c r="G505" s="88">
        <v>2890.43</v>
      </c>
      <c r="H505" s="241"/>
      <c r="I505" s="250">
        <f t="shared" si="6"/>
        <v>48.173833333333334</v>
      </c>
    </row>
    <row r="506" spans="1:9" ht="23.25" customHeight="1">
      <c r="A506" s="81"/>
      <c r="B506" s="7"/>
      <c r="C506" s="8">
        <v>4700</v>
      </c>
      <c r="D506" s="170" t="s">
        <v>290</v>
      </c>
      <c r="E506" s="52">
        <v>8800</v>
      </c>
      <c r="F506" s="127"/>
      <c r="G506" s="52">
        <v>2440</v>
      </c>
      <c r="H506" s="241"/>
      <c r="I506" s="96">
        <f aca="true" t="shared" si="7" ref="I506:I569">G506/E506*100</f>
        <v>27.727272727272727</v>
      </c>
    </row>
    <row r="507" spans="1:22" s="53" customFormat="1" ht="34.5" customHeight="1">
      <c r="A507" s="98"/>
      <c r="B507" s="24">
        <v>85220</v>
      </c>
      <c r="C507" s="24"/>
      <c r="D507" s="175" t="s">
        <v>139</v>
      </c>
      <c r="E507" s="91">
        <f>SUM(E508:E514)</f>
        <v>54430</v>
      </c>
      <c r="F507" s="233"/>
      <c r="G507" s="91">
        <f>SUM(G508:G514)</f>
        <v>27914.870000000003</v>
      </c>
      <c r="H507" s="551"/>
      <c r="I507" s="96">
        <f t="shared" si="7"/>
        <v>51.285816645232416</v>
      </c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</row>
    <row r="508" spans="1:9" ht="16.5" customHeight="1">
      <c r="A508" s="81"/>
      <c r="B508" s="7"/>
      <c r="C508" s="15">
        <v>4210</v>
      </c>
      <c r="D508" s="172" t="s">
        <v>334</v>
      </c>
      <c r="E508" s="52">
        <v>750</v>
      </c>
      <c r="F508" s="127"/>
      <c r="G508" s="52">
        <v>0</v>
      </c>
      <c r="H508" s="241"/>
      <c r="I508" s="96">
        <f t="shared" si="7"/>
        <v>0</v>
      </c>
    </row>
    <row r="509" spans="1:9" ht="16.5" customHeight="1">
      <c r="A509" s="81"/>
      <c r="B509" s="7"/>
      <c r="C509" s="8">
        <v>4260</v>
      </c>
      <c r="D509" s="170" t="s">
        <v>579</v>
      </c>
      <c r="E509" s="52">
        <v>25000</v>
      </c>
      <c r="F509" s="127"/>
      <c r="G509" s="52">
        <v>11720.61</v>
      </c>
      <c r="H509" s="241"/>
      <c r="I509" s="96">
        <f t="shared" si="7"/>
        <v>46.88244</v>
      </c>
    </row>
    <row r="510" spans="1:9" ht="16.5" customHeight="1">
      <c r="A510" s="81"/>
      <c r="B510" s="7"/>
      <c r="C510" s="8">
        <v>4270</v>
      </c>
      <c r="D510" s="170" t="s">
        <v>335</v>
      </c>
      <c r="E510" s="52">
        <v>800</v>
      </c>
      <c r="F510" s="127"/>
      <c r="G510" s="52">
        <v>0</v>
      </c>
      <c r="H510" s="241"/>
      <c r="I510" s="96"/>
    </row>
    <row r="511" spans="1:9" ht="16.5" customHeight="1">
      <c r="A511" s="81"/>
      <c r="B511" s="7"/>
      <c r="C511" s="8">
        <v>4300</v>
      </c>
      <c r="D511" s="170" t="s">
        <v>331</v>
      </c>
      <c r="E511" s="52">
        <v>10000</v>
      </c>
      <c r="F511" s="127"/>
      <c r="G511" s="52">
        <v>7415.54</v>
      </c>
      <c r="H511" s="241"/>
      <c r="I511" s="96">
        <f t="shared" si="7"/>
        <v>74.1554</v>
      </c>
    </row>
    <row r="512" spans="1:9" ht="24" customHeight="1">
      <c r="A512" s="81"/>
      <c r="B512" s="7"/>
      <c r="C512" s="2">
        <v>4400</v>
      </c>
      <c r="D512" s="170" t="s">
        <v>184</v>
      </c>
      <c r="E512" s="52">
        <v>15000</v>
      </c>
      <c r="F512" s="127"/>
      <c r="G512" s="52">
        <v>7128.72</v>
      </c>
      <c r="H512" s="241"/>
      <c r="I512" s="96">
        <f t="shared" si="7"/>
        <v>47.5248</v>
      </c>
    </row>
    <row r="513" spans="1:9" ht="16.5" customHeight="1">
      <c r="A513" s="81"/>
      <c r="B513" s="7"/>
      <c r="C513" s="8">
        <v>4480</v>
      </c>
      <c r="D513" s="170" t="s">
        <v>272</v>
      </c>
      <c r="E513" s="52">
        <v>280</v>
      </c>
      <c r="F513" s="127"/>
      <c r="G513" s="52">
        <v>90</v>
      </c>
      <c r="H513" s="241"/>
      <c r="I513" s="96">
        <f t="shared" si="7"/>
        <v>32.142857142857146</v>
      </c>
    </row>
    <row r="514" spans="1:9" ht="24" customHeight="1">
      <c r="A514" s="81"/>
      <c r="B514" s="7"/>
      <c r="C514" s="8">
        <v>4520</v>
      </c>
      <c r="D514" s="170" t="s">
        <v>289</v>
      </c>
      <c r="E514" s="52">
        <v>2600</v>
      </c>
      <c r="F514" s="127"/>
      <c r="G514" s="52">
        <v>1560</v>
      </c>
      <c r="H514" s="241"/>
      <c r="I514" s="96">
        <f t="shared" si="7"/>
        <v>60</v>
      </c>
    </row>
    <row r="515" spans="1:9" ht="24.75" customHeight="1">
      <c r="A515" s="98"/>
      <c r="B515" s="46">
        <v>85228</v>
      </c>
      <c r="C515" s="24" t="s">
        <v>201</v>
      </c>
      <c r="D515" s="175" t="s">
        <v>549</v>
      </c>
      <c r="E515" s="91">
        <f>SUM(E516:E517)</f>
        <v>1385550</v>
      </c>
      <c r="F515" s="91">
        <f>SUM(F516:F517)</f>
        <v>309550</v>
      </c>
      <c r="G515" s="91">
        <f>SUM(G516:G517)</f>
        <v>718799</v>
      </c>
      <c r="H515" s="28">
        <f>SUM(H516:H517)</f>
        <v>119597.01</v>
      </c>
      <c r="I515" s="96">
        <f t="shared" si="7"/>
        <v>51.87824329688572</v>
      </c>
    </row>
    <row r="516" spans="1:9" ht="60" customHeight="1">
      <c r="A516" s="81"/>
      <c r="B516" s="553"/>
      <c r="C516" s="2">
        <v>2360</v>
      </c>
      <c r="D516" s="170" t="s">
        <v>102</v>
      </c>
      <c r="E516" s="52">
        <v>1056000</v>
      </c>
      <c r="F516" s="127"/>
      <c r="G516" s="52">
        <v>590000</v>
      </c>
      <c r="H516" s="241"/>
      <c r="I516" s="96">
        <f t="shared" si="7"/>
        <v>55.871212121212125</v>
      </c>
    </row>
    <row r="517" spans="1:9" ht="16.5" customHeight="1">
      <c r="A517" s="81"/>
      <c r="B517" s="553"/>
      <c r="C517" s="2">
        <v>4300</v>
      </c>
      <c r="D517" s="170" t="s">
        <v>331</v>
      </c>
      <c r="E517" s="52">
        <v>329550</v>
      </c>
      <c r="F517" s="52">
        <v>309550</v>
      </c>
      <c r="G517" s="52">
        <f>9201.99+119597.01</f>
        <v>128799</v>
      </c>
      <c r="H517" s="26">
        <v>119597.01</v>
      </c>
      <c r="I517" s="96">
        <f t="shared" si="7"/>
        <v>39.08329540282203</v>
      </c>
    </row>
    <row r="518" spans="1:9" ht="20.25" customHeight="1">
      <c r="A518" s="98" t="s">
        <v>201</v>
      </c>
      <c r="B518" s="75">
        <v>85295</v>
      </c>
      <c r="C518" s="24"/>
      <c r="D518" s="175" t="s">
        <v>250</v>
      </c>
      <c r="E518" s="91">
        <f>SUM(E519:E526)</f>
        <v>3447998.0000000005</v>
      </c>
      <c r="F518" s="91">
        <f>SUM(F519:F526)</f>
        <v>5198</v>
      </c>
      <c r="G518" s="91">
        <f>SUM(G519:G526)</f>
        <v>1448277.92</v>
      </c>
      <c r="H518" s="28">
        <f>SUM(H519:H526)</f>
        <v>2400</v>
      </c>
      <c r="I518" s="96">
        <f t="shared" si="7"/>
        <v>42.0034443175431</v>
      </c>
    </row>
    <row r="519" spans="1:9" ht="58.5" customHeight="1">
      <c r="A519" s="98"/>
      <c r="B519" s="78"/>
      <c r="C519" s="2">
        <v>2360</v>
      </c>
      <c r="D519" s="170" t="s">
        <v>102</v>
      </c>
      <c r="E519" s="52">
        <v>335000</v>
      </c>
      <c r="F519" s="127"/>
      <c r="G519" s="52">
        <v>182500</v>
      </c>
      <c r="H519" s="241"/>
      <c r="I519" s="96">
        <f t="shared" si="7"/>
        <v>54.47761194029851</v>
      </c>
    </row>
    <row r="520" spans="1:9" ht="16.5" customHeight="1">
      <c r="A520" s="81"/>
      <c r="B520" s="553"/>
      <c r="C520" s="2">
        <v>3110</v>
      </c>
      <c r="D520" s="170" t="s">
        <v>547</v>
      </c>
      <c r="E520" s="52">
        <v>2914200</v>
      </c>
      <c r="F520" s="52">
        <v>2400</v>
      </c>
      <c r="G520" s="52">
        <f>1192731.43+2400</f>
        <v>1195131.43</v>
      </c>
      <c r="H520" s="26">
        <v>2400</v>
      </c>
      <c r="I520" s="96">
        <f t="shared" si="7"/>
        <v>41.010618008372795</v>
      </c>
    </row>
    <row r="521" spans="1:9" ht="16.5" customHeight="1">
      <c r="A521" s="81"/>
      <c r="B521" s="553"/>
      <c r="C521" s="2">
        <v>4010</v>
      </c>
      <c r="D521" s="170" t="s">
        <v>378</v>
      </c>
      <c r="E521" s="52">
        <v>2379.72</v>
      </c>
      <c r="F521" s="52">
        <v>2379.72</v>
      </c>
      <c r="G521" s="52">
        <v>0</v>
      </c>
      <c r="H521" s="26">
        <v>0</v>
      </c>
      <c r="I521" s="96"/>
    </row>
    <row r="522" spans="1:9" ht="16.5" customHeight="1">
      <c r="A522" s="81"/>
      <c r="B522" s="553"/>
      <c r="C522" s="2">
        <v>4110</v>
      </c>
      <c r="D522" s="170" t="s">
        <v>565</v>
      </c>
      <c r="E522" s="52">
        <v>366.1</v>
      </c>
      <c r="F522" s="52">
        <v>366.1</v>
      </c>
      <c r="G522" s="52">
        <v>0</v>
      </c>
      <c r="H522" s="26">
        <v>0</v>
      </c>
      <c r="I522" s="96"/>
    </row>
    <row r="523" spans="1:9" ht="16.5" customHeight="1">
      <c r="A523" s="81"/>
      <c r="B523" s="553"/>
      <c r="C523" s="2">
        <v>4120</v>
      </c>
      <c r="D523" s="170" t="s">
        <v>566</v>
      </c>
      <c r="E523" s="52">
        <v>52.18</v>
      </c>
      <c r="F523" s="52">
        <v>52.18</v>
      </c>
      <c r="G523" s="52">
        <v>0</v>
      </c>
      <c r="H523" s="26">
        <v>0</v>
      </c>
      <c r="I523" s="96"/>
    </row>
    <row r="524" spans="1:9" ht="16.5" customHeight="1">
      <c r="A524" s="81"/>
      <c r="B524" s="553"/>
      <c r="C524" s="2">
        <v>4210</v>
      </c>
      <c r="D524" s="170" t="s">
        <v>330</v>
      </c>
      <c r="E524" s="52">
        <v>11000</v>
      </c>
      <c r="F524" s="52"/>
      <c r="G524" s="52">
        <v>0</v>
      </c>
      <c r="H524" s="26"/>
      <c r="I524" s="96"/>
    </row>
    <row r="525" spans="1:9" ht="16.5" customHeight="1">
      <c r="A525" s="81"/>
      <c r="B525" s="553"/>
      <c r="C525" s="2">
        <v>4220</v>
      </c>
      <c r="D525" s="170" t="s">
        <v>223</v>
      </c>
      <c r="E525" s="52">
        <v>140000</v>
      </c>
      <c r="F525" s="127"/>
      <c r="G525" s="52">
        <v>55688.49</v>
      </c>
      <c r="H525" s="241"/>
      <c r="I525" s="96">
        <f t="shared" si="7"/>
        <v>39.77749285714285</v>
      </c>
    </row>
    <row r="526" spans="1:9" ht="16.5" customHeight="1">
      <c r="A526" s="81"/>
      <c r="B526" s="553"/>
      <c r="C526" s="2">
        <v>4300</v>
      </c>
      <c r="D526" s="170" t="s">
        <v>185</v>
      </c>
      <c r="E526" s="52">
        <v>45000</v>
      </c>
      <c r="F526" s="52"/>
      <c r="G526" s="52">
        <v>14958</v>
      </c>
      <c r="H526" s="26"/>
      <c r="I526" s="96">
        <f t="shared" si="7"/>
        <v>33.239999999999995</v>
      </c>
    </row>
    <row r="527" spans="1:9" ht="24" customHeight="1">
      <c r="A527" s="58">
        <v>853</v>
      </c>
      <c r="B527" s="58"/>
      <c r="C527" s="10"/>
      <c r="D527" s="174" t="s">
        <v>324</v>
      </c>
      <c r="E527" s="33">
        <f>E528+E549+E552</f>
        <v>4653265.07</v>
      </c>
      <c r="F527" s="73"/>
      <c r="G527" s="33">
        <f>G528+G549+G552</f>
        <v>2182738.23</v>
      </c>
      <c r="H527" s="129"/>
      <c r="I527" s="132">
        <f t="shared" si="7"/>
        <v>46.90767014482585</v>
      </c>
    </row>
    <row r="528" spans="1:22" s="53" customFormat="1" ht="20.25" customHeight="1">
      <c r="A528" s="98"/>
      <c r="B528" s="75">
        <v>85305</v>
      </c>
      <c r="C528" s="24"/>
      <c r="D528" s="175" t="s">
        <v>552</v>
      </c>
      <c r="E528" s="38">
        <f>SUM(E529:E548)</f>
        <v>2082392</v>
      </c>
      <c r="F528" s="167"/>
      <c r="G528" s="38">
        <f>SUM(G529:G548)</f>
        <v>981614.5700000001</v>
      </c>
      <c r="H528" s="557"/>
      <c r="I528" s="96">
        <f t="shared" si="7"/>
        <v>47.138798554738976</v>
      </c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</row>
    <row r="529" spans="1:22" s="53" customFormat="1" ht="49.5" customHeight="1">
      <c r="A529" s="98"/>
      <c r="B529" s="78"/>
      <c r="C529" s="2">
        <v>2830</v>
      </c>
      <c r="D529" s="170" t="s">
        <v>121</v>
      </c>
      <c r="E529" s="41">
        <v>96000</v>
      </c>
      <c r="F529" s="233"/>
      <c r="G529" s="41">
        <v>28400</v>
      </c>
      <c r="H529" s="551"/>
      <c r="I529" s="96">
        <f t="shared" si="7"/>
        <v>29.583333333333332</v>
      </c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</row>
    <row r="530" spans="1:9" ht="15.75" customHeight="1">
      <c r="A530" s="107"/>
      <c r="B530" s="553"/>
      <c r="C530" s="13">
        <v>3020</v>
      </c>
      <c r="D530" s="170" t="s">
        <v>571</v>
      </c>
      <c r="E530" s="52">
        <v>4000</v>
      </c>
      <c r="F530" s="127"/>
      <c r="G530" s="52">
        <v>0</v>
      </c>
      <c r="H530" s="241"/>
      <c r="I530" s="96"/>
    </row>
    <row r="531" spans="1:9" ht="16.5" customHeight="1">
      <c r="A531" s="107"/>
      <c r="B531" s="553"/>
      <c r="C531" s="2">
        <v>4010</v>
      </c>
      <c r="D531" s="170" t="s">
        <v>378</v>
      </c>
      <c r="E531" s="52">
        <v>1297011</v>
      </c>
      <c r="F531" s="127"/>
      <c r="G531" s="52">
        <v>595708.93</v>
      </c>
      <c r="H531" s="241"/>
      <c r="I531" s="96">
        <f t="shared" si="7"/>
        <v>45.92936605780522</v>
      </c>
    </row>
    <row r="532" spans="1:9" ht="16.5" customHeight="1">
      <c r="A532" s="107"/>
      <c r="B532" s="553"/>
      <c r="C532" s="2">
        <v>4040</v>
      </c>
      <c r="D532" s="170" t="s">
        <v>379</v>
      </c>
      <c r="E532" s="52">
        <v>83464</v>
      </c>
      <c r="F532" s="127"/>
      <c r="G532" s="52">
        <v>82875.94</v>
      </c>
      <c r="H532" s="241"/>
      <c r="I532" s="96">
        <f t="shared" si="7"/>
        <v>99.29543276143008</v>
      </c>
    </row>
    <row r="533" spans="1:9" ht="16.5" customHeight="1">
      <c r="A533" s="107"/>
      <c r="B533" s="553"/>
      <c r="C533" s="2">
        <v>4110</v>
      </c>
      <c r="D533" s="170" t="s">
        <v>565</v>
      </c>
      <c r="E533" s="52">
        <v>216600</v>
      </c>
      <c r="F533" s="127"/>
      <c r="G533" s="52">
        <v>97302.34</v>
      </c>
      <c r="H533" s="241"/>
      <c r="I533" s="96">
        <f t="shared" si="7"/>
        <v>44.922594644506</v>
      </c>
    </row>
    <row r="534" spans="1:9" ht="16.5" customHeight="1">
      <c r="A534" s="107"/>
      <c r="B534" s="553"/>
      <c r="C534" s="2">
        <v>4120</v>
      </c>
      <c r="D534" s="170" t="s">
        <v>566</v>
      </c>
      <c r="E534" s="52">
        <v>20500</v>
      </c>
      <c r="F534" s="88"/>
      <c r="G534" s="52">
        <v>8036.76</v>
      </c>
      <c r="H534" s="128"/>
      <c r="I534" s="96">
        <f t="shared" si="7"/>
        <v>39.203707317073174</v>
      </c>
    </row>
    <row r="535" spans="1:9" ht="16.5" customHeight="1">
      <c r="A535" s="107"/>
      <c r="B535" s="553"/>
      <c r="C535" s="1">
        <v>4210</v>
      </c>
      <c r="D535" s="205" t="s">
        <v>573</v>
      </c>
      <c r="E535" s="88">
        <v>30000</v>
      </c>
      <c r="F535" s="127"/>
      <c r="G535" s="88">
        <v>13348.52</v>
      </c>
      <c r="H535" s="241"/>
      <c r="I535" s="250">
        <f t="shared" si="7"/>
        <v>44.495066666666666</v>
      </c>
    </row>
    <row r="536" spans="1:9" ht="16.5" customHeight="1">
      <c r="A536" s="107"/>
      <c r="B536" s="553"/>
      <c r="C536" s="2">
        <v>4220</v>
      </c>
      <c r="D536" s="170" t="s">
        <v>223</v>
      </c>
      <c r="E536" s="52">
        <v>107598</v>
      </c>
      <c r="F536" s="127"/>
      <c r="G536" s="52">
        <v>43266.79</v>
      </c>
      <c r="H536" s="241"/>
      <c r="I536" s="96">
        <f t="shared" si="7"/>
        <v>40.21151880146471</v>
      </c>
    </row>
    <row r="537" spans="1:9" ht="24" customHeight="1">
      <c r="A537" s="107"/>
      <c r="B537" s="553"/>
      <c r="C537" s="2">
        <v>4240</v>
      </c>
      <c r="D537" s="170" t="s">
        <v>221</v>
      </c>
      <c r="E537" s="52">
        <v>2400</v>
      </c>
      <c r="F537" s="127"/>
      <c r="G537" s="52">
        <v>46.34</v>
      </c>
      <c r="H537" s="241"/>
      <c r="I537" s="96">
        <f t="shared" si="7"/>
        <v>1.9308333333333334</v>
      </c>
    </row>
    <row r="538" spans="1:9" ht="15.75" customHeight="1">
      <c r="A538" s="107"/>
      <c r="B538" s="553"/>
      <c r="C538" s="2">
        <v>4260</v>
      </c>
      <c r="D538" s="170" t="s">
        <v>579</v>
      </c>
      <c r="E538" s="52">
        <v>91375</v>
      </c>
      <c r="F538" s="127"/>
      <c r="G538" s="52">
        <v>52157.14</v>
      </c>
      <c r="H538" s="241"/>
      <c r="I538" s="96">
        <f t="shared" si="7"/>
        <v>57.08031737346101</v>
      </c>
    </row>
    <row r="539" spans="1:9" ht="15.75" customHeight="1">
      <c r="A539" s="107"/>
      <c r="B539" s="553"/>
      <c r="C539" s="2">
        <v>4270</v>
      </c>
      <c r="D539" s="170" t="s">
        <v>335</v>
      </c>
      <c r="E539" s="52">
        <v>48392</v>
      </c>
      <c r="F539" s="127"/>
      <c r="G539" s="52">
        <v>5544.35</v>
      </c>
      <c r="H539" s="241"/>
      <c r="I539" s="96">
        <f t="shared" si="7"/>
        <v>11.45716234088279</v>
      </c>
    </row>
    <row r="540" spans="1:9" ht="15.75" customHeight="1">
      <c r="A540" s="107"/>
      <c r="B540" s="553"/>
      <c r="C540" s="2">
        <v>4280</v>
      </c>
      <c r="D540" s="205" t="s">
        <v>179</v>
      </c>
      <c r="E540" s="52">
        <v>745</v>
      </c>
      <c r="F540" s="127"/>
      <c r="G540" s="52">
        <v>310</v>
      </c>
      <c r="H540" s="241"/>
      <c r="I540" s="96">
        <f t="shared" si="7"/>
        <v>41.61073825503356</v>
      </c>
    </row>
    <row r="541" spans="1:9" ht="15.75" customHeight="1">
      <c r="A541" s="107"/>
      <c r="B541" s="553"/>
      <c r="C541" s="2">
        <v>4300</v>
      </c>
      <c r="D541" s="170" t="s">
        <v>375</v>
      </c>
      <c r="E541" s="52">
        <v>25000</v>
      </c>
      <c r="F541" s="127"/>
      <c r="G541" s="52">
        <v>14400.62</v>
      </c>
      <c r="H541" s="241"/>
      <c r="I541" s="96">
        <f t="shared" si="7"/>
        <v>57.60248</v>
      </c>
    </row>
    <row r="542" spans="1:9" ht="24" customHeight="1">
      <c r="A542" s="107"/>
      <c r="B542" s="553"/>
      <c r="C542" s="2">
        <v>4360</v>
      </c>
      <c r="D542" s="170" t="s">
        <v>90</v>
      </c>
      <c r="E542" s="52">
        <v>2710</v>
      </c>
      <c r="F542" s="127"/>
      <c r="G542" s="52">
        <v>1292.68</v>
      </c>
      <c r="H542" s="241"/>
      <c r="I542" s="96">
        <f t="shared" si="7"/>
        <v>47.70036900369004</v>
      </c>
    </row>
    <row r="543" spans="1:9" ht="15.75" customHeight="1">
      <c r="A543" s="107"/>
      <c r="B543" s="553"/>
      <c r="C543" s="2">
        <v>4410</v>
      </c>
      <c r="D543" s="170" t="s">
        <v>569</v>
      </c>
      <c r="E543" s="52">
        <v>1750</v>
      </c>
      <c r="F543" s="127"/>
      <c r="G543" s="52">
        <v>644.08</v>
      </c>
      <c r="H543" s="241"/>
      <c r="I543" s="96">
        <f t="shared" si="7"/>
        <v>36.80457142857143</v>
      </c>
    </row>
    <row r="544" spans="1:9" ht="15.75" customHeight="1">
      <c r="A544" s="107"/>
      <c r="B544" s="553"/>
      <c r="C544" s="2">
        <v>4430</v>
      </c>
      <c r="D544" s="170" t="s">
        <v>314</v>
      </c>
      <c r="E544" s="52">
        <v>1000</v>
      </c>
      <c r="F544" s="127"/>
      <c r="G544" s="52">
        <v>1000</v>
      </c>
      <c r="H544" s="241"/>
      <c r="I544" s="96">
        <f t="shared" si="7"/>
        <v>100</v>
      </c>
    </row>
    <row r="545" spans="1:9" ht="24" customHeight="1">
      <c r="A545" s="107"/>
      <c r="B545" s="553"/>
      <c r="C545" s="2">
        <v>4440</v>
      </c>
      <c r="D545" s="170" t="s">
        <v>567</v>
      </c>
      <c r="E545" s="52">
        <v>42007</v>
      </c>
      <c r="F545" s="127"/>
      <c r="G545" s="52">
        <v>31505.18</v>
      </c>
      <c r="H545" s="241"/>
      <c r="I545" s="96">
        <f t="shared" si="7"/>
        <v>74.99983336110648</v>
      </c>
    </row>
    <row r="546" spans="1:9" ht="16.5" customHeight="1">
      <c r="A546" s="107"/>
      <c r="B546" s="553"/>
      <c r="C546" s="2">
        <v>4480</v>
      </c>
      <c r="D546" s="170" t="s">
        <v>272</v>
      </c>
      <c r="E546" s="52">
        <v>9159</v>
      </c>
      <c r="F546" s="127"/>
      <c r="G546" s="52">
        <v>4447.2</v>
      </c>
      <c r="H546" s="241"/>
      <c r="I546" s="96">
        <f t="shared" si="7"/>
        <v>48.55551916148051</v>
      </c>
    </row>
    <row r="547" spans="1:9" ht="24" customHeight="1">
      <c r="A547" s="107"/>
      <c r="B547" s="553"/>
      <c r="C547" s="2">
        <v>4520</v>
      </c>
      <c r="D547" s="170" t="s">
        <v>289</v>
      </c>
      <c r="E547" s="52">
        <v>2281</v>
      </c>
      <c r="F547" s="127"/>
      <c r="G547" s="52">
        <v>1147.7</v>
      </c>
      <c r="H547" s="241"/>
      <c r="I547" s="96">
        <f t="shared" si="7"/>
        <v>50.315651030249896</v>
      </c>
    </row>
    <row r="548" spans="1:9" ht="24" customHeight="1">
      <c r="A548" s="107"/>
      <c r="B548" s="553"/>
      <c r="C548" s="2">
        <v>4700</v>
      </c>
      <c r="D548" s="170" t="s">
        <v>290</v>
      </c>
      <c r="E548" s="52">
        <v>400</v>
      </c>
      <c r="F548" s="127"/>
      <c r="G548" s="52">
        <v>180</v>
      </c>
      <c r="H548" s="241"/>
      <c r="I548" s="96">
        <f t="shared" si="7"/>
        <v>45</v>
      </c>
    </row>
    <row r="549" spans="1:22" s="53" customFormat="1" ht="20.25" customHeight="1">
      <c r="A549" s="108"/>
      <c r="B549" s="46">
        <v>85306</v>
      </c>
      <c r="C549" s="24"/>
      <c r="D549" s="175" t="s">
        <v>263</v>
      </c>
      <c r="E549" s="38">
        <f>SUM(E550:E551)</f>
        <v>91800</v>
      </c>
      <c r="F549" s="233"/>
      <c r="G549" s="38">
        <f>SUM(G550:G551)</f>
        <v>40650</v>
      </c>
      <c r="H549" s="551"/>
      <c r="I549" s="96">
        <f t="shared" si="7"/>
        <v>44.28104575163398</v>
      </c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</row>
    <row r="550" spans="1:9" ht="34.5" customHeight="1">
      <c r="A550" s="107"/>
      <c r="B550" s="553"/>
      <c r="C550" s="2">
        <v>2820</v>
      </c>
      <c r="D550" s="170" t="s">
        <v>545</v>
      </c>
      <c r="E550" s="41">
        <v>72000</v>
      </c>
      <c r="F550" s="127"/>
      <c r="G550" s="41">
        <v>30900</v>
      </c>
      <c r="H550" s="241"/>
      <c r="I550" s="96">
        <f t="shared" si="7"/>
        <v>42.916666666666664</v>
      </c>
    </row>
    <row r="551" spans="1:9" ht="47.25" customHeight="1">
      <c r="A551" s="107"/>
      <c r="B551" s="553"/>
      <c r="C551" s="2">
        <v>2830</v>
      </c>
      <c r="D551" s="170" t="s">
        <v>138</v>
      </c>
      <c r="E551" s="41">
        <v>19800</v>
      </c>
      <c r="F551" s="127"/>
      <c r="G551" s="41">
        <v>9750</v>
      </c>
      <c r="H551" s="241"/>
      <c r="I551" s="96">
        <f t="shared" si="7"/>
        <v>49.24242424242424</v>
      </c>
    </row>
    <row r="552" spans="1:22" s="53" customFormat="1" ht="20.25" customHeight="1">
      <c r="A552" s="108"/>
      <c r="B552" s="46">
        <v>85395</v>
      </c>
      <c r="C552" s="24"/>
      <c r="D552" s="175" t="s">
        <v>581</v>
      </c>
      <c r="E552" s="109">
        <f>SUM(E553:E582)</f>
        <v>2479073.0700000003</v>
      </c>
      <c r="F552" s="233"/>
      <c r="G552" s="109">
        <f>SUM(G553:G582)</f>
        <v>1160473.66</v>
      </c>
      <c r="H552" s="551"/>
      <c r="I552" s="96">
        <f t="shared" si="7"/>
        <v>46.81078884052417</v>
      </c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</row>
    <row r="553" spans="1:22" s="53" customFormat="1" ht="63" customHeight="1">
      <c r="A553" s="108"/>
      <c r="B553" s="78"/>
      <c r="C553" s="2">
        <v>2360</v>
      </c>
      <c r="D553" s="170" t="s">
        <v>102</v>
      </c>
      <c r="E553" s="541">
        <v>72500</v>
      </c>
      <c r="F553" s="127"/>
      <c r="G553" s="541">
        <v>62500</v>
      </c>
      <c r="H553" s="241"/>
      <c r="I553" s="96">
        <f t="shared" si="7"/>
        <v>86.20689655172413</v>
      </c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</row>
    <row r="554" spans="1:9" ht="35.25" customHeight="1">
      <c r="A554" s="107"/>
      <c r="B554" s="553"/>
      <c r="C554" s="2">
        <v>2827</v>
      </c>
      <c r="D554" s="170" t="s">
        <v>545</v>
      </c>
      <c r="E554" s="64">
        <v>56400.27</v>
      </c>
      <c r="F554" s="127"/>
      <c r="G554" s="64">
        <v>41310</v>
      </c>
      <c r="H554" s="241"/>
      <c r="I554" s="96">
        <f t="shared" si="7"/>
        <v>73.24433021331281</v>
      </c>
    </row>
    <row r="555" spans="1:9" ht="36" customHeight="1">
      <c r="A555" s="107"/>
      <c r="B555" s="553"/>
      <c r="C555" s="2">
        <v>2829</v>
      </c>
      <c r="D555" s="170" t="s">
        <v>545</v>
      </c>
      <c r="E555" s="64">
        <v>9953</v>
      </c>
      <c r="F555" s="127"/>
      <c r="G555" s="64">
        <v>7290</v>
      </c>
      <c r="H555" s="241"/>
      <c r="I555" s="96">
        <f t="shared" si="7"/>
        <v>73.24424796543755</v>
      </c>
    </row>
    <row r="556" spans="1:9" ht="16.5" customHeight="1">
      <c r="A556" s="107"/>
      <c r="B556" s="553"/>
      <c r="C556" s="2">
        <v>3110</v>
      </c>
      <c r="D556" s="170" t="s">
        <v>547</v>
      </c>
      <c r="E556" s="64">
        <v>22576.87</v>
      </c>
      <c r="F556" s="127"/>
      <c r="G556" s="64">
        <v>0</v>
      </c>
      <c r="H556" s="241"/>
      <c r="I556" s="96"/>
    </row>
    <row r="557" spans="1:9" ht="16.5" customHeight="1">
      <c r="A557" s="107"/>
      <c r="B557" s="553"/>
      <c r="C557" s="2">
        <v>3117</v>
      </c>
      <c r="D557" s="170" t="s">
        <v>547</v>
      </c>
      <c r="E557" s="52">
        <v>535540.8</v>
      </c>
      <c r="F557" s="127"/>
      <c r="G557" s="52">
        <v>389429.34</v>
      </c>
      <c r="H557" s="241"/>
      <c r="I557" s="96">
        <f t="shared" si="7"/>
        <v>72.71702548153193</v>
      </c>
    </row>
    <row r="558" spans="1:9" ht="16.5" customHeight="1">
      <c r="A558" s="107"/>
      <c r="B558" s="553"/>
      <c r="C558" s="2">
        <v>3119</v>
      </c>
      <c r="D558" s="170" t="s">
        <v>547</v>
      </c>
      <c r="E558" s="52">
        <v>94507.2</v>
      </c>
      <c r="F558" s="127"/>
      <c r="G558" s="52">
        <v>68722.82</v>
      </c>
      <c r="H558" s="241"/>
      <c r="I558" s="96">
        <f t="shared" si="7"/>
        <v>72.71702050214165</v>
      </c>
    </row>
    <row r="559" spans="1:9" ht="16.5" customHeight="1">
      <c r="A559" s="107"/>
      <c r="B559" s="553"/>
      <c r="C559" s="2">
        <v>4017</v>
      </c>
      <c r="D559" s="170" t="s">
        <v>378</v>
      </c>
      <c r="E559" s="52">
        <v>98254.53</v>
      </c>
      <c r="F559" s="127"/>
      <c r="G559" s="52">
        <v>78195.53</v>
      </c>
      <c r="H559" s="241"/>
      <c r="I559" s="96">
        <f t="shared" si="7"/>
        <v>79.58465630032528</v>
      </c>
    </row>
    <row r="560" spans="1:9" ht="16.5" customHeight="1">
      <c r="A560" s="107"/>
      <c r="B560" s="553"/>
      <c r="C560" s="2">
        <v>4019</v>
      </c>
      <c r="D560" s="170" t="s">
        <v>378</v>
      </c>
      <c r="E560" s="52">
        <v>12002.56</v>
      </c>
      <c r="F560" s="127"/>
      <c r="G560" s="52">
        <v>8629.33</v>
      </c>
      <c r="H560" s="241"/>
      <c r="I560" s="96">
        <f t="shared" si="7"/>
        <v>71.8957455742775</v>
      </c>
    </row>
    <row r="561" spans="1:9" ht="16.5" customHeight="1">
      <c r="A561" s="107"/>
      <c r="B561" s="553"/>
      <c r="C561" s="2">
        <v>4047</v>
      </c>
      <c r="D561" s="170" t="s">
        <v>379</v>
      </c>
      <c r="E561" s="52">
        <v>5660</v>
      </c>
      <c r="F561" s="127"/>
      <c r="G561" s="52">
        <v>5525.64</v>
      </c>
      <c r="H561" s="241"/>
      <c r="I561" s="96">
        <f t="shared" si="7"/>
        <v>97.626148409894</v>
      </c>
    </row>
    <row r="562" spans="1:9" ht="16.5" customHeight="1">
      <c r="A562" s="107"/>
      <c r="B562" s="553"/>
      <c r="C562" s="2">
        <v>4110</v>
      </c>
      <c r="D562" s="170" t="s">
        <v>565</v>
      </c>
      <c r="E562" s="52">
        <v>6423.13</v>
      </c>
      <c r="F562" s="127"/>
      <c r="G562" s="52">
        <v>0</v>
      </c>
      <c r="H562" s="241"/>
      <c r="I562" s="96"/>
    </row>
    <row r="563" spans="1:9" ht="16.5" customHeight="1">
      <c r="A563" s="107"/>
      <c r="B563" s="553"/>
      <c r="C563" s="2">
        <v>4117</v>
      </c>
      <c r="D563" s="170" t="s">
        <v>565</v>
      </c>
      <c r="E563" s="52">
        <v>170457.04</v>
      </c>
      <c r="F563" s="127"/>
      <c r="G563" s="52">
        <v>127051.76</v>
      </c>
      <c r="H563" s="241"/>
      <c r="I563" s="96">
        <f t="shared" si="7"/>
        <v>74.53594172467149</v>
      </c>
    </row>
    <row r="564" spans="1:9" ht="16.5" customHeight="1">
      <c r="A564" s="107"/>
      <c r="B564" s="553"/>
      <c r="C564" s="2">
        <v>4119</v>
      </c>
      <c r="D564" s="170" t="s">
        <v>565</v>
      </c>
      <c r="E564" s="52">
        <v>28008.34</v>
      </c>
      <c r="F564" s="127"/>
      <c r="G564" s="52">
        <v>20697.1</v>
      </c>
      <c r="H564" s="241"/>
      <c r="I564" s="96">
        <f t="shared" si="7"/>
        <v>73.89620377359029</v>
      </c>
    </row>
    <row r="565" spans="1:9" ht="16.5" customHeight="1">
      <c r="A565" s="107"/>
      <c r="B565" s="553"/>
      <c r="C565" s="2">
        <v>4127</v>
      </c>
      <c r="D565" s="170" t="s">
        <v>566</v>
      </c>
      <c r="E565" s="52">
        <v>3680.93</v>
      </c>
      <c r="F565" s="88"/>
      <c r="G565" s="52">
        <v>2481.23</v>
      </c>
      <c r="H565" s="128"/>
      <c r="I565" s="96">
        <f t="shared" si="7"/>
        <v>67.4076931644992</v>
      </c>
    </row>
    <row r="566" spans="1:9" ht="16.5" customHeight="1">
      <c r="A566" s="107"/>
      <c r="B566" s="553"/>
      <c r="C566" s="1">
        <v>4129</v>
      </c>
      <c r="D566" s="205" t="s">
        <v>566</v>
      </c>
      <c r="E566" s="88">
        <v>306.06</v>
      </c>
      <c r="F566" s="127"/>
      <c r="G566" s="88">
        <v>211.55</v>
      </c>
      <c r="H566" s="241"/>
      <c r="I566" s="250">
        <f t="shared" si="7"/>
        <v>69.12043390184931</v>
      </c>
    </row>
    <row r="567" spans="1:9" ht="16.5" customHeight="1">
      <c r="A567" s="107"/>
      <c r="B567" s="553"/>
      <c r="C567" s="2">
        <v>4170</v>
      </c>
      <c r="D567" s="170" t="s">
        <v>572</v>
      </c>
      <c r="E567" s="52">
        <v>101268</v>
      </c>
      <c r="F567" s="127"/>
      <c r="G567" s="52">
        <v>29847</v>
      </c>
      <c r="H567" s="241"/>
      <c r="I567" s="96">
        <f t="shared" si="7"/>
        <v>29.47327882450527</v>
      </c>
    </row>
    <row r="568" spans="1:9" ht="16.5" customHeight="1">
      <c r="A568" s="107"/>
      <c r="B568" s="553"/>
      <c r="C568" s="2">
        <v>4177</v>
      </c>
      <c r="D568" s="170" t="s">
        <v>572</v>
      </c>
      <c r="E568" s="52">
        <v>87927.34</v>
      </c>
      <c r="F568" s="127"/>
      <c r="G568" s="52">
        <v>68451.5</v>
      </c>
      <c r="H568" s="241"/>
      <c r="I568" s="96">
        <f t="shared" si="7"/>
        <v>77.85007484588981</v>
      </c>
    </row>
    <row r="569" spans="1:9" ht="16.5" customHeight="1">
      <c r="A569" s="107"/>
      <c r="B569" s="553"/>
      <c r="C569" s="2">
        <v>4179</v>
      </c>
      <c r="D569" s="170" t="s">
        <v>572</v>
      </c>
      <c r="E569" s="52">
        <v>1839</v>
      </c>
      <c r="F569" s="127"/>
      <c r="G569" s="52">
        <v>487.5</v>
      </c>
      <c r="H569" s="241"/>
      <c r="I569" s="96">
        <f t="shared" si="7"/>
        <v>26.508972267536706</v>
      </c>
    </row>
    <row r="570" spans="1:9" ht="16.5" customHeight="1">
      <c r="A570" s="107"/>
      <c r="B570" s="553"/>
      <c r="C570" s="2">
        <v>4210</v>
      </c>
      <c r="D570" s="170" t="s">
        <v>573</v>
      </c>
      <c r="E570" s="52">
        <v>35158.93</v>
      </c>
      <c r="F570" s="127"/>
      <c r="G570" s="52">
        <v>7101.73</v>
      </c>
      <c r="H570" s="241"/>
      <c r="I570" s="96">
        <f aca="true" t="shared" si="8" ref="I570:I633">G570/E570*100</f>
        <v>20.198936657059814</v>
      </c>
    </row>
    <row r="571" spans="1:9" ht="16.5" customHeight="1">
      <c r="A571" s="107"/>
      <c r="B571" s="553"/>
      <c r="C571" s="2">
        <v>4217</v>
      </c>
      <c r="D571" s="170" t="s">
        <v>573</v>
      </c>
      <c r="E571" s="52">
        <v>5744.17</v>
      </c>
      <c r="F571" s="127"/>
      <c r="G571" s="52">
        <v>3744.28</v>
      </c>
      <c r="H571" s="241"/>
      <c r="I571" s="96">
        <f t="shared" si="8"/>
        <v>65.1840039553147</v>
      </c>
    </row>
    <row r="572" spans="1:9" ht="16.5" customHeight="1">
      <c r="A572" s="107"/>
      <c r="B572" s="553"/>
      <c r="C572" s="2">
        <v>4219</v>
      </c>
      <c r="D572" s="170" t="s">
        <v>573</v>
      </c>
      <c r="E572" s="52">
        <v>88.5</v>
      </c>
      <c r="F572" s="127"/>
      <c r="G572" s="52">
        <v>56.71</v>
      </c>
      <c r="H572" s="241"/>
      <c r="I572" s="96">
        <f t="shared" si="8"/>
        <v>64.07909604519773</v>
      </c>
    </row>
    <row r="573" spans="1:9" ht="24" customHeight="1">
      <c r="A573" s="107"/>
      <c r="B573" s="553"/>
      <c r="C573" s="2">
        <v>4247</v>
      </c>
      <c r="D573" s="170" t="s">
        <v>221</v>
      </c>
      <c r="E573" s="52">
        <v>5429.92</v>
      </c>
      <c r="F573" s="127"/>
      <c r="G573" s="52">
        <v>3937.71</v>
      </c>
      <c r="H573" s="241"/>
      <c r="I573" s="96">
        <f t="shared" si="8"/>
        <v>72.51874797418748</v>
      </c>
    </row>
    <row r="574" spans="1:9" ht="16.5" customHeight="1">
      <c r="A574" s="107"/>
      <c r="B574" s="553"/>
      <c r="C574" s="2">
        <v>4287</v>
      </c>
      <c r="D574" s="170" t="s">
        <v>179</v>
      </c>
      <c r="E574" s="52">
        <v>161.5</v>
      </c>
      <c r="F574" s="127"/>
      <c r="G574" s="52">
        <v>0</v>
      </c>
      <c r="H574" s="241"/>
      <c r="I574" s="96"/>
    </row>
    <row r="575" spans="1:9" ht="16.5" customHeight="1">
      <c r="A575" s="107"/>
      <c r="B575" s="553"/>
      <c r="C575" s="2">
        <v>4289</v>
      </c>
      <c r="D575" s="170" t="s">
        <v>179</v>
      </c>
      <c r="E575" s="52">
        <v>28.5</v>
      </c>
      <c r="F575" s="127"/>
      <c r="G575" s="52">
        <v>0</v>
      </c>
      <c r="H575" s="241"/>
      <c r="I575" s="96"/>
    </row>
    <row r="576" spans="1:9" ht="16.5" customHeight="1">
      <c r="A576" s="107"/>
      <c r="B576" s="553"/>
      <c r="C576" s="2">
        <v>4300</v>
      </c>
      <c r="D576" s="170" t="s">
        <v>313</v>
      </c>
      <c r="E576" s="52">
        <v>588091.07</v>
      </c>
      <c r="F576" s="127"/>
      <c r="G576" s="52">
        <v>90876.93</v>
      </c>
      <c r="H576" s="241"/>
      <c r="I576" s="96">
        <f t="shared" si="8"/>
        <v>15.452866849346991</v>
      </c>
    </row>
    <row r="577" spans="1:9" ht="16.5" customHeight="1">
      <c r="A577" s="107"/>
      <c r="B577" s="553"/>
      <c r="C577" s="2">
        <v>4307</v>
      </c>
      <c r="D577" s="170" t="s">
        <v>185</v>
      </c>
      <c r="E577" s="52">
        <v>242348.62</v>
      </c>
      <c r="F577" s="127"/>
      <c r="G577" s="52">
        <v>126554.09</v>
      </c>
      <c r="H577" s="241"/>
      <c r="I577" s="96">
        <f t="shared" si="8"/>
        <v>52.21985171609395</v>
      </c>
    </row>
    <row r="578" spans="1:9" ht="16.5" customHeight="1">
      <c r="A578" s="107"/>
      <c r="B578" s="553"/>
      <c r="C578" s="2">
        <v>4309</v>
      </c>
      <c r="D578" s="170" t="s">
        <v>185</v>
      </c>
      <c r="E578" s="52">
        <v>31186.79</v>
      </c>
      <c r="F578" s="127"/>
      <c r="G578" s="52">
        <v>11408.49</v>
      </c>
      <c r="H578" s="241"/>
      <c r="I578" s="96">
        <f t="shared" si="8"/>
        <v>36.58116144688183</v>
      </c>
    </row>
    <row r="579" spans="1:9" ht="24" customHeight="1">
      <c r="A579" s="107"/>
      <c r="B579" s="553"/>
      <c r="C579" s="2">
        <v>4367</v>
      </c>
      <c r="D579" s="170" t="s">
        <v>90</v>
      </c>
      <c r="E579" s="52">
        <v>1500</v>
      </c>
      <c r="F579" s="127"/>
      <c r="G579" s="52">
        <v>1500</v>
      </c>
      <c r="H579" s="241"/>
      <c r="I579" s="96">
        <f t="shared" si="8"/>
        <v>100</v>
      </c>
    </row>
    <row r="580" spans="1:9" ht="15.75" customHeight="1">
      <c r="A580" s="107"/>
      <c r="B580" s="553"/>
      <c r="C580" s="2">
        <v>4417</v>
      </c>
      <c r="D580" s="170" t="s">
        <v>569</v>
      </c>
      <c r="E580" s="52">
        <v>1428</v>
      </c>
      <c r="F580" s="127"/>
      <c r="G580" s="52">
        <v>0</v>
      </c>
      <c r="H580" s="241"/>
      <c r="I580" s="96"/>
    </row>
    <row r="581" spans="1:9" ht="15.75" customHeight="1">
      <c r="A581" s="107"/>
      <c r="B581" s="553"/>
      <c r="C581" s="2">
        <v>4430</v>
      </c>
      <c r="D581" s="170" t="s">
        <v>314</v>
      </c>
      <c r="E581" s="52">
        <v>9600</v>
      </c>
      <c r="F581" s="127"/>
      <c r="G581" s="52">
        <v>4463.42</v>
      </c>
      <c r="H581" s="241"/>
      <c r="I581" s="96">
        <f t="shared" si="8"/>
        <v>46.49395833333333</v>
      </c>
    </row>
    <row r="582" spans="1:9" ht="46.5" customHeight="1">
      <c r="A582" s="107"/>
      <c r="B582" s="553"/>
      <c r="C582" s="2">
        <v>6010</v>
      </c>
      <c r="D582" s="172" t="s">
        <v>365</v>
      </c>
      <c r="E582" s="52">
        <v>251002</v>
      </c>
      <c r="F582" s="127"/>
      <c r="G582" s="52">
        <v>0</v>
      </c>
      <c r="H582" s="241"/>
      <c r="I582" s="96"/>
    </row>
    <row r="583" spans="1:9" ht="24" customHeight="1">
      <c r="A583" s="42">
        <v>854</v>
      </c>
      <c r="B583" s="11"/>
      <c r="C583" s="10"/>
      <c r="D583" s="174" t="s">
        <v>275</v>
      </c>
      <c r="E583" s="33">
        <f>E584+E602+E607+E610</f>
        <v>2826514</v>
      </c>
      <c r="F583" s="52"/>
      <c r="G583" s="33">
        <f>G584+G602+G607+G610</f>
        <v>1454633.3399999996</v>
      </c>
      <c r="H583" s="26"/>
      <c r="I583" s="132">
        <f t="shared" si="8"/>
        <v>51.46386467571007</v>
      </c>
    </row>
    <row r="584" spans="1:9" ht="20.25" customHeight="1">
      <c r="A584" s="43"/>
      <c r="B584" s="23">
        <v>85401</v>
      </c>
      <c r="C584" s="24"/>
      <c r="D584" s="175" t="s">
        <v>230</v>
      </c>
      <c r="E584" s="91">
        <f>SUM(E585:E601)</f>
        <v>2012961</v>
      </c>
      <c r="F584" s="73"/>
      <c r="G584" s="91">
        <f>SUM(G585:G601)</f>
        <v>1047988.9699999999</v>
      </c>
      <c r="H584" s="129"/>
      <c r="I584" s="96">
        <f t="shared" si="8"/>
        <v>52.06206031810849</v>
      </c>
    </row>
    <row r="585" spans="1:9" ht="16.5" customHeight="1">
      <c r="A585" s="44"/>
      <c r="B585" s="9"/>
      <c r="C585" s="2">
        <v>3020</v>
      </c>
      <c r="D585" s="170" t="s">
        <v>177</v>
      </c>
      <c r="E585" s="88">
        <v>3719</v>
      </c>
      <c r="F585" s="127"/>
      <c r="G585" s="88">
        <v>300</v>
      </c>
      <c r="H585" s="241"/>
      <c r="I585" s="96">
        <f t="shared" si="8"/>
        <v>8.066684592632429</v>
      </c>
    </row>
    <row r="586" spans="1:9" ht="16.5" customHeight="1">
      <c r="A586" s="44"/>
      <c r="B586" s="9"/>
      <c r="C586" s="2">
        <v>4010</v>
      </c>
      <c r="D586" s="170" t="s">
        <v>378</v>
      </c>
      <c r="E586" s="52">
        <v>1432377</v>
      </c>
      <c r="F586" s="127"/>
      <c r="G586" s="52">
        <v>693653.94</v>
      </c>
      <c r="H586" s="241"/>
      <c r="I586" s="96">
        <f t="shared" si="8"/>
        <v>48.42677172280761</v>
      </c>
    </row>
    <row r="587" spans="1:9" ht="16.5" customHeight="1">
      <c r="A587" s="44"/>
      <c r="B587" s="9"/>
      <c r="C587" s="2">
        <v>4040</v>
      </c>
      <c r="D587" s="170" t="s">
        <v>379</v>
      </c>
      <c r="E587" s="52">
        <v>92625</v>
      </c>
      <c r="F587" s="127"/>
      <c r="G587" s="52">
        <v>91699.27</v>
      </c>
      <c r="H587" s="241"/>
      <c r="I587" s="96">
        <f t="shared" si="8"/>
        <v>99.00056140350878</v>
      </c>
    </row>
    <row r="588" spans="1:9" ht="16.5" customHeight="1">
      <c r="A588" s="44"/>
      <c r="B588" s="9"/>
      <c r="C588" s="2">
        <v>4110</v>
      </c>
      <c r="D588" s="170" t="s">
        <v>565</v>
      </c>
      <c r="E588" s="52">
        <v>254037</v>
      </c>
      <c r="F588" s="127"/>
      <c r="G588" s="52">
        <v>125379.84</v>
      </c>
      <c r="H588" s="241"/>
      <c r="I588" s="96">
        <f t="shared" si="8"/>
        <v>49.35495223136787</v>
      </c>
    </row>
    <row r="589" spans="1:9" ht="16.5" customHeight="1">
      <c r="A589" s="44"/>
      <c r="B589" s="9"/>
      <c r="C589" s="2">
        <v>4120</v>
      </c>
      <c r="D589" s="170" t="s">
        <v>566</v>
      </c>
      <c r="E589" s="52">
        <v>35354</v>
      </c>
      <c r="F589" s="127"/>
      <c r="G589" s="52">
        <v>15982.59</v>
      </c>
      <c r="H589" s="241"/>
      <c r="I589" s="96">
        <f t="shared" si="8"/>
        <v>45.20730327544267</v>
      </c>
    </row>
    <row r="590" spans="1:9" ht="16.5" customHeight="1">
      <c r="A590" s="44"/>
      <c r="B590" s="9"/>
      <c r="C590" s="13">
        <v>4170</v>
      </c>
      <c r="D590" s="170" t="s">
        <v>572</v>
      </c>
      <c r="E590" s="52">
        <v>100</v>
      </c>
      <c r="F590" s="127"/>
      <c r="G590" s="52">
        <v>0</v>
      </c>
      <c r="H590" s="241"/>
      <c r="I590" s="96"/>
    </row>
    <row r="591" spans="1:9" ht="16.5" customHeight="1">
      <c r="A591" s="44"/>
      <c r="B591" s="9"/>
      <c r="C591" s="13">
        <v>4210</v>
      </c>
      <c r="D591" s="170" t="s">
        <v>573</v>
      </c>
      <c r="E591" s="52">
        <v>17320</v>
      </c>
      <c r="F591" s="127"/>
      <c r="G591" s="52">
        <v>3403.08</v>
      </c>
      <c r="H591" s="241"/>
      <c r="I591" s="96">
        <f t="shared" si="8"/>
        <v>19.64826789838337</v>
      </c>
    </row>
    <row r="592" spans="1:9" ht="24" customHeight="1">
      <c r="A592" s="44"/>
      <c r="B592" s="9"/>
      <c r="C592" s="2">
        <v>4240</v>
      </c>
      <c r="D592" s="170" t="s">
        <v>221</v>
      </c>
      <c r="E592" s="52">
        <v>7200</v>
      </c>
      <c r="F592" s="127"/>
      <c r="G592" s="52">
        <v>1611.45</v>
      </c>
      <c r="H592" s="241"/>
      <c r="I592" s="96">
        <f t="shared" si="8"/>
        <v>22.38125</v>
      </c>
    </row>
    <row r="593" spans="1:9" ht="16.5" customHeight="1">
      <c r="A593" s="44"/>
      <c r="B593" s="9"/>
      <c r="C593" s="2">
        <v>4260</v>
      </c>
      <c r="D593" s="170" t="s">
        <v>579</v>
      </c>
      <c r="E593" s="52">
        <v>41300</v>
      </c>
      <c r="F593" s="127"/>
      <c r="G593" s="52">
        <v>19498.26</v>
      </c>
      <c r="H593" s="241"/>
      <c r="I593" s="96">
        <f t="shared" si="8"/>
        <v>47.21128329297821</v>
      </c>
    </row>
    <row r="594" spans="1:9" ht="16.5" customHeight="1">
      <c r="A594" s="44"/>
      <c r="B594" s="9"/>
      <c r="C594" s="2">
        <v>4270</v>
      </c>
      <c r="D594" s="170" t="s">
        <v>335</v>
      </c>
      <c r="E594" s="52">
        <v>20000</v>
      </c>
      <c r="F594" s="127"/>
      <c r="G594" s="52">
        <v>15999.6</v>
      </c>
      <c r="H594" s="241"/>
      <c r="I594" s="96">
        <f t="shared" si="8"/>
        <v>79.998</v>
      </c>
    </row>
    <row r="595" spans="1:9" ht="16.5" customHeight="1">
      <c r="A595" s="44"/>
      <c r="B595" s="9"/>
      <c r="C595" s="2">
        <v>4280</v>
      </c>
      <c r="D595" s="170" t="s">
        <v>179</v>
      </c>
      <c r="E595" s="52">
        <v>2020</v>
      </c>
      <c r="F595" s="127"/>
      <c r="G595" s="52">
        <v>79</v>
      </c>
      <c r="H595" s="241"/>
      <c r="I595" s="96">
        <f t="shared" si="8"/>
        <v>3.910891089108911</v>
      </c>
    </row>
    <row r="596" spans="1:9" ht="16.5" customHeight="1">
      <c r="A596" s="44"/>
      <c r="B596" s="9"/>
      <c r="C596" s="2">
        <v>4300</v>
      </c>
      <c r="D596" s="170" t="s">
        <v>185</v>
      </c>
      <c r="E596" s="52">
        <v>2230</v>
      </c>
      <c r="F596" s="127"/>
      <c r="G596" s="52">
        <v>503.66</v>
      </c>
      <c r="H596" s="241"/>
      <c r="I596" s="96">
        <f t="shared" si="8"/>
        <v>22.585650224215247</v>
      </c>
    </row>
    <row r="597" spans="1:9" ht="16.5" customHeight="1">
      <c r="A597" s="44"/>
      <c r="B597" s="9"/>
      <c r="C597" s="2">
        <v>4410</v>
      </c>
      <c r="D597" s="170" t="s">
        <v>569</v>
      </c>
      <c r="E597" s="52">
        <v>400</v>
      </c>
      <c r="F597" s="127"/>
      <c r="G597" s="52">
        <v>0</v>
      </c>
      <c r="H597" s="241"/>
      <c r="I597" s="96"/>
    </row>
    <row r="598" spans="1:9" ht="16.5" customHeight="1">
      <c r="A598" s="44"/>
      <c r="B598" s="9"/>
      <c r="C598" s="2">
        <v>4430</v>
      </c>
      <c r="D598" s="170" t="s">
        <v>314</v>
      </c>
      <c r="E598" s="52">
        <v>160</v>
      </c>
      <c r="F598" s="127"/>
      <c r="G598" s="52">
        <v>0</v>
      </c>
      <c r="H598" s="241"/>
      <c r="I598" s="96"/>
    </row>
    <row r="599" spans="1:9" ht="24" customHeight="1">
      <c r="A599" s="44"/>
      <c r="B599" s="9"/>
      <c r="C599" s="2">
        <v>4440</v>
      </c>
      <c r="D599" s="170" t="s">
        <v>567</v>
      </c>
      <c r="E599" s="52">
        <v>103619</v>
      </c>
      <c r="F599" s="127"/>
      <c r="G599" s="52">
        <v>79867</v>
      </c>
      <c r="H599" s="241"/>
      <c r="I599" s="96">
        <f t="shared" si="8"/>
        <v>77.07756299520358</v>
      </c>
    </row>
    <row r="600" spans="1:9" ht="24" customHeight="1">
      <c r="A600" s="44"/>
      <c r="B600" s="9"/>
      <c r="C600" s="13">
        <v>4520</v>
      </c>
      <c r="D600" s="170" t="s">
        <v>289</v>
      </c>
      <c r="E600" s="73">
        <v>100</v>
      </c>
      <c r="F600" s="127"/>
      <c r="G600" s="73">
        <v>11.28</v>
      </c>
      <c r="H600" s="241"/>
      <c r="I600" s="96">
        <f t="shared" si="8"/>
        <v>11.28</v>
      </c>
    </row>
    <row r="601" spans="1:9" ht="24" customHeight="1">
      <c r="A601" s="44"/>
      <c r="B601" s="9"/>
      <c r="C601" s="2">
        <v>4700</v>
      </c>
      <c r="D601" s="170" t="s">
        <v>290</v>
      </c>
      <c r="E601" s="52">
        <v>400</v>
      </c>
      <c r="F601" s="88"/>
      <c r="G601" s="52">
        <v>0</v>
      </c>
      <c r="H601" s="128"/>
      <c r="I601" s="96"/>
    </row>
    <row r="602" spans="1:9" ht="33.75" customHeight="1">
      <c r="A602" s="44"/>
      <c r="B602" s="24">
        <v>85412</v>
      </c>
      <c r="C602" s="35"/>
      <c r="D602" s="204" t="s">
        <v>245</v>
      </c>
      <c r="E602" s="155">
        <f>SUM(E603:E606)</f>
        <v>7146</v>
      </c>
      <c r="F602" s="233"/>
      <c r="G602" s="155">
        <f>SUM(G603:G606)</f>
        <v>7137.040000000001</v>
      </c>
      <c r="H602" s="241"/>
      <c r="I602" s="250">
        <f t="shared" si="8"/>
        <v>99.87461516932551</v>
      </c>
    </row>
    <row r="603" spans="1:9" ht="16.5" customHeight="1">
      <c r="A603" s="44"/>
      <c r="B603" s="9"/>
      <c r="C603" s="2">
        <v>4010</v>
      </c>
      <c r="D603" s="170" t="s">
        <v>378</v>
      </c>
      <c r="E603" s="87">
        <v>3462</v>
      </c>
      <c r="F603" s="127"/>
      <c r="G603" s="87">
        <v>3459.05</v>
      </c>
      <c r="H603" s="241"/>
      <c r="I603" s="96">
        <f t="shared" si="8"/>
        <v>99.91478913922589</v>
      </c>
    </row>
    <row r="604" spans="1:9" ht="16.5" customHeight="1">
      <c r="A604" s="44"/>
      <c r="B604" s="9"/>
      <c r="C604" s="2">
        <v>4110</v>
      </c>
      <c r="D604" s="170" t="s">
        <v>565</v>
      </c>
      <c r="E604" s="87">
        <v>597</v>
      </c>
      <c r="F604" s="127"/>
      <c r="G604" s="87">
        <v>594.65</v>
      </c>
      <c r="H604" s="241"/>
      <c r="I604" s="96">
        <f t="shared" si="8"/>
        <v>99.60636515912897</v>
      </c>
    </row>
    <row r="605" spans="1:9" ht="16.5" customHeight="1">
      <c r="A605" s="44"/>
      <c r="B605" s="9"/>
      <c r="C605" s="2">
        <v>4120</v>
      </c>
      <c r="D605" s="170" t="s">
        <v>566</v>
      </c>
      <c r="E605" s="87">
        <v>87</v>
      </c>
      <c r="F605" s="127"/>
      <c r="G605" s="87">
        <v>84.75</v>
      </c>
      <c r="H605" s="241"/>
      <c r="I605" s="96">
        <f t="shared" si="8"/>
        <v>97.41379310344827</v>
      </c>
    </row>
    <row r="606" spans="1:9" ht="16.5" customHeight="1">
      <c r="A606" s="44"/>
      <c r="B606" s="9"/>
      <c r="C606" s="2">
        <v>4300</v>
      </c>
      <c r="D606" s="170" t="s">
        <v>185</v>
      </c>
      <c r="E606" s="87">
        <v>3000</v>
      </c>
      <c r="F606" s="127"/>
      <c r="G606" s="87">
        <v>2998.59</v>
      </c>
      <c r="H606" s="241"/>
      <c r="I606" s="96">
        <f t="shared" si="8"/>
        <v>99.953</v>
      </c>
    </row>
    <row r="607" spans="1:9" ht="20.25" customHeight="1">
      <c r="A607" s="44"/>
      <c r="B607" s="24">
        <v>85415</v>
      </c>
      <c r="C607" s="8"/>
      <c r="D607" s="175" t="s">
        <v>103</v>
      </c>
      <c r="E607" s="38">
        <f>SUM(E608:E609)</f>
        <v>794941</v>
      </c>
      <c r="F607" s="127"/>
      <c r="G607" s="38">
        <f>SUM(G608:G609)</f>
        <v>398740.43</v>
      </c>
      <c r="H607" s="241"/>
      <c r="I607" s="96">
        <f t="shared" si="8"/>
        <v>50.15975147841161</v>
      </c>
    </row>
    <row r="608" spans="1:9" ht="15.75" customHeight="1">
      <c r="A608" s="45"/>
      <c r="B608" s="32"/>
      <c r="C608" s="8">
        <v>3240</v>
      </c>
      <c r="D608" s="170" t="s">
        <v>231</v>
      </c>
      <c r="E608" s="88">
        <v>775000</v>
      </c>
      <c r="F608" s="127"/>
      <c r="G608" s="88">
        <f>40287+354213.43</f>
        <v>394500.43</v>
      </c>
      <c r="H608" s="241"/>
      <c r="I608" s="96">
        <f t="shared" si="8"/>
        <v>50.903281290322575</v>
      </c>
    </row>
    <row r="609" spans="1:9" ht="15.75" customHeight="1">
      <c r="A609" s="45"/>
      <c r="B609" s="32"/>
      <c r="C609" s="8">
        <v>3260</v>
      </c>
      <c r="D609" s="170" t="s">
        <v>689</v>
      </c>
      <c r="E609" s="89">
        <v>19941</v>
      </c>
      <c r="F609" s="127"/>
      <c r="G609" s="89">
        <v>4240</v>
      </c>
      <c r="H609" s="241"/>
      <c r="I609" s="96">
        <f t="shared" si="8"/>
        <v>21.262725038864648</v>
      </c>
    </row>
    <row r="610" spans="1:22" s="53" customFormat="1" ht="20.25" customHeight="1">
      <c r="A610" s="47"/>
      <c r="B610" s="24">
        <v>85446</v>
      </c>
      <c r="C610" s="23"/>
      <c r="D610" s="175" t="s">
        <v>137</v>
      </c>
      <c r="E610" s="38">
        <f>SUM(E611:E612)</f>
        <v>11466</v>
      </c>
      <c r="F610" s="233"/>
      <c r="G610" s="38">
        <f>SUM(G611:G612)</f>
        <v>766.9</v>
      </c>
      <c r="H610" s="551"/>
      <c r="I610" s="96">
        <f t="shared" si="8"/>
        <v>6.688470259898831</v>
      </c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</row>
    <row r="611" spans="1:9" ht="15.75" customHeight="1">
      <c r="A611" s="45"/>
      <c r="B611" s="7"/>
      <c r="C611" s="8">
        <v>4410</v>
      </c>
      <c r="D611" s="170" t="s">
        <v>569</v>
      </c>
      <c r="E611" s="52">
        <v>664</v>
      </c>
      <c r="F611" s="127"/>
      <c r="G611" s="52">
        <v>93.9</v>
      </c>
      <c r="H611" s="241"/>
      <c r="I611" s="96">
        <f t="shared" si="8"/>
        <v>14.141566265060243</v>
      </c>
    </row>
    <row r="612" spans="1:9" ht="23.25" customHeight="1">
      <c r="A612" s="45"/>
      <c r="B612" s="32"/>
      <c r="C612" s="8">
        <v>4700</v>
      </c>
      <c r="D612" s="170" t="s">
        <v>290</v>
      </c>
      <c r="E612" s="73">
        <v>10802</v>
      </c>
      <c r="F612" s="88"/>
      <c r="G612" s="73">
        <v>673</v>
      </c>
      <c r="H612" s="128"/>
      <c r="I612" s="96">
        <f t="shared" si="8"/>
        <v>6.230327717089428</v>
      </c>
    </row>
    <row r="613" spans="1:9" ht="23.25" customHeight="1">
      <c r="A613" s="61">
        <v>900</v>
      </c>
      <c r="B613" s="58"/>
      <c r="C613" s="10"/>
      <c r="D613" s="174" t="s">
        <v>258</v>
      </c>
      <c r="E613" s="33">
        <f>E614+E623+E626+E632+E638+E645</f>
        <v>51291362.75</v>
      </c>
      <c r="F613" s="52"/>
      <c r="G613" s="33">
        <f>G614+G623+G626+G632+G638+G645</f>
        <v>22610365.770000003</v>
      </c>
      <c r="H613" s="26"/>
      <c r="I613" s="132">
        <f t="shared" si="8"/>
        <v>44.08220908499844</v>
      </c>
    </row>
    <row r="614" spans="1:22" s="115" customFormat="1" ht="20.25" customHeight="1">
      <c r="A614" s="47"/>
      <c r="B614" s="32">
        <v>90002</v>
      </c>
      <c r="C614" s="24"/>
      <c r="D614" s="175" t="s">
        <v>625</v>
      </c>
      <c r="E614" s="119">
        <f>SUM(E615:E622)</f>
        <v>14042000</v>
      </c>
      <c r="F614" s="233"/>
      <c r="G614" s="119">
        <f>SUM(G615:G622)</f>
        <v>5328437.66</v>
      </c>
      <c r="H614" s="551"/>
      <c r="I614" s="96">
        <f t="shared" si="8"/>
        <v>37.9464297108674</v>
      </c>
      <c r="J614" s="558"/>
      <c r="K614" s="558"/>
      <c r="L614" s="558"/>
      <c r="M614" s="558"/>
      <c r="N614" s="558"/>
      <c r="O614" s="558"/>
      <c r="P614" s="558"/>
      <c r="Q614" s="558"/>
      <c r="R614" s="558"/>
      <c r="S614" s="558"/>
      <c r="T614" s="558"/>
      <c r="U614" s="558"/>
      <c r="V614" s="558"/>
    </row>
    <row r="615" spans="1:22" s="115" customFormat="1" ht="16.5" customHeight="1">
      <c r="A615" s="559"/>
      <c r="B615" s="32"/>
      <c r="C615" s="8">
        <v>4010</v>
      </c>
      <c r="D615" s="170" t="s">
        <v>378</v>
      </c>
      <c r="E615" s="118">
        <v>219600</v>
      </c>
      <c r="F615" s="127"/>
      <c r="G615" s="118">
        <v>114321.45</v>
      </c>
      <c r="H615" s="241"/>
      <c r="I615" s="96">
        <f t="shared" si="8"/>
        <v>52.05894808743169</v>
      </c>
      <c r="J615" s="558"/>
      <c r="K615" s="558"/>
      <c r="L615" s="558"/>
      <c r="M615" s="558"/>
      <c r="N615" s="558"/>
      <c r="O615" s="558"/>
      <c r="P615" s="558"/>
      <c r="Q615" s="558"/>
      <c r="R615" s="558"/>
      <c r="S615" s="558"/>
      <c r="T615" s="558"/>
      <c r="U615" s="558"/>
      <c r="V615" s="558"/>
    </row>
    <row r="616" spans="1:22" s="115" customFormat="1" ht="16.5" customHeight="1">
      <c r="A616" s="559"/>
      <c r="B616" s="32"/>
      <c r="C616" s="8">
        <v>4110</v>
      </c>
      <c r="D616" s="170" t="s">
        <v>565</v>
      </c>
      <c r="E616" s="118">
        <v>37600</v>
      </c>
      <c r="F616" s="127"/>
      <c r="G616" s="118">
        <v>17259.67</v>
      </c>
      <c r="H616" s="241"/>
      <c r="I616" s="96">
        <f t="shared" si="8"/>
        <v>45.90337765957446</v>
      </c>
      <c r="J616" s="558"/>
      <c r="K616" s="558"/>
      <c r="L616" s="558"/>
      <c r="M616" s="558"/>
      <c r="N616" s="558"/>
      <c r="O616" s="558"/>
      <c r="P616" s="558"/>
      <c r="Q616" s="558"/>
      <c r="R616" s="558"/>
      <c r="S616" s="558"/>
      <c r="T616" s="558"/>
      <c r="U616" s="558"/>
      <c r="V616" s="558"/>
    </row>
    <row r="617" spans="1:22" s="115" customFormat="1" ht="16.5" customHeight="1">
      <c r="A617" s="559"/>
      <c r="B617" s="32"/>
      <c r="C617" s="8">
        <v>4120</v>
      </c>
      <c r="D617" s="170" t="s">
        <v>566</v>
      </c>
      <c r="E617" s="118">
        <v>4000</v>
      </c>
      <c r="F617" s="127"/>
      <c r="G617" s="118">
        <v>1856.95</v>
      </c>
      <c r="H617" s="241"/>
      <c r="I617" s="96">
        <f t="shared" si="8"/>
        <v>46.423750000000005</v>
      </c>
      <c r="J617" s="558"/>
      <c r="K617" s="558"/>
      <c r="L617" s="558"/>
      <c r="M617" s="558"/>
      <c r="N617" s="558"/>
      <c r="O617" s="558"/>
      <c r="P617" s="558"/>
      <c r="Q617" s="558"/>
      <c r="R617" s="558"/>
      <c r="S617" s="558"/>
      <c r="T617" s="558"/>
      <c r="U617" s="558"/>
      <c r="V617" s="558"/>
    </row>
    <row r="618" spans="1:22" s="115" customFormat="1" ht="16.5" customHeight="1">
      <c r="A618" s="559"/>
      <c r="B618" s="32"/>
      <c r="C618" s="8">
        <v>4210</v>
      </c>
      <c r="D618" s="170" t="s">
        <v>573</v>
      </c>
      <c r="E618" s="118">
        <v>185000</v>
      </c>
      <c r="F618" s="127"/>
      <c r="G618" s="118">
        <f>8253.62+2239.62</f>
        <v>10493.240000000002</v>
      </c>
      <c r="H618" s="241"/>
      <c r="I618" s="96">
        <f t="shared" si="8"/>
        <v>5.672021621621623</v>
      </c>
      <c r="J618" s="558"/>
      <c r="K618" s="558"/>
      <c r="L618" s="558"/>
      <c r="M618" s="558"/>
      <c r="N618" s="558"/>
      <c r="O618" s="558"/>
      <c r="P618" s="558"/>
      <c r="Q618" s="558"/>
      <c r="R618" s="558"/>
      <c r="S618" s="558"/>
      <c r="T618" s="558"/>
      <c r="U618" s="558"/>
      <c r="V618" s="558"/>
    </row>
    <row r="619" spans="1:9" ht="16.5" customHeight="1">
      <c r="A619" s="156"/>
      <c r="B619" s="63"/>
      <c r="C619" s="8">
        <v>4300</v>
      </c>
      <c r="D619" s="170" t="s">
        <v>331</v>
      </c>
      <c r="E619" s="52">
        <v>13550000</v>
      </c>
      <c r="F619" s="127"/>
      <c r="G619" s="52">
        <f>5174539.41+7396.7</f>
        <v>5181936.11</v>
      </c>
      <c r="H619" s="241"/>
      <c r="I619" s="96">
        <f t="shared" si="8"/>
        <v>38.243070922509226</v>
      </c>
    </row>
    <row r="620" spans="1:9" ht="23.25" customHeight="1">
      <c r="A620" s="156"/>
      <c r="B620" s="62"/>
      <c r="C620" s="8">
        <v>4700</v>
      </c>
      <c r="D620" s="170" t="s">
        <v>290</v>
      </c>
      <c r="E620" s="52">
        <v>3800</v>
      </c>
      <c r="F620" s="127"/>
      <c r="G620" s="52">
        <v>0</v>
      </c>
      <c r="H620" s="241"/>
      <c r="I620" s="96"/>
    </row>
    <row r="621" spans="1:9" ht="50.25" customHeight="1">
      <c r="A621" s="156"/>
      <c r="B621" s="62"/>
      <c r="C621" s="2">
        <v>6220</v>
      </c>
      <c r="D621" s="172" t="s">
        <v>315</v>
      </c>
      <c r="E621" s="52">
        <v>12000</v>
      </c>
      <c r="F621" s="127"/>
      <c r="G621" s="52">
        <v>300</v>
      </c>
      <c r="H621" s="241"/>
      <c r="I621" s="96">
        <f t="shared" si="8"/>
        <v>2.5</v>
      </c>
    </row>
    <row r="622" spans="1:9" ht="48" customHeight="1">
      <c r="A622" s="156"/>
      <c r="B622" s="69"/>
      <c r="C622" s="15">
        <v>6230</v>
      </c>
      <c r="D622" s="172" t="s">
        <v>127</v>
      </c>
      <c r="E622" s="52">
        <v>30000</v>
      </c>
      <c r="F622" s="127"/>
      <c r="G622" s="52">
        <v>2270.24</v>
      </c>
      <c r="H622" s="241"/>
      <c r="I622" s="96">
        <f t="shared" si="8"/>
        <v>7.5674666666666655</v>
      </c>
    </row>
    <row r="623" spans="1:9" ht="20.25" customHeight="1">
      <c r="A623" s="108"/>
      <c r="B623" s="77">
        <v>90003</v>
      </c>
      <c r="C623" s="24"/>
      <c r="D623" s="175" t="s">
        <v>339</v>
      </c>
      <c r="E623" s="91">
        <f>SUM(E624:E625)</f>
        <v>1222697</v>
      </c>
      <c r="F623" s="127"/>
      <c r="G623" s="91">
        <f>SUM(G624:G625)</f>
        <v>474419.41</v>
      </c>
      <c r="H623" s="241"/>
      <c r="I623" s="96">
        <f t="shared" si="8"/>
        <v>38.80106109690299</v>
      </c>
    </row>
    <row r="624" spans="1:9" ht="15.75" customHeight="1">
      <c r="A624" s="108"/>
      <c r="B624" s="78"/>
      <c r="C624" s="13">
        <v>4210</v>
      </c>
      <c r="D624" s="172" t="s">
        <v>334</v>
      </c>
      <c r="E624" s="88">
        <v>26720</v>
      </c>
      <c r="F624" s="127"/>
      <c r="G624" s="88">
        <v>5194.06</v>
      </c>
      <c r="H624" s="241"/>
      <c r="I624" s="96">
        <f t="shared" si="8"/>
        <v>19.438847305389224</v>
      </c>
    </row>
    <row r="625" spans="1:9" ht="15.75" customHeight="1">
      <c r="A625" s="107"/>
      <c r="B625" s="553"/>
      <c r="C625" s="2">
        <v>4300</v>
      </c>
      <c r="D625" s="170" t="s">
        <v>331</v>
      </c>
      <c r="E625" s="88">
        <v>1195977</v>
      </c>
      <c r="F625" s="127"/>
      <c r="G625" s="88">
        <v>469225.35</v>
      </c>
      <c r="H625" s="241"/>
      <c r="I625" s="96">
        <f t="shared" si="8"/>
        <v>39.233643289126796</v>
      </c>
    </row>
    <row r="626" spans="1:22" s="115" customFormat="1" ht="20.25" customHeight="1">
      <c r="A626" s="47"/>
      <c r="B626" s="24">
        <v>90004</v>
      </c>
      <c r="C626" s="24"/>
      <c r="D626" s="175" t="s">
        <v>626</v>
      </c>
      <c r="E626" s="150">
        <f>SUM(E627:E631)</f>
        <v>2310876</v>
      </c>
      <c r="F626" s="233"/>
      <c r="G626" s="150">
        <f>SUM(G627:G631)</f>
        <v>867984.69</v>
      </c>
      <c r="H626" s="551"/>
      <c r="I626" s="96">
        <f t="shared" si="8"/>
        <v>37.56085095002934</v>
      </c>
      <c r="J626" s="558"/>
      <c r="K626" s="558"/>
      <c r="L626" s="558"/>
      <c r="M626" s="558"/>
      <c r="N626" s="558"/>
      <c r="O626" s="558"/>
      <c r="P626" s="558"/>
      <c r="Q626" s="558"/>
      <c r="R626" s="558"/>
      <c r="S626" s="558"/>
      <c r="T626" s="558"/>
      <c r="U626" s="558"/>
      <c r="V626" s="558"/>
    </row>
    <row r="627" spans="1:9" ht="16.5" customHeight="1">
      <c r="A627" s="107"/>
      <c r="B627" s="553"/>
      <c r="C627" s="2">
        <v>3050</v>
      </c>
      <c r="D627" s="170" t="s">
        <v>178</v>
      </c>
      <c r="E627" s="88">
        <v>6000</v>
      </c>
      <c r="F627" s="127"/>
      <c r="G627" s="88">
        <v>3000</v>
      </c>
      <c r="H627" s="241"/>
      <c r="I627" s="96">
        <f t="shared" si="8"/>
        <v>50</v>
      </c>
    </row>
    <row r="628" spans="1:9" ht="16.5" customHeight="1">
      <c r="A628" s="107"/>
      <c r="B628" s="553"/>
      <c r="C628" s="13">
        <v>4170</v>
      </c>
      <c r="D628" s="170" t="s">
        <v>572</v>
      </c>
      <c r="E628" s="88">
        <v>1260</v>
      </c>
      <c r="F628" s="127"/>
      <c r="G628" s="88">
        <v>1260</v>
      </c>
      <c r="H628" s="241"/>
      <c r="I628" s="96">
        <f t="shared" si="8"/>
        <v>100</v>
      </c>
    </row>
    <row r="629" spans="1:9" ht="16.5" customHeight="1">
      <c r="A629" s="107"/>
      <c r="B629" s="553"/>
      <c r="C629" s="13">
        <v>4210</v>
      </c>
      <c r="D629" s="170" t="s">
        <v>573</v>
      </c>
      <c r="E629" s="88">
        <v>17400</v>
      </c>
      <c r="F629" s="127"/>
      <c r="G629" s="88">
        <v>17220</v>
      </c>
      <c r="H629" s="241"/>
      <c r="I629" s="96">
        <f t="shared" si="8"/>
        <v>98.9655172413793</v>
      </c>
    </row>
    <row r="630" spans="1:9" ht="16.5" customHeight="1">
      <c r="A630" s="107"/>
      <c r="B630" s="553"/>
      <c r="C630" s="13">
        <v>4270</v>
      </c>
      <c r="D630" s="170" t="s">
        <v>335</v>
      </c>
      <c r="E630" s="88">
        <v>120000</v>
      </c>
      <c r="F630" s="127"/>
      <c r="G630" s="88">
        <v>118901.96</v>
      </c>
      <c r="H630" s="241"/>
      <c r="I630" s="96">
        <f t="shared" si="8"/>
        <v>99.08496666666667</v>
      </c>
    </row>
    <row r="631" spans="1:9" ht="16.5" customHeight="1">
      <c r="A631" s="107"/>
      <c r="B631" s="553"/>
      <c r="C631" s="2">
        <v>4300</v>
      </c>
      <c r="D631" s="170" t="s">
        <v>331</v>
      </c>
      <c r="E631" s="88">
        <v>2166216</v>
      </c>
      <c r="F631" s="127"/>
      <c r="G631" s="88">
        <v>727602.73</v>
      </c>
      <c r="H631" s="241"/>
      <c r="I631" s="96">
        <f t="shared" si="8"/>
        <v>33.588650900925856</v>
      </c>
    </row>
    <row r="632" spans="1:9" ht="20.25" customHeight="1">
      <c r="A632" s="108"/>
      <c r="B632" s="46">
        <v>90013</v>
      </c>
      <c r="C632" s="24"/>
      <c r="D632" s="175" t="s">
        <v>340</v>
      </c>
      <c r="E632" s="38">
        <f>SUM(E633:E637)</f>
        <v>476000</v>
      </c>
      <c r="F632" s="88"/>
      <c r="G632" s="38">
        <f>SUM(G633:G637)</f>
        <v>187572.5</v>
      </c>
      <c r="H632" s="128"/>
      <c r="I632" s="96">
        <f t="shared" si="8"/>
        <v>39.40598739495798</v>
      </c>
    </row>
    <row r="633" spans="1:9" ht="60.75" customHeight="1">
      <c r="A633" s="107"/>
      <c r="B633" s="553"/>
      <c r="C633" s="1">
        <v>2360</v>
      </c>
      <c r="D633" s="205" t="s">
        <v>102</v>
      </c>
      <c r="E633" s="88">
        <v>282000</v>
      </c>
      <c r="F633" s="127"/>
      <c r="G633" s="88">
        <v>137000</v>
      </c>
      <c r="H633" s="241"/>
      <c r="I633" s="250">
        <f t="shared" si="8"/>
        <v>48.58156028368794</v>
      </c>
    </row>
    <row r="634" spans="1:9" ht="17.25" customHeight="1">
      <c r="A634" s="107"/>
      <c r="B634" s="553"/>
      <c r="C634" s="13">
        <v>4210</v>
      </c>
      <c r="D634" s="170" t="s">
        <v>573</v>
      </c>
      <c r="E634" s="52">
        <v>29000</v>
      </c>
      <c r="F634" s="127"/>
      <c r="G634" s="52">
        <v>28965</v>
      </c>
      <c r="H634" s="241"/>
      <c r="I634" s="96">
        <f aca="true" t="shared" si="9" ref="I634:I708">G634/E634*100</f>
        <v>99.87931034482759</v>
      </c>
    </row>
    <row r="635" spans="1:9" ht="17.25" customHeight="1">
      <c r="A635" s="107"/>
      <c r="B635" s="553"/>
      <c r="C635" s="13">
        <v>4270</v>
      </c>
      <c r="D635" s="170" t="s">
        <v>335</v>
      </c>
      <c r="E635" s="127">
        <v>62000</v>
      </c>
      <c r="F635" s="127"/>
      <c r="G635" s="127">
        <v>0</v>
      </c>
      <c r="H635" s="241"/>
      <c r="I635" s="96"/>
    </row>
    <row r="636" spans="1:9" ht="17.25" customHeight="1">
      <c r="A636" s="107"/>
      <c r="B636" s="553"/>
      <c r="C636" s="2">
        <v>4300</v>
      </c>
      <c r="D636" s="170" t="s">
        <v>331</v>
      </c>
      <c r="E636" s="52">
        <v>45000</v>
      </c>
      <c r="F636" s="127"/>
      <c r="G636" s="52">
        <v>21607.5</v>
      </c>
      <c r="H636" s="241"/>
      <c r="I636" s="96">
        <f t="shared" si="9"/>
        <v>48.016666666666666</v>
      </c>
    </row>
    <row r="637" spans="1:9" ht="17.25" customHeight="1">
      <c r="A637" s="107"/>
      <c r="B637" s="553"/>
      <c r="C637" s="2">
        <v>6050</v>
      </c>
      <c r="D637" s="170" t="s">
        <v>553</v>
      </c>
      <c r="E637" s="52">
        <v>58000</v>
      </c>
      <c r="F637" s="127"/>
      <c r="G637" s="52">
        <v>0</v>
      </c>
      <c r="H637" s="241"/>
      <c r="I637" s="96">
        <f t="shared" si="9"/>
        <v>0</v>
      </c>
    </row>
    <row r="638" spans="1:9" ht="20.25" customHeight="1">
      <c r="A638" s="108"/>
      <c r="B638" s="75">
        <v>90015</v>
      </c>
      <c r="C638" s="24"/>
      <c r="D638" s="175" t="s">
        <v>122</v>
      </c>
      <c r="E638" s="91">
        <f>SUM(E639:E644)</f>
        <v>5154666</v>
      </c>
      <c r="F638" s="127"/>
      <c r="G638" s="91">
        <f>SUM(G639:G644)</f>
        <v>1827314.66</v>
      </c>
      <c r="H638" s="241"/>
      <c r="I638" s="96">
        <f t="shared" si="9"/>
        <v>35.44971992365751</v>
      </c>
    </row>
    <row r="639" spans="1:9" ht="15.75" customHeight="1">
      <c r="A639" s="108"/>
      <c r="B639" s="78"/>
      <c r="C639" s="2">
        <v>4210</v>
      </c>
      <c r="D639" s="170" t="s">
        <v>334</v>
      </c>
      <c r="E639" s="88">
        <v>1000</v>
      </c>
      <c r="F639" s="127"/>
      <c r="G639" s="88">
        <v>0</v>
      </c>
      <c r="H639" s="241"/>
      <c r="I639" s="96"/>
    </row>
    <row r="640" spans="1:9" ht="15.75" customHeight="1">
      <c r="A640" s="107"/>
      <c r="B640" s="553"/>
      <c r="C640" s="2">
        <v>4260</v>
      </c>
      <c r="D640" s="170" t="s">
        <v>579</v>
      </c>
      <c r="E640" s="88">
        <v>3733666</v>
      </c>
      <c r="F640" s="127"/>
      <c r="G640" s="88">
        <v>1327044.68</v>
      </c>
      <c r="H640" s="241"/>
      <c r="I640" s="96">
        <f t="shared" si="9"/>
        <v>35.54267253685787</v>
      </c>
    </row>
    <row r="641" spans="1:9" ht="15.75" customHeight="1">
      <c r="A641" s="107"/>
      <c r="B641" s="553"/>
      <c r="C641" s="2">
        <v>4300</v>
      </c>
      <c r="D641" s="170" t="s">
        <v>331</v>
      </c>
      <c r="E641" s="52">
        <v>1392500</v>
      </c>
      <c r="F641" s="127"/>
      <c r="G641" s="52">
        <v>492969.98</v>
      </c>
      <c r="H641" s="241"/>
      <c r="I641" s="96">
        <f t="shared" si="9"/>
        <v>35.40179389587074</v>
      </c>
    </row>
    <row r="642" spans="1:9" ht="23.25" customHeight="1">
      <c r="A642" s="107"/>
      <c r="B642" s="553"/>
      <c r="C642" s="2">
        <v>4390</v>
      </c>
      <c r="D642" s="170" t="s">
        <v>261</v>
      </c>
      <c r="E642" s="73">
        <v>1000</v>
      </c>
      <c r="F642" s="127"/>
      <c r="G642" s="73">
        <v>800</v>
      </c>
      <c r="H642" s="241"/>
      <c r="I642" s="96">
        <f t="shared" si="9"/>
        <v>80</v>
      </c>
    </row>
    <row r="643" spans="1:9" ht="16.5" customHeight="1">
      <c r="A643" s="107"/>
      <c r="B643" s="553"/>
      <c r="C643" s="2">
        <v>4430</v>
      </c>
      <c r="D643" s="170" t="s">
        <v>314</v>
      </c>
      <c r="E643" s="73">
        <v>6500</v>
      </c>
      <c r="F643" s="127"/>
      <c r="G643" s="73">
        <v>6500</v>
      </c>
      <c r="H643" s="241"/>
      <c r="I643" s="96">
        <f t="shared" si="9"/>
        <v>100</v>
      </c>
    </row>
    <row r="644" spans="1:9" ht="16.5" customHeight="1">
      <c r="A644" s="107"/>
      <c r="B644" s="553"/>
      <c r="C644" s="2">
        <v>6050</v>
      </c>
      <c r="D644" s="170" t="s">
        <v>553</v>
      </c>
      <c r="E644" s="73">
        <v>20000</v>
      </c>
      <c r="F644" s="127"/>
      <c r="G644" s="73">
        <v>0</v>
      </c>
      <c r="H644" s="241"/>
      <c r="I644" s="96"/>
    </row>
    <row r="645" spans="1:9" ht="20.25" customHeight="1">
      <c r="A645" s="108"/>
      <c r="B645" s="46">
        <v>90095</v>
      </c>
      <c r="C645" s="24"/>
      <c r="D645" s="175" t="s">
        <v>123</v>
      </c>
      <c r="E645" s="91">
        <f>SUM(E646:E661)</f>
        <v>28085123.75</v>
      </c>
      <c r="F645" s="127"/>
      <c r="G645" s="91">
        <f>SUM(G646:G661)</f>
        <v>13924636.850000001</v>
      </c>
      <c r="H645" s="241"/>
      <c r="I645" s="96">
        <f t="shared" si="9"/>
        <v>49.58011570093225</v>
      </c>
    </row>
    <row r="646" spans="1:9" ht="15.75" customHeight="1">
      <c r="A646" s="110"/>
      <c r="B646" s="81"/>
      <c r="C646" s="2">
        <v>4170</v>
      </c>
      <c r="D646" s="170" t="s">
        <v>572</v>
      </c>
      <c r="E646" s="88">
        <v>4000</v>
      </c>
      <c r="F646" s="127"/>
      <c r="G646" s="88">
        <v>462</v>
      </c>
      <c r="H646" s="241"/>
      <c r="I646" s="96">
        <f t="shared" si="9"/>
        <v>11.55</v>
      </c>
    </row>
    <row r="647" spans="1:9" ht="15.75" customHeight="1">
      <c r="A647" s="110"/>
      <c r="B647" s="81"/>
      <c r="C647" s="8">
        <v>4210</v>
      </c>
      <c r="D647" s="170" t="s">
        <v>334</v>
      </c>
      <c r="E647" s="52">
        <v>76500</v>
      </c>
      <c r="F647" s="127"/>
      <c r="G647" s="52">
        <f>31241.67+12468.11</f>
        <v>43709.78</v>
      </c>
      <c r="H647" s="241"/>
      <c r="I647" s="96">
        <f t="shared" si="9"/>
        <v>57.136967320261434</v>
      </c>
    </row>
    <row r="648" spans="1:9" ht="23.25" customHeight="1">
      <c r="A648" s="110"/>
      <c r="B648" s="81"/>
      <c r="C648" s="8">
        <v>4240</v>
      </c>
      <c r="D648" s="170" t="s">
        <v>221</v>
      </c>
      <c r="E648" s="52">
        <v>33000</v>
      </c>
      <c r="F648" s="127"/>
      <c r="G648" s="52">
        <v>29992.89</v>
      </c>
      <c r="H648" s="241"/>
      <c r="I648" s="96">
        <f t="shared" si="9"/>
        <v>90.88754545454545</v>
      </c>
    </row>
    <row r="649" spans="1:9" ht="16.5" customHeight="1">
      <c r="A649" s="110"/>
      <c r="B649" s="81"/>
      <c r="C649" s="8">
        <v>4260</v>
      </c>
      <c r="D649" s="170" t="s">
        <v>579</v>
      </c>
      <c r="E649" s="52">
        <v>233540</v>
      </c>
      <c r="F649" s="127"/>
      <c r="G649" s="52">
        <f>89043.32</f>
        <v>89043.32</v>
      </c>
      <c r="H649" s="241"/>
      <c r="I649" s="96">
        <f t="shared" si="9"/>
        <v>38.12765265050955</v>
      </c>
    </row>
    <row r="650" spans="1:9" ht="16.5" customHeight="1">
      <c r="A650" s="110"/>
      <c r="B650" s="81"/>
      <c r="C650" s="8">
        <v>4270</v>
      </c>
      <c r="D650" s="170" t="s">
        <v>335</v>
      </c>
      <c r="E650" s="52">
        <v>198084.39</v>
      </c>
      <c r="F650" s="127"/>
      <c r="G650" s="52">
        <v>37488.03</v>
      </c>
      <c r="H650" s="241"/>
      <c r="I650" s="96">
        <f t="shared" si="9"/>
        <v>18.925282300134803</v>
      </c>
    </row>
    <row r="651" spans="1:9" ht="16.5" customHeight="1">
      <c r="A651" s="110"/>
      <c r="B651" s="81"/>
      <c r="C651" s="8">
        <v>4300</v>
      </c>
      <c r="D651" s="170" t="s">
        <v>313</v>
      </c>
      <c r="E651" s="52">
        <v>803276.56</v>
      </c>
      <c r="F651" s="127"/>
      <c r="G651" s="52">
        <f>257136.61+24574</f>
        <v>281710.61</v>
      </c>
      <c r="H651" s="241"/>
      <c r="I651" s="96">
        <f t="shared" si="9"/>
        <v>35.07018927578317</v>
      </c>
    </row>
    <row r="652" spans="1:9" ht="16.5" customHeight="1">
      <c r="A652" s="110"/>
      <c r="B652" s="81"/>
      <c r="C652" s="8">
        <v>4307</v>
      </c>
      <c r="D652" s="170" t="s">
        <v>313</v>
      </c>
      <c r="E652" s="52">
        <v>135915</v>
      </c>
      <c r="F652" s="127"/>
      <c r="G652" s="52">
        <v>1997.5</v>
      </c>
      <c r="H652" s="241"/>
      <c r="I652" s="96">
        <f t="shared" si="9"/>
        <v>1.4696685428392746</v>
      </c>
    </row>
    <row r="653" spans="1:9" ht="16.5" customHeight="1">
      <c r="A653" s="110"/>
      <c r="B653" s="81"/>
      <c r="C653" s="8">
        <v>4309</v>
      </c>
      <c r="D653" s="170" t="s">
        <v>313</v>
      </c>
      <c r="E653" s="52">
        <v>23985</v>
      </c>
      <c r="F653" s="127"/>
      <c r="G653" s="52">
        <v>352.5</v>
      </c>
      <c r="H653" s="241"/>
      <c r="I653" s="96">
        <f t="shared" si="9"/>
        <v>1.4696685428392746</v>
      </c>
    </row>
    <row r="654" spans="1:9" ht="24" customHeight="1">
      <c r="A654" s="110"/>
      <c r="B654" s="81"/>
      <c r="C654" s="8">
        <v>4390</v>
      </c>
      <c r="D654" s="170" t="s">
        <v>261</v>
      </c>
      <c r="E654" s="52">
        <v>14649.5</v>
      </c>
      <c r="F654" s="127"/>
      <c r="G654" s="52">
        <v>0</v>
      </c>
      <c r="H654" s="241"/>
      <c r="I654" s="96"/>
    </row>
    <row r="655" spans="1:9" ht="16.5" customHeight="1">
      <c r="A655" s="110"/>
      <c r="B655" s="81"/>
      <c r="C655" s="8">
        <v>4430</v>
      </c>
      <c r="D655" s="170" t="s">
        <v>314</v>
      </c>
      <c r="E655" s="52">
        <v>136000</v>
      </c>
      <c r="F655" s="127"/>
      <c r="G655" s="52">
        <v>66465</v>
      </c>
      <c r="H655" s="241"/>
      <c r="I655" s="96">
        <f t="shared" si="9"/>
        <v>48.87132352941176</v>
      </c>
    </row>
    <row r="656" spans="1:9" ht="23.25" customHeight="1">
      <c r="A656" s="110"/>
      <c r="B656" s="81"/>
      <c r="C656" s="15">
        <v>4610</v>
      </c>
      <c r="D656" s="172" t="s">
        <v>554</v>
      </c>
      <c r="E656" s="73">
        <v>15000</v>
      </c>
      <c r="F656" s="127"/>
      <c r="G656" s="73">
        <v>15000</v>
      </c>
      <c r="H656" s="241"/>
      <c r="I656" s="96">
        <f t="shared" si="9"/>
        <v>100</v>
      </c>
    </row>
    <row r="657" spans="1:9" ht="48.75" customHeight="1">
      <c r="A657" s="110"/>
      <c r="B657" s="81"/>
      <c r="C657" s="15">
        <v>6010</v>
      </c>
      <c r="D657" s="172" t="s">
        <v>365</v>
      </c>
      <c r="E657" s="73">
        <v>4350880</v>
      </c>
      <c r="F657" s="127"/>
      <c r="G657" s="73">
        <v>3820000</v>
      </c>
      <c r="H657" s="241"/>
      <c r="I657" s="96">
        <f t="shared" si="9"/>
        <v>87.79833045269004</v>
      </c>
    </row>
    <row r="658" spans="1:9" ht="16.5" customHeight="1">
      <c r="A658" s="110"/>
      <c r="B658" s="81"/>
      <c r="C658" s="15">
        <v>6050</v>
      </c>
      <c r="D658" s="172" t="s">
        <v>553</v>
      </c>
      <c r="E658" s="73">
        <v>3596038.5</v>
      </c>
      <c r="F658" s="127"/>
      <c r="G658" s="73">
        <f>584419.74+5350.5</f>
        <v>589770.24</v>
      </c>
      <c r="H658" s="241"/>
      <c r="I658" s="96">
        <f t="shared" si="9"/>
        <v>16.400554109751607</v>
      </c>
    </row>
    <row r="659" spans="2:22" s="161" customFormat="1" ht="16.5" customHeight="1">
      <c r="B659" s="560"/>
      <c r="C659" s="2">
        <v>6057</v>
      </c>
      <c r="D659" s="172" t="s">
        <v>553</v>
      </c>
      <c r="E659" s="52">
        <v>12377540.54</v>
      </c>
      <c r="F659" s="561"/>
      <c r="G659" s="52">
        <v>7601503.23</v>
      </c>
      <c r="H659" s="562"/>
      <c r="I659" s="96">
        <f t="shared" si="9"/>
        <v>61.41368073434725</v>
      </c>
      <c r="J659" s="543"/>
      <c r="K659" s="543"/>
      <c r="L659" s="543"/>
      <c r="M659" s="543"/>
      <c r="N659" s="543"/>
      <c r="O659" s="543"/>
      <c r="P659" s="543"/>
      <c r="Q659" s="543"/>
      <c r="R659" s="543"/>
      <c r="S659" s="543"/>
      <c r="T659" s="543"/>
      <c r="U659" s="543"/>
      <c r="V659" s="543"/>
    </row>
    <row r="660" spans="1:9" ht="16.5" customHeight="1">
      <c r="A660" s="110"/>
      <c r="B660" s="81"/>
      <c r="C660" s="15">
        <v>6059</v>
      </c>
      <c r="D660" s="172" t="s">
        <v>553</v>
      </c>
      <c r="E660" s="73">
        <v>5586714.26</v>
      </c>
      <c r="F660" s="127"/>
      <c r="G660" s="73">
        <v>1341441.75</v>
      </c>
      <c r="H660" s="241"/>
      <c r="I660" s="96">
        <f t="shared" si="9"/>
        <v>24.011282617486152</v>
      </c>
    </row>
    <row r="661" spans="1:9" ht="48" customHeight="1">
      <c r="A661" s="110"/>
      <c r="B661" s="86"/>
      <c r="C661" s="15">
        <v>6230</v>
      </c>
      <c r="D661" s="172" t="s">
        <v>127</v>
      </c>
      <c r="E661" s="73">
        <v>500000</v>
      </c>
      <c r="F661" s="127"/>
      <c r="G661" s="73">
        <v>5700</v>
      </c>
      <c r="H661" s="241"/>
      <c r="I661" s="96">
        <f t="shared" si="9"/>
        <v>1.1400000000000001</v>
      </c>
    </row>
    <row r="662" spans="1:9" ht="23.25" customHeight="1">
      <c r="A662" s="61">
        <v>921</v>
      </c>
      <c r="B662" s="58"/>
      <c r="C662" s="10"/>
      <c r="D662" s="174" t="s">
        <v>125</v>
      </c>
      <c r="E662" s="33">
        <f>E663+E666+E668</f>
        <v>6582500</v>
      </c>
      <c r="F662" s="73"/>
      <c r="G662" s="33">
        <f>G663+G666+G668</f>
        <v>3612186.4499999997</v>
      </c>
      <c r="H662" s="129"/>
      <c r="I662" s="132">
        <f t="shared" si="9"/>
        <v>54.87560121534371</v>
      </c>
    </row>
    <row r="663" spans="1:9" ht="20.25" customHeight="1">
      <c r="A663" s="111"/>
      <c r="B663" s="75">
        <v>92109</v>
      </c>
      <c r="C663" s="24"/>
      <c r="D663" s="175" t="s">
        <v>316</v>
      </c>
      <c r="E663" s="91">
        <f>SUM(E664:E665)</f>
        <v>5654000</v>
      </c>
      <c r="F663" s="73"/>
      <c r="G663" s="91">
        <f>SUM(G664:G665)</f>
        <v>3086297.82</v>
      </c>
      <c r="H663" s="129"/>
      <c r="I663" s="96">
        <f t="shared" si="9"/>
        <v>54.58609515387336</v>
      </c>
    </row>
    <row r="664" spans="1:9" ht="23.25" customHeight="1">
      <c r="A664" s="107"/>
      <c r="B664" s="553"/>
      <c r="C664" s="2">
        <v>2480</v>
      </c>
      <c r="D664" s="170" t="s">
        <v>128</v>
      </c>
      <c r="E664" s="52">
        <v>4800000</v>
      </c>
      <c r="F664" s="88"/>
      <c r="G664" s="52">
        <v>2845000</v>
      </c>
      <c r="H664" s="128"/>
      <c r="I664" s="96">
        <f t="shared" si="9"/>
        <v>59.27083333333333</v>
      </c>
    </row>
    <row r="665" spans="1:9" ht="16.5" customHeight="1">
      <c r="A665" s="107"/>
      <c r="B665" s="553"/>
      <c r="C665" s="1">
        <v>6050</v>
      </c>
      <c r="D665" s="872" t="s">
        <v>553</v>
      </c>
      <c r="E665" s="88">
        <v>854000</v>
      </c>
      <c r="F665" s="127"/>
      <c r="G665" s="88">
        <v>241297.82</v>
      </c>
      <c r="H665" s="241"/>
      <c r="I665" s="250">
        <f t="shared" si="9"/>
        <v>28.25501405152225</v>
      </c>
    </row>
    <row r="666" spans="1:9" ht="20.25" customHeight="1">
      <c r="A666" s="107"/>
      <c r="B666" s="46">
        <v>92120</v>
      </c>
      <c r="C666" s="24"/>
      <c r="D666" s="175" t="s">
        <v>129</v>
      </c>
      <c r="E666" s="91">
        <f>SUM(E667:E667)</f>
        <v>60000</v>
      </c>
      <c r="F666" s="127"/>
      <c r="G666" s="91">
        <f>SUM(G667:G667)</f>
        <v>50000</v>
      </c>
      <c r="H666" s="241"/>
      <c r="I666" s="96">
        <f t="shared" si="9"/>
        <v>83.33333333333334</v>
      </c>
    </row>
    <row r="667" spans="1:9" ht="58.5" customHeight="1">
      <c r="A667" s="110"/>
      <c r="B667" s="76"/>
      <c r="C667" s="2">
        <v>2720</v>
      </c>
      <c r="D667" s="170" t="s">
        <v>247</v>
      </c>
      <c r="E667" s="52">
        <v>60000</v>
      </c>
      <c r="F667" s="127"/>
      <c r="G667" s="52">
        <v>50000</v>
      </c>
      <c r="H667" s="241"/>
      <c r="I667" s="96">
        <f t="shared" si="9"/>
        <v>83.33333333333334</v>
      </c>
    </row>
    <row r="668" spans="1:9" ht="20.25" customHeight="1">
      <c r="A668" s="108"/>
      <c r="B668" s="46">
        <v>92195</v>
      </c>
      <c r="C668" s="24"/>
      <c r="D668" s="175" t="s">
        <v>250</v>
      </c>
      <c r="E668" s="28">
        <f>SUM(E669:E675)</f>
        <v>868500</v>
      </c>
      <c r="F668" s="127"/>
      <c r="G668" s="28">
        <f>SUM(G669:G675)</f>
        <v>475888.63</v>
      </c>
      <c r="H668" s="241"/>
      <c r="I668" s="96">
        <f t="shared" si="9"/>
        <v>54.79431548647092</v>
      </c>
    </row>
    <row r="669" spans="1:9" ht="60.75" customHeight="1">
      <c r="A669" s="112"/>
      <c r="B669" s="98"/>
      <c r="C669" s="2">
        <v>2360</v>
      </c>
      <c r="D669" s="170" t="s">
        <v>102</v>
      </c>
      <c r="E669" s="52">
        <v>95000</v>
      </c>
      <c r="F669" s="127"/>
      <c r="G669" s="52">
        <v>43000</v>
      </c>
      <c r="H669" s="241"/>
      <c r="I669" s="96">
        <f t="shared" si="9"/>
        <v>45.26315789473684</v>
      </c>
    </row>
    <row r="670" spans="1:9" ht="23.25" customHeight="1">
      <c r="A670" s="110"/>
      <c r="B670" s="81"/>
      <c r="C670" s="8">
        <v>3040</v>
      </c>
      <c r="D670" s="170" t="s">
        <v>611</v>
      </c>
      <c r="E670" s="52">
        <v>25000</v>
      </c>
      <c r="F670" s="127"/>
      <c r="G670" s="52">
        <v>0</v>
      </c>
      <c r="H670" s="241"/>
      <c r="I670" s="96"/>
    </row>
    <row r="671" spans="1:9" ht="15.75" customHeight="1">
      <c r="A671" s="110"/>
      <c r="B671" s="81"/>
      <c r="C671" s="8">
        <v>4170</v>
      </c>
      <c r="D671" s="170" t="s">
        <v>572</v>
      </c>
      <c r="E671" s="52">
        <v>2000</v>
      </c>
      <c r="F671" s="127"/>
      <c r="G671" s="52">
        <v>0</v>
      </c>
      <c r="H671" s="241"/>
      <c r="I671" s="96"/>
    </row>
    <row r="672" spans="1:9" ht="15.75" customHeight="1">
      <c r="A672" s="110"/>
      <c r="B672" s="81"/>
      <c r="C672" s="8">
        <v>4210</v>
      </c>
      <c r="D672" s="170" t="s">
        <v>334</v>
      </c>
      <c r="E672" s="52">
        <v>5000</v>
      </c>
      <c r="F672" s="127"/>
      <c r="G672" s="52">
        <v>3302.81</v>
      </c>
      <c r="H672" s="241"/>
      <c r="I672" s="96">
        <f t="shared" si="9"/>
        <v>66.0562</v>
      </c>
    </row>
    <row r="673" spans="1:9" ht="15.75" customHeight="1">
      <c r="A673" s="110"/>
      <c r="B673" s="81"/>
      <c r="C673" s="15">
        <v>4300</v>
      </c>
      <c r="D673" s="170" t="s">
        <v>331</v>
      </c>
      <c r="E673" s="73">
        <v>735000</v>
      </c>
      <c r="F673" s="127"/>
      <c r="G673" s="73">
        <v>429585.82</v>
      </c>
      <c r="H673" s="241"/>
      <c r="I673" s="96">
        <f t="shared" si="9"/>
        <v>58.44705034013605</v>
      </c>
    </row>
    <row r="674" spans="1:9" ht="15.75" customHeight="1">
      <c r="A674" s="110"/>
      <c r="B674" s="81"/>
      <c r="C674" s="15">
        <v>4430</v>
      </c>
      <c r="D674" s="170" t="s">
        <v>314</v>
      </c>
      <c r="E674" s="73">
        <v>500</v>
      </c>
      <c r="F674" s="127"/>
      <c r="G674" s="73">
        <v>0</v>
      </c>
      <c r="H674" s="241"/>
      <c r="I674" s="96"/>
    </row>
    <row r="675" spans="1:9" ht="15.75" customHeight="1">
      <c r="A675" s="110"/>
      <c r="B675" s="81"/>
      <c r="C675" s="2">
        <v>6050</v>
      </c>
      <c r="D675" s="172" t="s">
        <v>553</v>
      </c>
      <c r="E675" s="73">
        <v>6000</v>
      </c>
      <c r="F675" s="127"/>
      <c r="G675" s="73">
        <v>0</v>
      </c>
      <c r="H675" s="241"/>
      <c r="I675" s="96"/>
    </row>
    <row r="676" spans="1:9" ht="24" customHeight="1">
      <c r="A676" s="61">
        <v>926</v>
      </c>
      <c r="B676" s="58"/>
      <c r="C676" s="10"/>
      <c r="D676" s="174" t="s">
        <v>190</v>
      </c>
      <c r="E676" s="33">
        <f>E677+E701</f>
        <v>11285642</v>
      </c>
      <c r="F676" s="52"/>
      <c r="G676" s="33">
        <f>G677+G701</f>
        <v>6355280.270000001</v>
      </c>
      <c r="H676" s="26"/>
      <c r="I676" s="132">
        <f t="shared" si="9"/>
        <v>56.31297067548308</v>
      </c>
    </row>
    <row r="677" spans="1:9" ht="20.25" customHeight="1">
      <c r="A677" s="66"/>
      <c r="B677" s="36">
        <v>92604</v>
      </c>
      <c r="C677" s="24"/>
      <c r="D677" s="175" t="s">
        <v>106</v>
      </c>
      <c r="E677" s="91">
        <f>SUM(E678:E700)</f>
        <v>8652400</v>
      </c>
      <c r="F677" s="127"/>
      <c r="G677" s="91">
        <f>SUM(G678:G700)</f>
        <v>4685239.000000001</v>
      </c>
      <c r="H677" s="241"/>
      <c r="I677" s="96">
        <f t="shared" si="9"/>
        <v>54.149588553464945</v>
      </c>
    </row>
    <row r="678" spans="1:9" ht="16.5" customHeight="1">
      <c r="A678" s="66"/>
      <c r="B678" s="9"/>
      <c r="C678" s="2">
        <v>3020</v>
      </c>
      <c r="D678" s="170" t="s">
        <v>177</v>
      </c>
      <c r="E678" s="52">
        <v>38800</v>
      </c>
      <c r="F678" s="127"/>
      <c r="G678" s="88">
        <v>17619.1</v>
      </c>
      <c r="H678" s="241"/>
      <c r="I678" s="96">
        <f t="shared" si="9"/>
        <v>45.41005154639175</v>
      </c>
    </row>
    <row r="679" spans="1:9" ht="16.5" customHeight="1">
      <c r="A679" s="66"/>
      <c r="B679" s="9"/>
      <c r="C679" s="2">
        <v>4010</v>
      </c>
      <c r="D679" s="170" t="s">
        <v>378</v>
      </c>
      <c r="E679" s="52">
        <v>3961000</v>
      </c>
      <c r="F679" s="127"/>
      <c r="G679" s="52">
        <v>1771974.2</v>
      </c>
      <c r="H679" s="241"/>
      <c r="I679" s="96">
        <f t="shared" si="9"/>
        <v>44.73552638222671</v>
      </c>
    </row>
    <row r="680" spans="1:9" ht="16.5" customHeight="1">
      <c r="A680" s="66"/>
      <c r="B680" s="9"/>
      <c r="C680" s="2">
        <v>4040</v>
      </c>
      <c r="D680" s="170" t="s">
        <v>379</v>
      </c>
      <c r="E680" s="52">
        <v>276910</v>
      </c>
      <c r="F680" s="127"/>
      <c r="G680" s="52">
        <v>276904.08</v>
      </c>
      <c r="H680" s="241"/>
      <c r="I680" s="96">
        <f t="shared" si="9"/>
        <v>99.99786212126685</v>
      </c>
    </row>
    <row r="681" spans="1:9" ht="16.5" customHeight="1">
      <c r="A681" s="66"/>
      <c r="B681" s="9"/>
      <c r="C681" s="2">
        <v>4110</v>
      </c>
      <c r="D681" s="170" t="s">
        <v>565</v>
      </c>
      <c r="E681" s="52">
        <v>725000</v>
      </c>
      <c r="F681" s="127"/>
      <c r="G681" s="52">
        <v>303900.95</v>
      </c>
      <c r="H681" s="241"/>
      <c r="I681" s="96">
        <f t="shared" si="9"/>
        <v>41.9173724137931</v>
      </c>
    </row>
    <row r="682" spans="1:9" ht="16.5" customHeight="1">
      <c r="A682" s="66"/>
      <c r="B682" s="9"/>
      <c r="C682" s="2">
        <v>4120</v>
      </c>
      <c r="D682" s="170" t="s">
        <v>566</v>
      </c>
      <c r="E682" s="52">
        <v>88000</v>
      </c>
      <c r="F682" s="127"/>
      <c r="G682" s="52">
        <v>31490.96</v>
      </c>
      <c r="H682" s="241"/>
      <c r="I682" s="96">
        <f t="shared" si="9"/>
        <v>35.78518181818182</v>
      </c>
    </row>
    <row r="683" spans="1:9" ht="24" customHeight="1">
      <c r="A683" s="66"/>
      <c r="B683" s="9"/>
      <c r="C683" s="13">
        <v>4140</v>
      </c>
      <c r="D683" s="170" t="s">
        <v>220</v>
      </c>
      <c r="E683" s="52">
        <v>60000</v>
      </c>
      <c r="F683" s="127"/>
      <c r="G683" s="52">
        <v>27014</v>
      </c>
      <c r="H683" s="241"/>
      <c r="I683" s="96">
        <f t="shared" si="9"/>
        <v>45.02333333333333</v>
      </c>
    </row>
    <row r="684" spans="1:9" ht="16.5" customHeight="1">
      <c r="A684" s="66"/>
      <c r="B684" s="9"/>
      <c r="C684" s="2">
        <v>4170</v>
      </c>
      <c r="D684" s="170" t="s">
        <v>572</v>
      </c>
      <c r="E684" s="52">
        <v>424000</v>
      </c>
      <c r="F684" s="127"/>
      <c r="G684" s="52">
        <v>315707.86</v>
      </c>
      <c r="H684" s="241"/>
      <c r="I684" s="96">
        <f t="shared" si="9"/>
        <v>74.45940094339622</v>
      </c>
    </row>
    <row r="685" spans="1:9" ht="16.5" customHeight="1">
      <c r="A685" s="66"/>
      <c r="B685" s="9"/>
      <c r="C685" s="13">
        <v>4210</v>
      </c>
      <c r="D685" s="172" t="s">
        <v>334</v>
      </c>
      <c r="E685" s="52">
        <v>300700</v>
      </c>
      <c r="F685" s="127"/>
      <c r="G685" s="52">
        <v>191955.1</v>
      </c>
      <c r="H685" s="241"/>
      <c r="I685" s="96">
        <f t="shared" si="9"/>
        <v>63.83608247422681</v>
      </c>
    </row>
    <row r="686" spans="1:9" ht="16.5" customHeight="1">
      <c r="A686" s="66"/>
      <c r="B686" s="9"/>
      <c r="C686" s="2">
        <v>4260</v>
      </c>
      <c r="D686" s="170" t="s">
        <v>579</v>
      </c>
      <c r="E686" s="52">
        <v>1339200</v>
      </c>
      <c r="F686" s="127"/>
      <c r="G686" s="52">
        <v>830546.91</v>
      </c>
      <c r="H686" s="241"/>
      <c r="I686" s="96">
        <f t="shared" si="9"/>
        <v>62.01813844086021</v>
      </c>
    </row>
    <row r="687" spans="1:9" ht="16.5" customHeight="1">
      <c r="A687" s="66"/>
      <c r="B687" s="9"/>
      <c r="C687" s="2">
        <v>4270</v>
      </c>
      <c r="D687" s="170" t="s">
        <v>335</v>
      </c>
      <c r="E687" s="52">
        <v>83290</v>
      </c>
      <c r="F687" s="127"/>
      <c r="G687" s="52">
        <v>50429.18</v>
      </c>
      <c r="H687" s="241"/>
      <c r="I687" s="96">
        <f t="shared" si="9"/>
        <v>60.54650018009365</v>
      </c>
    </row>
    <row r="688" spans="1:9" ht="16.5" customHeight="1">
      <c r="A688" s="66"/>
      <c r="B688" s="9"/>
      <c r="C688" s="2">
        <v>4280</v>
      </c>
      <c r="D688" s="170" t="s">
        <v>179</v>
      </c>
      <c r="E688" s="52">
        <v>6100</v>
      </c>
      <c r="F688" s="127"/>
      <c r="G688" s="52">
        <v>1298</v>
      </c>
      <c r="H688" s="241"/>
      <c r="I688" s="96">
        <f t="shared" si="9"/>
        <v>21.278688524590166</v>
      </c>
    </row>
    <row r="689" spans="1:9" ht="16.5" customHeight="1">
      <c r="A689" s="66"/>
      <c r="B689" s="9"/>
      <c r="C689" s="2">
        <v>4300</v>
      </c>
      <c r="D689" s="170" t="s">
        <v>331</v>
      </c>
      <c r="E689" s="52">
        <v>797200</v>
      </c>
      <c r="F689" s="127"/>
      <c r="G689" s="52">
        <v>560326.8</v>
      </c>
      <c r="H689" s="241"/>
      <c r="I689" s="96">
        <f t="shared" si="9"/>
        <v>70.28685398896137</v>
      </c>
    </row>
    <row r="690" spans="1:9" ht="24" customHeight="1">
      <c r="A690" s="66"/>
      <c r="B690" s="9"/>
      <c r="C690" s="2">
        <v>4360</v>
      </c>
      <c r="D690" s="170" t="s">
        <v>90</v>
      </c>
      <c r="E690" s="52">
        <v>30600</v>
      </c>
      <c r="F690" s="127"/>
      <c r="G690" s="52">
        <v>13936.23</v>
      </c>
      <c r="H690" s="241"/>
      <c r="I690" s="96">
        <f t="shared" si="9"/>
        <v>45.54323529411764</v>
      </c>
    </row>
    <row r="691" spans="1:9" ht="16.5" customHeight="1">
      <c r="A691" s="66"/>
      <c r="B691" s="9"/>
      <c r="C691" s="2">
        <v>4410</v>
      </c>
      <c r="D691" s="170" t="s">
        <v>569</v>
      </c>
      <c r="E691" s="52">
        <v>28500</v>
      </c>
      <c r="F691" s="127"/>
      <c r="G691" s="52">
        <v>9835.21</v>
      </c>
      <c r="H691" s="241"/>
      <c r="I691" s="96">
        <f t="shared" si="9"/>
        <v>34.509508771929816</v>
      </c>
    </row>
    <row r="692" spans="1:9" ht="16.5" customHeight="1">
      <c r="A692" s="66"/>
      <c r="B692" s="9"/>
      <c r="C692" s="2">
        <v>4420</v>
      </c>
      <c r="D692" s="170" t="s">
        <v>570</v>
      </c>
      <c r="E692" s="52">
        <v>1000</v>
      </c>
      <c r="F692" s="127"/>
      <c r="G692" s="52">
        <v>0</v>
      </c>
      <c r="H692" s="241"/>
      <c r="I692" s="96"/>
    </row>
    <row r="693" spans="1:9" ht="16.5" customHeight="1">
      <c r="A693" s="66"/>
      <c r="B693" s="9"/>
      <c r="C693" s="2">
        <v>4430</v>
      </c>
      <c r="D693" s="170" t="s">
        <v>314</v>
      </c>
      <c r="E693" s="52">
        <v>28000</v>
      </c>
      <c r="F693" s="127"/>
      <c r="G693" s="52">
        <v>19466</v>
      </c>
      <c r="H693" s="241"/>
      <c r="I693" s="96">
        <f t="shared" si="9"/>
        <v>69.52142857142857</v>
      </c>
    </row>
    <row r="694" spans="1:9" ht="24" customHeight="1">
      <c r="A694" s="66"/>
      <c r="B694" s="9"/>
      <c r="C694" s="2">
        <v>4440</v>
      </c>
      <c r="D694" s="170" t="s">
        <v>567</v>
      </c>
      <c r="E694" s="52">
        <v>118500</v>
      </c>
      <c r="F694" s="127"/>
      <c r="G694" s="52">
        <v>88875</v>
      </c>
      <c r="H694" s="241"/>
      <c r="I694" s="96">
        <f t="shared" si="9"/>
        <v>75</v>
      </c>
    </row>
    <row r="695" spans="1:9" ht="16.5" customHeight="1">
      <c r="A695" s="66"/>
      <c r="B695" s="9"/>
      <c r="C695" s="2">
        <v>4480</v>
      </c>
      <c r="D695" s="170" t="s">
        <v>272</v>
      </c>
      <c r="E695" s="52">
        <v>185000</v>
      </c>
      <c r="F695" s="127"/>
      <c r="G695" s="52">
        <v>91807</v>
      </c>
      <c r="H695" s="241"/>
      <c r="I695" s="96">
        <f t="shared" si="9"/>
        <v>49.6254054054054</v>
      </c>
    </row>
    <row r="696" spans="1:9" ht="24" customHeight="1">
      <c r="A696" s="66"/>
      <c r="B696" s="9"/>
      <c r="C696" s="2">
        <v>4520</v>
      </c>
      <c r="D696" s="170" t="s">
        <v>289</v>
      </c>
      <c r="E696" s="52">
        <v>38600</v>
      </c>
      <c r="F696" s="127"/>
      <c r="G696" s="52">
        <v>20459.54</v>
      </c>
      <c r="H696" s="241"/>
      <c r="I696" s="96">
        <f t="shared" si="9"/>
        <v>53.00398963730571</v>
      </c>
    </row>
    <row r="697" spans="1:9" ht="16.5" customHeight="1">
      <c r="A697" s="66"/>
      <c r="B697" s="9"/>
      <c r="C697" s="2">
        <v>4530</v>
      </c>
      <c r="D697" s="170" t="s">
        <v>105</v>
      </c>
      <c r="E697" s="52">
        <v>100000</v>
      </c>
      <c r="F697" s="88"/>
      <c r="G697" s="52">
        <v>60292.88</v>
      </c>
      <c r="H697" s="128"/>
      <c r="I697" s="96">
        <f t="shared" si="9"/>
        <v>60.29288</v>
      </c>
    </row>
    <row r="698" spans="1:9" ht="24" customHeight="1">
      <c r="A698" s="66"/>
      <c r="B698" s="9"/>
      <c r="C698" s="1">
        <v>4610</v>
      </c>
      <c r="D698" s="205" t="s">
        <v>554</v>
      </c>
      <c r="E698" s="88">
        <v>1000</v>
      </c>
      <c r="F698" s="127"/>
      <c r="G698" s="88">
        <v>0</v>
      </c>
      <c r="H698" s="241"/>
      <c r="I698" s="250"/>
    </row>
    <row r="699" spans="1:9" ht="24" customHeight="1">
      <c r="A699" s="66"/>
      <c r="B699" s="9"/>
      <c r="C699" s="2">
        <v>4700</v>
      </c>
      <c r="D699" s="170" t="s">
        <v>290</v>
      </c>
      <c r="E699" s="52">
        <v>6000</v>
      </c>
      <c r="F699" s="127"/>
      <c r="G699" s="52">
        <v>1400</v>
      </c>
      <c r="H699" s="241"/>
      <c r="I699" s="96">
        <f t="shared" si="9"/>
        <v>23.333333333333332</v>
      </c>
    </row>
    <row r="700" spans="1:9" ht="24" customHeight="1">
      <c r="A700" s="66"/>
      <c r="B700" s="9"/>
      <c r="C700" s="2">
        <v>6060</v>
      </c>
      <c r="D700" s="170" t="s">
        <v>584</v>
      </c>
      <c r="E700" s="52">
        <v>15000</v>
      </c>
      <c r="F700" s="127"/>
      <c r="G700" s="52">
        <v>0</v>
      </c>
      <c r="H700" s="241"/>
      <c r="I700" s="96"/>
    </row>
    <row r="701" spans="1:9" ht="20.25" customHeight="1">
      <c r="A701" s="108"/>
      <c r="B701" s="99">
        <v>92695</v>
      </c>
      <c r="C701" s="24"/>
      <c r="D701" s="175" t="s">
        <v>581</v>
      </c>
      <c r="E701" s="91">
        <f>SUM(E702:E707)</f>
        <v>2633242</v>
      </c>
      <c r="F701" s="127"/>
      <c r="G701" s="91">
        <f>SUM(G702:G707)</f>
        <v>1670041.27</v>
      </c>
      <c r="H701" s="241"/>
      <c r="I701" s="96">
        <f t="shared" si="9"/>
        <v>63.421488416180516</v>
      </c>
    </row>
    <row r="702" spans="1:9" ht="57.75" customHeight="1">
      <c r="A702" s="110"/>
      <c r="B702" s="76"/>
      <c r="C702" s="2">
        <v>2360</v>
      </c>
      <c r="D702" s="170" t="s">
        <v>102</v>
      </c>
      <c r="E702" s="88">
        <v>130000</v>
      </c>
      <c r="F702" s="127"/>
      <c r="G702" s="88">
        <v>81500</v>
      </c>
      <c r="H702" s="241"/>
      <c r="I702" s="96">
        <f t="shared" si="9"/>
        <v>62.69230769230769</v>
      </c>
    </row>
    <row r="703" spans="1:9" ht="36.75" customHeight="1">
      <c r="A703" s="110"/>
      <c r="B703" s="81"/>
      <c r="C703" s="2">
        <v>2820</v>
      </c>
      <c r="D703" s="170" t="s">
        <v>545</v>
      </c>
      <c r="E703" s="88">
        <v>2400000</v>
      </c>
      <c r="F703" s="127"/>
      <c r="G703" s="88">
        <v>1514400</v>
      </c>
      <c r="H703" s="241"/>
      <c r="I703" s="96">
        <f t="shared" si="9"/>
        <v>63.1</v>
      </c>
    </row>
    <row r="704" spans="1:9" ht="24" customHeight="1">
      <c r="A704" s="110"/>
      <c r="B704" s="81"/>
      <c r="C704" s="8">
        <v>3040</v>
      </c>
      <c r="D704" s="170" t="s">
        <v>611</v>
      </c>
      <c r="E704" s="88">
        <v>50000</v>
      </c>
      <c r="F704" s="127"/>
      <c r="G704" s="88">
        <v>50000</v>
      </c>
      <c r="H704" s="241"/>
      <c r="I704" s="96">
        <f t="shared" si="9"/>
        <v>100</v>
      </c>
    </row>
    <row r="705" spans="1:9" ht="16.5" customHeight="1">
      <c r="A705" s="110"/>
      <c r="B705" s="81"/>
      <c r="C705" s="2">
        <v>4170</v>
      </c>
      <c r="D705" s="170" t="s">
        <v>572</v>
      </c>
      <c r="E705" s="88">
        <v>242</v>
      </c>
      <c r="F705" s="127"/>
      <c r="G705" s="88">
        <v>0</v>
      </c>
      <c r="H705" s="241"/>
      <c r="I705" s="96"/>
    </row>
    <row r="706" spans="1:9" ht="16.5" customHeight="1">
      <c r="A706" s="110"/>
      <c r="B706" s="81"/>
      <c r="C706" s="8">
        <v>4210</v>
      </c>
      <c r="D706" s="170" t="s">
        <v>334</v>
      </c>
      <c r="E706" s="52">
        <v>33000</v>
      </c>
      <c r="F706" s="127"/>
      <c r="G706" s="52">
        <v>13641.27</v>
      </c>
      <c r="H706" s="241"/>
      <c r="I706" s="96">
        <f t="shared" si="9"/>
        <v>41.33718181818182</v>
      </c>
    </row>
    <row r="707" spans="1:9" ht="16.5" customHeight="1">
      <c r="A707" s="110"/>
      <c r="B707" s="81"/>
      <c r="C707" s="15">
        <v>4300</v>
      </c>
      <c r="D707" s="172" t="s">
        <v>331</v>
      </c>
      <c r="E707" s="52">
        <v>20000</v>
      </c>
      <c r="F707" s="237"/>
      <c r="G707" s="52">
        <v>10500</v>
      </c>
      <c r="H707" s="563"/>
      <c r="I707" s="96">
        <f t="shared" si="9"/>
        <v>52.5</v>
      </c>
    </row>
    <row r="708" spans="1:9" ht="23.25" customHeight="1">
      <c r="A708" s="179" t="s">
        <v>555</v>
      </c>
      <c r="B708" s="180"/>
      <c r="C708" s="12"/>
      <c r="D708" s="202"/>
      <c r="E708" s="177">
        <f>E12+E22+E39+E63+E74+E126+E140+E143+E171+E175+E183+E367+E418+E527+E583+E613+E662+E676</f>
        <v>296055123.55</v>
      </c>
      <c r="F708" s="177">
        <f>F12+F22+F39+F63+F74+F126+F140+F143+F171+F175+F183+F367+F418+F527+F583+F613+F662+F676</f>
        <v>22044571.81</v>
      </c>
      <c r="G708" s="177">
        <f>G12+G22+G39+G63+G74+G126+G140+G143+G171+G175+G183+G367+G418+G527+G583+G613+G662+G676</f>
        <v>147647704.63</v>
      </c>
      <c r="H708" s="564">
        <f>H12+H22+H39+H63+H74+H126+H140+H143+H171+H175+H183+H367+H418+H527+H583+H613+H662+H676</f>
        <v>11948155.699999997</v>
      </c>
      <c r="I708" s="132">
        <f t="shared" si="9"/>
        <v>49.87169377768399</v>
      </c>
    </row>
    <row r="709" spans="1:9" ht="20.25" customHeight="1">
      <c r="A709" s="113" t="s">
        <v>201</v>
      </c>
      <c r="B709" s="566" t="s">
        <v>135</v>
      </c>
      <c r="C709" s="4"/>
      <c r="D709" s="176"/>
      <c r="E709" s="158"/>
      <c r="F709" s="41"/>
      <c r="G709" s="158"/>
      <c r="H709" s="41"/>
      <c r="I709" s="810"/>
    </row>
    <row r="710" spans="1:9" ht="24" customHeight="1">
      <c r="A710" s="68">
        <v>600</v>
      </c>
      <c r="B710" s="68"/>
      <c r="C710" s="5"/>
      <c r="D710" s="200" t="s">
        <v>210</v>
      </c>
      <c r="E710" s="126">
        <f>E711+E713</f>
        <v>19781254.48</v>
      </c>
      <c r="F710" s="126"/>
      <c r="G710" s="126">
        <f>G711+G713</f>
        <v>3748558.59</v>
      </c>
      <c r="H710" s="549"/>
      <c r="I710" s="132">
        <f>G710/E710*100</f>
        <v>18.950054930995456</v>
      </c>
    </row>
    <row r="711" spans="1:9" ht="20.25" customHeight="1">
      <c r="A711" s="67"/>
      <c r="B711" s="105">
        <v>60013</v>
      </c>
      <c r="C711" s="5"/>
      <c r="D711" s="204" t="s">
        <v>690</v>
      </c>
      <c r="E711" s="248">
        <f>SUM(E712)</f>
        <v>250000</v>
      </c>
      <c r="F711" s="233"/>
      <c r="G711" s="248">
        <f>SUM(G712)</f>
        <v>0</v>
      </c>
      <c r="H711" s="551"/>
      <c r="I711" s="96"/>
    </row>
    <row r="712" spans="1:9" ht="49.5" customHeight="1">
      <c r="A712" s="67"/>
      <c r="B712" s="567"/>
      <c r="C712" s="1">
        <v>6300</v>
      </c>
      <c r="D712" s="205" t="s">
        <v>153</v>
      </c>
      <c r="E712" s="128">
        <v>250000</v>
      </c>
      <c r="F712" s="127"/>
      <c r="G712" s="128">
        <v>0</v>
      </c>
      <c r="H712" s="241"/>
      <c r="I712" s="96"/>
    </row>
    <row r="713" spans="1:9" ht="20.25" customHeight="1">
      <c r="A713" s="97"/>
      <c r="B713" s="75">
        <v>60015</v>
      </c>
      <c r="C713" s="24"/>
      <c r="D713" s="175" t="s">
        <v>556</v>
      </c>
      <c r="E713" s="28">
        <f>SUM(E714:E718)</f>
        <v>19531254.48</v>
      </c>
      <c r="F713" s="73"/>
      <c r="G713" s="28">
        <f>SUM(G714:G718)</f>
        <v>3748558.59</v>
      </c>
      <c r="H713" s="129"/>
      <c r="I713" s="96">
        <f aca="true" t="shared" si="10" ref="I713:I779">G713/E713*100</f>
        <v>19.19261557847461</v>
      </c>
    </row>
    <row r="714" spans="1:9" ht="17.25" customHeight="1">
      <c r="A714" s="98"/>
      <c r="B714" s="78"/>
      <c r="C714" s="2">
        <v>4170</v>
      </c>
      <c r="D714" s="170" t="s">
        <v>572</v>
      </c>
      <c r="E714" s="128">
        <v>12000</v>
      </c>
      <c r="F714" s="127"/>
      <c r="G714" s="128">
        <v>12000</v>
      </c>
      <c r="H714" s="241"/>
      <c r="I714" s="96">
        <f t="shared" si="10"/>
        <v>100</v>
      </c>
    </row>
    <row r="715" spans="1:9" ht="17.25" customHeight="1">
      <c r="A715" s="98"/>
      <c r="B715" s="78"/>
      <c r="C715" s="2">
        <v>4270</v>
      </c>
      <c r="D715" s="170" t="s">
        <v>335</v>
      </c>
      <c r="E715" s="128">
        <v>3480184</v>
      </c>
      <c r="F715" s="127"/>
      <c r="G715" s="128">
        <v>2583088.71</v>
      </c>
      <c r="H715" s="241"/>
      <c r="I715" s="96">
        <f t="shared" si="10"/>
        <v>74.22276264703245</v>
      </c>
    </row>
    <row r="716" spans="1:9" ht="17.25" customHeight="1">
      <c r="A716" s="81"/>
      <c r="B716" s="553"/>
      <c r="C716" s="2">
        <v>4300</v>
      </c>
      <c r="D716" s="170" t="s">
        <v>331</v>
      </c>
      <c r="E716" s="26">
        <v>1908365.2</v>
      </c>
      <c r="F716" s="127"/>
      <c r="G716" s="26">
        <v>736423.84</v>
      </c>
      <c r="H716" s="241"/>
      <c r="I716" s="96">
        <f t="shared" si="10"/>
        <v>38.58925115591082</v>
      </c>
    </row>
    <row r="717" spans="1:9" ht="17.25" customHeight="1">
      <c r="A717" s="81"/>
      <c r="B717" s="553"/>
      <c r="C717" s="2">
        <v>4430</v>
      </c>
      <c r="D717" s="170" t="s">
        <v>314</v>
      </c>
      <c r="E717" s="26">
        <v>20000</v>
      </c>
      <c r="F717" s="127"/>
      <c r="G717" s="26">
        <v>20000</v>
      </c>
      <c r="H717" s="241"/>
      <c r="I717" s="96">
        <f t="shared" si="10"/>
        <v>100</v>
      </c>
    </row>
    <row r="718" spans="1:9" ht="17.25" customHeight="1">
      <c r="A718" s="81"/>
      <c r="B718" s="553"/>
      <c r="C718" s="13">
        <v>6050</v>
      </c>
      <c r="D718" s="170" t="s">
        <v>186</v>
      </c>
      <c r="E718" s="26">
        <v>14110705.28</v>
      </c>
      <c r="F718" s="88"/>
      <c r="G718" s="26">
        <v>397046.04</v>
      </c>
      <c r="H718" s="128"/>
      <c r="I718" s="96">
        <f t="shared" si="10"/>
        <v>2.813793018289161</v>
      </c>
    </row>
    <row r="719" spans="1:12" ht="23.25" customHeight="1">
      <c r="A719" s="58">
        <v>630</v>
      </c>
      <c r="B719" s="58"/>
      <c r="C719" s="10"/>
      <c r="D719" s="174" t="s">
        <v>557</v>
      </c>
      <c r="E719" s="33">
        <f>E720+E722+E724</f>
        <v>840068</v>
      </c>
      <c r="F719" s="127"/>
      <c r="G719" s="33">
        <f>G720+G722+G724</f>
        <v>52176.45</v>
      </c>
      <c r="H719" s="241"/>
      <c r="I719" s="132">
        <f t="shared" si="10"/>
        <v>6.2109793492907714</v>
      </c>
      <c r="K719" s="55"/>
      <c r="L719" s="55"/>
    </row>
    <row r="720" spans="1:22" s="53" customFormat="1" ht="20.25" customHeight="1">
      <c r="A720" s="93"/>
      <c r="B720" s="46">
        <v>63001</v>
      </c>
      <c r="C720" s="24"/>
      <c r="D720" s="175" t="s">
        <v>620</v>
      </c>
      <c r="E720" s="38">
        <f>E721</f>
        <v>60000</v>
      </c>
      <c r="F720" s="167"/>
      <c r="G720" s="38">
        <f>G721</f>
        <v>30000</v>
      </c>
      <c r="H720" s="557"/>
      <c r="I720" s="96">
        <f t="shared" si="10"/>
        <v>50</v>
      </c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</row>
    <row r="721" spans="1:9" ht="60.75" customHeight="1">
      <c r="A721" s="67"/>
      <c r="B721" s="58"/>
      <c r="C721" s="2">
        <v>2360</v>
      </c>
      <c r="D721" s="170" t="s">
        <v>102</v>
      </c>
      <c r="E721" s="55">
        <v>60000</v>
      </c>
      <c r="F721" s="127"/>
      <c r="G721" s="55">
        <v>30000</v>
      </c>
      <c r="H721" s="241"/>
      <c r="I721" s="96">
        <f t="shared" si="10"/>
        <v>50</v>
      </c>
    </row>
    <row r="722" spans="1:9" ht="20.25" customHeight="1">
      <c r="A722" s="67"/>
      <c r="B722" s="46">
        <v>63003</v>
      </c>
      <c r="C722" s="46"/>
      <c r="D722" s="175" t="s">
        <v>691</v>
      </c>
      <c r="E722" s="91">
        <f>SUM(E723)</f>
        <v>2258</v>
      </c>
      <c r="F722" s="568"/>
      <c r="G722" s="91">
        <f>SUM(G723)</f>
        <v>0</v>
      </c>
      <c r="H722" s="569"/>
      <c r="I722" s="96"/>
    </row>
    <row r="723" spans="1:9" ht="48.75" customHeight="1">
      <c r="A723" s="67"/>
      <c r="B723" s="309"/>
      <c r="C723" s="2">
        <v>2320</v>
      </c>
      <c r="D723" s="170" t="s">
        <v>692</v>
      </c>
      <c r="E723" s="89">
        <v>2258</v>
      </c>
      <c r="F723" s="88"/>
      <c r="G723" s="89">
        <v>0</v>
      </c>
      <c r="H723" s="128"/>
      <c r="I723" s="96"/>
    </row>
    <row r="724" spans="1:9" ht="20.25" customHeight="1">
      <c r="A724" s="98"/>
      <c r="B724" s="46">
        <v>63095</v>
      </c>
      <c r="C724" s="35"/>
      <c r="D724" s="204" t="s">
        <v>250</v>
      </c>
      <c r="E724" s="248">
        <f>SUM(E725:E730)</f>
        <v>777810</v>
      </c>
      <c r="F724" s="127"/>
      <c r="G724" s="248">
        <f>SUM(G725:G730)</f>
        <v>22176.45</v>
      </c>
      <c r="H724" s="241"/>
      <c r="I724" s="250">
        <f t="shared" si="10"/>
        <v>2.8511397384965482</v>
      </c>
    </row>
    <row r="725" spans="1:9" ht="61.5" customHeight="1">
      <c r="A725" s="98"/>
      <c r="B725" s="78"/>
      <c r="C725" s="2">
        <v>2360</v>
      </c>
      <c r="D725" s="170" t="s">
        <v>102</v>
      </c>
      <c r="E725" s="89">
        <v>40000</v>
      </c>
      <c r="F725" s="127"/>
      <c r="G725" s="89">
        <v>16000</v>
      </c>
      <c r="H725" s="241"/>
      <c r="I725" s="96">
        <f t="shared" si="10"/>
        <v>40</v>
      </c>
    </row>
    <row r="726" spans="1:9" ht="16.5" customHeight="1">
      <c r="A726" s="98"/>
      <c r="B726" s="78"/>
      <c r="C726" s="2">
        <v>4170</v>
      </c>
      <c r="D726" s="170" t="s">
        <v>572</v>
      </c>
      <c r="E726" s="89">
        <v>1500</v>
      </c>
      <c r="F726" s="127"/>
      <c r="G726" s="89">
        <v>1500</v>
      </c>
      <c r="H726" s="241"/>
      <c r="I726" s="96">
        <f t="shared" si="10"/>
        <v>100</v>
      </c>
    </row>
    <row r="727" spans="1:9" ht="16.5" customHeight="1">
      <c r="A727" s="81"/>
      <c r="B727" s="553"/>
      <c r="C727" s="2">
        <v>4210</v>
      </c>
      <c r="D727" s="170" t="s">
        <v>334</v>
      </c>
      <c r="E727" s="41">
        <v>4000</v>
      </c>
      <c r="F727" s="127"/>
      <c r="G727" s="41">
        <v>0</v>
      </c>
      <c r="H727" s="241"/>
      <c r="I727" s="96"/>
    </row>
    <row r="728" spans="1:9" ht="16.5" customHeight="1">
      <c r="A728" s="81"/>
      <c r="B728" s="553"/>
      <c r="C728" s="2">
        <v>4260</v>
      </c>
      <c r="D728" s="170" t="s">
        <v>579</v>
      </c>
      <c r="E728" s="41">
        <v>2000</v>
      </c>
      <c r="F728" s="127"/>
      <c r="G728" s="41">
        <v>351.57</v>
      </c>
      <c r="H728" s="241"/>
      <c r="I728" s="96">
        <f t="shared" si="10"/>
        <v>17.5785</v>
      </c>
    </row>
    <row r="729" spans="1:9" ht="16.5" customHeight="1">
      <c r="A729" s="81"/>
      <c r="B729" s="553"/>
      <c r="C729" s="2">
        <v>4300</v>
      </c>
      <c r="D729" s="170" t="s">
        <v>331</v>
      </c>
      <c r="E729" s="41">
        <v>23500</v>
      </c>
      <c r="F729" s="127"/>
      <c r="G729" s="41">
        <v>0</v>
      </c>
      <c r="H729" s="241"/>
      <c r="I729" s="96"/>
    </row>
    <row r="730" spans="1:9" ht="16.5" customHeight="1">
      <c r="A730" s="81"/>
      <c r="B730" s="553"/>
      <c r="C730" s="13">
        <v>6050</v>
      </c>
      <c r="D730" s="170" t="s">
        <v>186</v>
      </c>
      <c r="E730" s="41">
        <v>706810</v>
      </c>
      <c r="F730" s="127"/>
      <c r="G730" s="41">
        <v>4324.88</v>
      </c>
      <c r="H730" s="241"/>
      <c r="I730" s="96">
        <f t="shared" si="10"/>
        <v>0.6118872115561467</v>
      </c>
    </row>
    <row r="731" spans="1:9" ht="24" customHeight="1">
      <c r="A731" s="59">
        <v>700</v>
      </c>
      <c r="B731" s="90"/>
      <c r="C731" s="10"/>
      <c r="D731" s="174" t="s">
        <v>558</v>
      </c>
      <c r="E731" s="33">
        <f>E732</f>
        <v>327137.34</v>
      </c>
      <c r="F731" s="33">
        <f>F732</f>
        <v>113978</v>
      </c>
      <c r="G731" s="33">
        <f>G732</f>
        <v>113668.89999999998</v>
      </c>
      <c r="H731" s="84">
        <f>H732</f>
        <v>41759.75</v>
      </c>
      <c r="I731" s="132">
        <f t="shared" si="10"/>
        <v>34.74653795253088</v>
      </c>
    </row>
    <row r="732" spans="1:9" ht="20.25" customHeight="1">
      <c r="A732" s="97"/>
      <c r="B732" s="75">
        <v>70005</v>
      </c>
      <c r="C732" s="24"/>
      <c r="D732" s="175" t="s">
        <v>249</v>
      </c>
      <c r="E732" s="91">
        <f>SUM(E733:E740)</f>
        <v>327137.34</v>
      </c>
      <c r="F732" s="91">
        <f>SUM(F733:F740)</f>
        <v>113978</v>
      </c>
      <c r="G732" s="91">
        <f>SUM(G733:G740)</f>
        <v>113668.89999999998</v>
      </c>
      <c r="H732" s="28">
        <f>SUM(H733:H740)</f>
        <v>41759.75</v>
      </c>
      <c r="I732" s="96">
        <f t="shared" si="10"/>
        <v>34.74653795253088</v>
      </c>
    </row>
    <row r="733" spans="1:9" ht="16.5" customHeight="1">
      <c r="A733" s="98"/>
      <c r="B733" s="78"/>
      <c r="C733" s="2">
        <v>4010</v>
      </c>
      <c r="D733" s="170" t="s">
        <v>378</v>
      </c>
      <c r="E733" s="52">
        <v>205814.38</v>
      </c>
      <c r="F733" s="52">
        <v>42569.38</v>
      </c>
      <c r="G733" s="26">
        <f>51745.85+20848.39</f>
        <v>72594.23999999999</v>
      </c>
      <c r="H733" s="26">
        <v>20848.39</v>
      </c>
      <c r="I733" s="96">
        <f t="shared" si="10"/>
        <v>35.271704532987435</v>
      </c>
    </row>
    <row r="734" spans="1:9" ht="16.5" customHeight="1">
      <c r="A734" s="98"/>
      <c r="B734" s="78"/>
      <c r="C734" s="2">
        <v>4040</v>
      </c>
      <c r="D734" s="170" t="s">
        <v>379</v>
      </c>
      <c r="E734" s="52">
        <v>16400</v>
      </c>
      <c r="F734" s="52">
        <v>2778</v>
      </c>
      <c r="G734" s="26">
        <f>7557.45+2778</f>
        <v>10335.45</v>
      </c>
      <c r="H734" s="26">
        <v>2778</v>
      </c>
      <c r="I734" s="96">
        <f t="shared" si="10"/>
        <v>63.021036585365856</v>
      </c>
    </row>
    <row r="735" spans="1:9" ht="16.5" customHeight="1">
      <c r="A735" s="98"/>
      <c r="B735" s="78"/>
      <c r="C735" s="2">
        <v>4110</v>
      </c>
      <c r="D735" s="170" t="s">
        <v>565</v>
      </c>
      <c r="E735" s="52">
        <v>38000</v>
      </c>
      <c r="F735" s="52">
        <v>6228</v>
      </c>
      <c r="G735" s="26">
        <f>11235.22+1776.68</f>
        <v>13011.9</v>
      </c>
      <c r="H735" s="26">
        <v>1776.68</v>
      </c>
      <c r="I735" s="96">
        <f t="shared" si="10"/>
        <v>34.24184210526316</v>
      </c>
    </row>
    <row r="736" spans="1:9" ht="16.5" customHeight="1">
      <c r="A736" s="98"/>
      <c r="B736" s="78"/>
      <c r="C736" s="2">
        <v>4120</v>
      </c>
      <c r="D736" s="170" t="s">
        <v>566</v>
      </c>
      <c r="E736" s="52">
        <v>5050</v>
      </c>
      <c r="F736" s="52">
        <v>1005</v>
      </c>
      <c r="G736" s="26">
        <f>1014.12+161.71</f>
        <v>1175.83</v>
      </c>
      <c r="H736" s="26">
        <v>161.71</v>
      </c>
      <c r="I736" s="96">
        <f t="shared" si="10"/>
        <v>23.283762376237622</v>
      </c>
    </row>
    <row r="737" spans="1:9" ht="16.5" customHeight="1">
      <c r="A737" s="81"/>
      <c r="B737" s="553"/>
      <c r="C737" s="2">
        <v>4300</v>
      </c>
      <c r="D737" s="170" t="s">
        <v>331</v>
      </c>
      <c r="E737" s="52">
        <v>42500</v>
      </c>
      <c r="F737" s="52">
        <v>42500</v>
      </c>
      <c r="G737" s="26">
        <v>9385.6</v>
      </c>
      <c r="H737" s="26">
        <v>9385.6</v>
      </c>
      <c r="I737" s="96">
        <f t="shared" si="10"/>
        <v>22.083764705882352</v>
      </c>
    </row>
    <row r="738" spans="1:9" ht="23.25" customHeight="1">
      <c r="A738" s="81"/>
      <c r="B738" s="553"/>
      <c r="C738" s="2">
        <v>4440</v>
      </c>
      <c r="D738" s="170" t="s">
        <v>567</v>
      </c>
      <c r="E738" s="52">
        <v>3372.96</v>
      </c>
      <c r="F738" s="52">
        <v>2897.62</v>
      </c>
      <c r="G738" s="26">
        <f>356.51+2173.22</f>
        <v>2529.7299999999996</v>
      </c>
      <c r="H738" s="26">
        <v>2173.22</v>
      </c>
      <c r="I738" s="96">
        <f t="shared" si="10"/>
        <v>75.00029647549925</v>
      </c>
    </row>
    <row r="739" spans="1:9" ht="16.5" customHeight="1">
      <c r="A739" s="81"/>
      <c r="B739" s="553"/>
      <c r="C739" s="2">
        <v>4480</v>
      </c>
      <c r="D739" s="170" t="s">
        <v>272</v>
      </c>
      <c r="E739" s="52">
        <v>8000</v>
      </c>
      <c r="F739" s="52">
        <v>8000</v>
      </c>
      <c r="G739" s="26">
        <v>3953.5</v>
      </c>
      <c r="H739" s="26">
        <v>3953.5</v>
      </c>
      <c r="I739" s="96">
        <f t="shared" si="10"/>
        <v>49.41875</v>
      </c>
    </row>
    <row r="740" spans="1:9" ht="24" customHeight="1">
      <c r="A740" s="81"/>
      <c r="B740" s="553"/>
      <c r="C740" s="2">
        <v>4610</v>
      </c>
      <c r="D740" s="170" t="s">
        <v>554</v>
      </c>
      <c r="E740" s="52">
        <v>8000</v>
      </c>
      <c r="F740" s="52">
        <v>8000</v>
      </c>
      <c r="G740" s="26">
        <v>682.65</v>
      </c>
      <c r="H740" s="26">
        <v>682.65</v>
      </c>
      <c r="I740" s="96">
        <f t="shared" si="10"/>
        <v>8.533125</v>
      </c>
    </row>
    <row r="741" spans="1:22" s="53" customFormat="1" ht="24" customHeight="1">
      <c r="A741" s="59">
        <v>710</v>
      </c>
      <c r="B741" s="58"/>
      <c r="C741" s="10"/>
      <c r="D741" s="174" t="s">
        <v>559</v>
      </c>
      <c r="E741" s="33">
        <f>E742+E747+E749+E751</f>
        <v>809200</v>
      </c>
      <c r="F741" s="238">
        <f>F742+F747+F749+F751</f>
        <v>449200</v>
      </c>
      <c r="G741" s="33">
        <f>G742+G747+G749+G751</f>
        <v>218393.43</v>
      </c>
      <c r="H741" s="570">
        <f>H742+H747+H749+H751</f>
        <v>175515.19999999998</v>
      </c>
      <c r="I741" s="132">
        <f t="shared" si="10"/>
        <v>26.988807464162136</v>
      </c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</row>
    <row r="742" spans="1:9" ht="23.25" customHeight="1">
      <c r="A742" s="103"/>
      <c r="B742" s="94">
        <v>71012</v>
      </c>
      <c r="C742" s="24"/>
      <c r="D742" s="175" t="s">
        <v>140</v>
      </c>
      <c r="E742" s="28">
        <f>SUM(E743:E746)</f>
        <v>128000</v>
      </c>
      <c r="F742" s="167"/>
      <c r="G742" s="28">
        <f>SUM(G743:G746)</f>
        <v>42324.73</v>
      </c>
      <c r="H742" s="557"/>
      <c r="I742" s="96">
        <f t="shared" si="10"/>
        <v>33.0661953125</v>
      </c>
    </row>
    <row r="743" spans="1:9" ht="16.5" customHeight="1">
      <c r="A743" s="71"/>
      <c r="B743" s="62"/>
      <c r="C743" s="8">
        <v>4210</v>
      </c>
      <c r="D743" s="170" t="s">
        <v>334</v>
      </c>
      <c r="E743" s="26">
        <v>55000</v>
      </c>
      <c r="F743" s="127"/>
      <c r="G743" s="26">
        <v>1566.76</v>
      </c>
      <c r="H743" s="241"/>
      <c r="I743" s="96">
        <f t="shared" si="10"/>
        <v>2.8486545454545453</v>
      </c>
    </row>
    <row r="744" spans="1:9" ht="16.5" customHeight="1">
      <c r="A744" s="71"/>
      <c r="B744" s="62"/>
      <c r="C744" s="2">
        <v>4270</v>
      </c>
      <c r="D744" s="170" t="s">
        <v>335</v>
      </c>
      <c r="E744" s="26">
        <v>3000</v>
      </c>
      <c r="F744" s="127"/>
      <c r="G744" s="26">
        <v>0</v>
      </c>
      <c r="H744" s="241"/>
      <c r="I744" s="96"/>
    </row>
    <row r="745" spans="1:9" ht="16.5" customHeight="1">
      <c r="A745" s="71"/>
      <c r="B745" s="62"/>
      <c r="C745" s="8">
        <v>4300</v>
      </c>
      <c r="D745" s="170" t="s">
        <v>331</v>
      </c>
      <c r="E745" s="26">
        <v>50000</v>
      </c>
      <c r="F745" s="127"/>
      <c r="G745" s="26">
        <v>40757.97</v>
      </c>
      <c r="H745" s="241"/>
      <c r="I745" s="96">
        <f t="shared" si="10"/>
        <v>81.51594</v>
      </c>
    </row>
    <row r="746" spans="1:9" ht="24" customHeight="1">
      <c r="A746" s="71"/>
      <c r="B746" s="69"/>
      <c r="C746" s="8">
        <v>6060</v>
      </c>
      <c r="D746" s="170" t="s">
        <v>584</v>
      </c>
      <c r="E746" s="26">
        <v>20000</v>
      </c>
      <c r="F746" s="88"/>
      <c r="G746" s="26">
        <v>0</v>
      </c>
      <c r="H746" s="128"/>
      <c r="I746" s="96"/>
    </row>
    <row r="747" spans="1:9" ht="23.25" customHeight="1">
      <c r="A747" s="98"/>
      <c r="B747" s="105">
        <v>71013</v>
      </c>
      <c r="C747" s="24"/>
      <c r="D747" s="175" t="s">
        <v>560</v>
      </c>
      <c r="E747" s="91">
        <f>E748</f>
        <v>332000</v>
      </c>
      <c r="F747" s="239">
        <f>F748</f>
        <v>100000</v>
      </c>
      <c r="G747" s="91">
        <f>G748</f>
        <v>553.5</v>
      </c>
      <c r="H747" s="151">
        <f>H748</f>
        <v>0</v>
      </c>
      <c r="I747" s="96">
        <f t="shared" si="10"/>
        <v>0.16671686746987951</v>
      </c>
    </row>
    <row r="748" spans="1:9" ht="15.75" customHeight="1">
      <c r="A748" s="81"/>
      <c r="B748" s="553"/>
      <c r="C748" s="2">
        <v>4300</v>
      </c>
      <c r="D748" s="170" t="s">
        <v>331</v>
      </c>
      <c r="E748" s="52">
        <v>332000</v>
      </c>
      <c r="F748" s="228">
        <v>100000</v>
      </c>
      <c r="G748" s="52">
        <v>553.5</v>
      </c>
      <c r="H748" s="55">
        <v>0</v>
      </c>
      <c r="I748" s="96">
        <f t="shared" si="10"/>
        <v>0.16671686746987951</v>
      </c>
    </row>
    <row r="749" spans="1:9" ht="20.25" customHeight="1">
      <c r="A749" s="98"/>
      <c r="B749" s="75">
        <v>71014</v>
      </c>
      <c r="C749" s="24"/>
      <c r="D749" s="175" t="s">
        <v>561</v>
      </c>
      <c r="E749" s="91">
        <f>E750</f>
        <v>10000</v>
      </c>
      <c r="F749" s="91">
        <f>F750</f>
        <v>10000</v>
      </c>
      <c r="G749" s="91">
        <f>G750</f>
        <v>4050</v>
      </c>
      <c r="H749" s="28">
        <f>H750</f>
        <v>4050</v>
      </c>
      <c r="I749" s="96">
        <f t="shared" si="10"/>
        <v>40.5</v>
      </c>
    </row>
    <row r="750" spans="1:9" ht="17.25" customHeight="1">
      <c r="A750" s="81"/>
      <c r="B750" s="553"/>
      <c r="C750" s="2">
        <v>4300</v>
      </c>
      <c r="D750" s="170" t="s">
        <v>331</v>
      </c>
      <c r="E750" s="96">
        <v>10000</v>
      </c>
      <c r="F750" s="228">
        <v>10000</v>
      </c>
      <c r="G750" s="52">
        <v>4050</v>
      </c>
      <c r="H750" s="55">
        <v>4050</v>
      </c>
      <c r="I750" s="96">
        <f t="shared" si="10"/>
        <v>40.5</v>
      </c>
    </row>
    <row r="751" spans="1:9" ht="20.25" customHeight="1">
      <c r="A751" s="81"/>
      <c r="B751" s="23">
        <v>71015</v>
      </c>
      <c r="C751" s="24"/>
      <c r="D751" s="175" t="s">
        <v>228</v>
      </c>
      <c r="E751" s="91">
        <f>SUM(E752:E766)</f>
        <v>339200</v>
      </c>
      <c r="F751" s="91">
        <f>SUM(F752:F766)</f>
        <v>339200</v>
      </c>
      <c r="G751" s="91">
        <f>SUM(G752:G766)</f>
        <v>171465.19999999998</v>
      </c>
      <c r="H751" s="28">
        <f>SUM(H752:H766)</f>
        <v>171465.19999999998</v>
      </c>
      <c r="I751" s="96">
        <f t="shared" si="10"/>
        <v>50.5498820754717</v>
      </c>
    </row>
    <row r="752" spans="1:9" ht="16.5" customHeight="1">
      <c r="A752" s="81"/>
      <c r="B752" s="9"/>
      <c r="C752" s="2">
        <v>3020</v>
      </c>
      <c r="D752" s="170" t="s">
        <v>177</v>
      </c>
      <c r="E752" s="52">
        <v>1100</v>
      </c>
      <c r="F752" s="52">
        <v>1100</v>
      </c>
      <c r="G752" s="52">
        <v>0</v>
      </c>
      <c r="H752" s="26">
        <v>0</v>
      </c>
      <c r="I752" s="96"/>
    </row>
    <row r="753" spans="1:9" ht="16.5" customHeight="1">
      <c r="A753" s="81"/>
      <c r="B753" s="9"/>
      <c r="C753" s="2">
        <v>4010</v>
      </c>
      <c r="D753" s="170" t="s">
        <v>378</v>
      </c>
      <c r="E753" s="52">
        <v>78758</v>
      </c>
      <c r="F753" s="52">
        <v>78758</v>
      </c>
      <c r="G753" s="52">
        <v>37505.77</v>
      </c>
      <c r="H753" s="26">
        <v>37505.77</v>
      </c>
      <c r="I753" s="96">
        <f t="shared" si="10"/>
        <v>47.62153685974758</v>
      </c>
    </row>
    <row r="754" spans="1:9" ht="24" customHeight="1">
      <c r="A754" s="81"/>
      <c r="B754" s="9"/>
      <c r="C754" s="2">
        <v>4020</v>
      </c>
      <c r="D754" s="170" t="s">
        <v>107</v>
      </c>
      <c r="E754" s="52">
        <v>149562</v>
      </c>
      <c r="F754" s="52">
        <v>149562</v>
      </c>
      <c r="G754" s="52">
        <v>71666.44</v>
      </c>
      <c r="H754" s="26">
        <v>71666.44</v>
      </c>
      <c r="I754" s="96">
        <f t="shared" si="10"/>
        <v>47.9175459006967</v>
      </c>
    </row>
    <row r="755" spans="1:9" ht="16.5" customHeight="1">
      <c r="A755" s="81"/>
      <c r="B755" s="9"/>
      <c r="C755" s="2">
        <v>4040</v>
      </c>
      <c r="D755" s="170" t="s">
        <v>379</v>
      </c>
      <c r="E755" s="52">
        <v>18782</v>
      </c>
      <c r="F755" s="52">
        <v>18782</v>
      </c>
      <c r="G755" s="52">
        <v>18316.72</v>
      </c>
      <c r="H755" s="26">
        <v>18316.72</v>
      </c>
      <c r="I755" s="96">
        <f t="shared" si="10"/>
        <v>97.52273453306358</v>
      </c>
    </row>
    <row r="756" spans="1:9" ht="16.5" customHeight="1">
      <c r="A756" s="81"/>
      <c r="B756" s="9"/>
      <c r="C756" s="2">
        <v>4110</v>
      </c>
      <c r="D756" s="170" t="s">
        <v>565</v>
      </c>
      <c r="E756" s="52">
        <v>44949</v>
      </c>
      <c r="F756" s="52">
        <v>44949</v>
      </c>
      <c r="G756" s="52">
        <v>23246.26</v>
      </c>
      <c r="H756" s="26">
        <v>23246.26</v>
      </c>
      <c r="I756" s="96">
        <f t="shared" si="10"/>
        <v>51.71696811942424</v>
      </c>
    </row>
    <row r="757" spans="1:9" ht="16.5" customHeight="1">
      <c r="A757" s="81"/>
      <c r="B757" s="9"/>
      <c r="C757" s="2">
        <v>4120</v>
      </c>
      <c r="D757" s="170" t="s">
        <v>566</v>
      </c>
      <c r="E757" s="52">
        <v>6055</v>
      </c>
      <c r="F757" s="52">
        <v>6055</v>
      </c>
      <c r="G757" s="52">
        <v>2686.09</v>
      </c>
      <c r="H757" s="26">
        <v>2686.09</v>
      </c>
      <c r="I757" s="96">
        <f t="shared" si="10"/>
        <v>44.361519405450046</v>
      </c>
    </row>
    <row r="758" spans="1:9" ht="16.5" customHeight="1">
      <c r="A758" s="81"/>
      <c r="B758" s="9"/>
      <c r="C758" s="2">
        <v>4170</v>
      </c>
      <c r="D758" s="170" t="s">
        <v>572</v>
      </c>
      <c r="E758" s="52">
        <v>1000</v>
      </c>
      <c r="F758" s="52">
        <v>1000</v>
      </c>
      <c r="G758" s="52">
        <v>0</v>
      </c>
      <c r="H758" s="26">
        <v>0</v>
      </c>
      <c r="I758" s="96"/>
    </row>
    <row r="759" spans="1:9" ht="16.5" customHeight="1">
      <c r="A759" s="81"/>
      <c r="B759" s="9"/>
      <c r="C759" s="2">
        <v>4210</v>
      </c>
      <c r="D759" s="170" t="s">
        <v>334</v>
      </c>
      <c r="E759" s="52">
        <v>2500</v>
      </c>
      <c r="F759" s="52">
        <v>2500</v>
      </c>
      <c r="G759" s="52">
        <v>416.97</v>
      </c>
      <c r="H759" s="26">
        <v>416.97</v>
      </c>
      <c r="I759" s="96">
        <f t="shared" si="10"/>
        <v>16.678800000000003</v>
      </c>
    </row>
    <row r="760" spans="1:9" ht="16.5" customHeight="1">
      <c r="A760" s="81"/>
      <c r="B760" s="9"/>
      <c r="C760" s="2">
        <v>4270</v>
      </c>
      <c r="D760" s="170" t="s">
        <v>335</v>
      </c>
      <c r="E760" s="52">
        <v>500</v>
      </c>
      <c r="F760" s="52">
        <v>500</v>
      </c>
      <c r="G760" s="52">
        <v>104.55</v>
      </c>
      <c r="H760" s="26">
        <v>104.55</v>
      </c>
      <c r="I760" s="96">
        <f t="shared" si="10"/>
        <v>20.91</v>
      </c>
    </row>
    <row r="761" spans="1:9" ht="16.5" customHeight="1">
      <c r="A761" s="81"/>
      <c r="B761" s="9"/>
      <c r="C761" s="2">
        <v>4280</v>
      </c>
      <c r="D761" s="170" t="s">
        <v>179</v>
      </c>
      <c r="E761" s="52">
        <v>150</v>
      </c>
      <c r="F761" s="52">
        <v>150</v>
      </c>
      <c r="G761" s="52">
        <v>0</v>
      </c>
      <c r="H761" s="26">
        <v>0</v>
      </c>
      <c r="I761" s="96"/>
    </row>
    <row r="762" spans="1:9" ht="16.5" customHeight="1">
      <c r="A762" s="81"/>
      <c r="B762" s="9"/>
      <c r="C762" s="2">
        <v>4300</v>
      </c>
      <c r="D762" s="170" t="s">
        <v>331</v>
      </c>
      <c r="E762" s="52">
        <v>13862</v>
      </c>
      <c r="F762" s="52">
        <v>13862</v>
      </c>
      <c r="G762" s="52">
        <v>6217.99</v>
      </c>
      <c r="H762" s="26">
        <v>6217.99</v>
      </c>
      <c r="I762" s="96">
        <f t="shared" si="10"/>
        <v>44.85636993218872</v>
      </c>
    </row>
    <row r="763" spans="1:9" ht="16.5" customHeight="1">
      <c r="A763" s="81"/>
      <c r="B763" s="9"/>
      <c r="C763" s="2">
        <v>4410</v>
      </c>
      <c r="D763" s="170" t="s">
        <v>569</v>
      </c>
      <c r="E763" s="52">
        <v>9375</v>
      </c>
      <c r="F763" s="52">
        <v>9375</v>
      </c>
      <c r="G763" s="52">
        <v>4399.41</v>
      </c>
      <c r="H763" s="26">
        <v>4399.41</v>
      </c>
      <c r="I763" s="96">
        <f t="shared" si="10"/>
        <v>46.92704</v>
      </c>
    </row>
    <row r="764" spans="1:9" ht="24" customHeight="1">
      <c r="A764" s="81"/>
      <c r="B764" s="9"/>
      <c r="C764" s="13">
        <v>4440</v>
      </c>
      <c r="D764" s="170" t="s">
        <v>567</v>
      </c>
      <c r="E764" s="52">
        <v>5607</v>
      </c>
      <c r="F764" s="52">
        <v>5607</v>
      </c>
      <c r="G764" s="52">
        <v>4205</v>
      </c>
      <c r="H764" s="26">
        <v>4205</v>
      </c>
      <c r="I764" s="96">
        <f t="shared" si="10"/>
        <v>74.99554128767612</v>
      </c>
    </row>
    <row r="765" spans="1:9" ht="15.75" customHeight="1">
      <c r="A765" s="81"/>
      <c r="B765" s="9"/>
      <c r="C765" s="13">
        <v>4550</v>
      </c>
      <c r="D765" s="170" t="s">
        <v>227</v>
      </c>
      <c r="E765" s="52">
        <v>3500</v>
      </c>
      <c r="F765" s="52">
        <v>3500</v>
      </c>
      <c r="G765" s="52">
        <v>1200</v>
      </c>
      <c r="H765" s="26">
        <v>1200</v>
      </c>
      <c r="I765" s="96">
        <f t="shared" si="10"/>
        <v>34.285714285714285</v>
      </c>
    </row>
    <row r="766" spans="1:9" ht="23.25" customHeight="1">
      <c r="A766" s="81"/>
      <c r="B766" s="9"/>
      <c r="C766" s="2">
        <v>4700</v>
      </c>
      <c r="D766" s="170" t="s">
        <v>290</v>
      </c>
      <c r="E766" s="52">
        <v>3500</v>
      </c>
      <c r="F766" s="52">
        <v>3500</v>
      </c>
      <c r="G766" s="52">
        <v>1500</v>
      </c>
      <c r="H766" s="26">
        <v>1500</v>
      </c>
      <c r="I766" s="96">
        <f t="shared" si="10"/>
        <v>42.857142857142854</v>
      </c>
    </row>
    <row r="767" spans="1:9" ht="24" customHeight="1">
      <c r="A767" s="58">
        <v>750</v>
      </c>
      <c r="B767" s="58"/>
      <c r="C767" s="10"/>
      <c r="D767" s="174" t="s">
        <v>251</v>
      </c>
      <c r="E767" s="33">
        <f>E768+E774+E786</f>
        <v>4904537.66</v>
      </c>
      <c r="F767" s="234">
        <f>F768+F774+F786</f>
        <v>167887</v>
      </c>
      <c r="G767" s="33">
        <f>G768+G774+G786</f>
        <v>2418349.37</v>
      </c>
      <c r="H767" s="571">
        <f>H768+H774+H786</f>
        <v>87454.13</v>
      </c>
      <c r="I767" s="132">
        <f t="shared" si="10"/>
        <v>49.308406574657646</v>
      </c>
    </row>
    <row r="768" spans="1:9" ht="20.25" customHeight="1">
      <c r="A768" s="76"/>
      <c r="B768" s="75">
        <v>75011</v>
      </c>
      <c r="C768" s="35"/>
      <c r="D768" s="175" t="s">
        <v>377</v>
      </c>
      <c r="E768" s="91">
        <f>SUM(E769:E773)</f>
        <v>864814.66</v>
      </c>
      <c r="F768" s="232">
        <f>SUM(F769:F773)</f>
        <v>144887</v>
      </c>
      <c r="G768" s="91">
        <f>SUM(G769:G773)</f>
        <v>423240.3</v>
      </c>
      <c r="H768" s="38">
        <f>SUM(H769:H773)</f>
        <v>68412</v>
      </c>
      <c r="I768" s="96">
        <f t="shared" si="10"/>
        <v>48.94000062394871</v>
      </c>
    </row>
    <row r="769" spans="1:9" ht="15.75" customHeight="1">
      <c r="A769" s="81"/>
      <c r="B769" s="78"/>
      <c r="C769" s="2">
        <v>4010</v>
      </c>
      <c r="D769" s="170" t="s">
        <v>378</v>
      </c>
      <c r="E769" s="52">
        <v>661864.26</v>
      </c>
      <c r="F769" s="52">
        <v>109622.26</v>
      </c>
      <c r="G769" s="52">
        <f>258829.29+44794.29</f>
        <v>303623.58</v>
      </c>
      <c r="H769" s="26">
        <v>44794.29</v>
      </c>
      <c r="I769" s="96">
        <f t="shared" si="10"/>
        <v>45.873995371800255</v>
      </c>
    </row>
    <row r="770" spans="1:9" ht="15.75" customHeight="1">
      <c r="A770" s="81"/>
      <c r="B770" s="78"/>
      <c r="C770" s="2">
        <v>4040</v>
      </c>
      <c r="D770" s="170" t="s">
        <v>379</v>
      </c>
      <c r="E770" s="52">
        <v>51378</v>
      </c>
      <c r="F770" s="52">
        <v>6852</v>
      </c>
      <c r="G770" s="52">
        <f>39821.83+6852</f>
        <v>46673.83</v>
      </c>
      <c r="H770" s="26">
        <v>6852</v>
      </c>
      <c r="I770" s="96">
        <f t="shared" si="10"/>
        <v>90.84399937716533</v>
      </c>
    </row>
    <row r="771" spans="1:9" ht="15.75" customHeight="1">
      <c r="A771" s="81"/>
      <c r="B771" s="78"/>
      <c r="C771" s="2">
        <v>4110</v>
      </c>
      <c r="D771" s="170" t="s">
        <v>565</v>
      </c>
      <c r="E771" s="52">
        <v>118538</v>
      </c>
      <c r="F771" s="52">
        <v>15361</v>
      </c>
      <c r="G771" s="52">
        <f>46608.35+8023.19</f>
        <v>54631.54</v>
      </c>
      <c r="H771" s="26">
        <v>8023.19</v>
      </c>
      <c r="I771" s="96">
        <f t="shared" si="10"/>
        <v>46.087786195144176</v>
      </c>
    </row>
    <row r="772" spans="1:9" ht="15.75" customHeight="1">
      <c r="A772" s="81"/>
      <c r="B772" s="78"/>
      <c r="C772" s="2">
        <v>4120</v>
      </c>
      <c r="D772" s="170" t="s">
        <v>566</v>
      </c>
      <c r="E772" s="52">
        <v>15805</v>
      </c>
      <c r="F772" s="52">
        <v>2477</v>
      </c>
      <c r="G772" s="52">
        <f>4577.83+811.46</f>
        <v>5389.29</v>
      </c>
      <c r="H772" s="26">
        <v>811.46</v>
      </c>
      <c r="I772" s="96">
        <f t="shared" si="10"/>
        <v>34.098639670990195</v>
      </c>
    </row>
    <row r="773" spans="1:9" ht="24" customHeight="1">
      <c r="A773" s="81"/>
      <c r="B773" s="78"/>
      <c r="C773" s="13">
        <v>4440</v>
      </c>
      <c r="D773" s="170" t="s">
        <v>567</v>
      </c>
      <c r="E773" s="52">
        <v>17229.4</v>
      </c>
      <c r="F773" s="52">
        <v>10574.74</v>
      </c>
      <c r="G773" s="52">
        <f>4991+7931.06</f>
        <v>12922.060000000001</v>
      </c>
      <c r="H773" s="26">
        <v>7931.06</v>
      </c>
      <c r="I773" s="96">
        <f t="shared" si="10"/>
        <v>75.00005804032642</v>
      </c>
    </row>
    <row r="774" spans="1:9" ht="20.25" customHeight="1">
      <c r="A774" s="98"/>
      <c r="B774" s="46">
        <v>75020</v>
      </c>
      <c r="C774" s="24"/>
      <c r="D774" s="175" t="s">
        <v>562</v>
      </c>
      <c r="E774" s="91">
        <f>SUM(E775:E785)</f>
        <v>4013723.0000000005</v>
      </c>
      <c r="F774" s="52"/>
      <c r="G774" s="91">
        <f>SUM(G775:G785)</f>
        <v>1973141.9400000002</v>
      </c>
      <c r="H774" s="26"/>
      <c r="I774" s="96">
        <f t="shared" si="10"/>
        <v>49.15989319641639</v>
      </c>
    </row>
    <row r="775" spans="1:9" ht="16.5" customHeight="1">
      <c r="A775" s="80"/>
      <c r="B775" s="81"/>
      <c r="C775" s="8">
        <v>4010</v>
      </c>
      <c r="D775" s="170" t="s">
        <v>378</v>
      </c>
      <c r="E775" s="52">
        <v>2094821.78</v>
      </c>
      <c r="F775" s="228"/>
      <c r="G775" s="52">
        <v>1199607.59</v>
      </c>
      <c r="H775" s="55"/>
      <c r="I775" s="96">
        <f t="shared" si="10"/>
        <v>57.265377009780764</v>
      </c>
    </row>
    <row r="776" spans="1:9" ht="16.5" customHeight="1">
      <c r="A776" s="80"/>
      <c r="B776" s="81"/>
      <c r="C776" s="8">
        <v>4040</v>
      </c>
      <c r="D776" s="170" t="s">
        <v>379</v>
      </c>
      <c r="E776" s="52">
        <v>178000</v>
      </c>
      <c r="F776" s="228"/>
      <c r="G776" s="52">
        <v>177804.79</v>
      </c>
      <c r="H776" s="55"/>
      <c r="I776" s="96">
        <f t="shared" si="10"/>
        <v>99.89033146067416</v>
      </c>
    </row>
    <row r="777" spans="1:9" ht="16.5" customHeight="1">
      <c r="A777" s="80"/>
      <c r="B777" s="81"/>
      <c r="C777" s="8">
        <v>4110</v>
      </c>
      <c r="D777" s="170" t="s">
        <v>565</v>
      </c>
      <c r="E777" s="52">
        <v>402300</v>
      </c>
      <c r="F777" s="228"/>
      <c r="G777" s="52">
        <v>200130.61</v>
      </c>
      <c r="H777" s="55"/>
      <c r="I777" s="96">
        <f t="shared" si="10"/>
        <v>49.74660949540144</v>
      </c>
    </row>
    <row r="778" spans="1:9" ht="16.5" customHeight="1">
      <c r="A778" s="80"/>
      <c r="B778" s="81"/>
      <c r="C778" s="8">
        <v>4120</v>
      </c>
      <c r="D778" s="170" t="s">
        <v>566</v>
      </c>
      <c r="E778" s="52">
        <v>54460</v>
      </c>
      <c r="F778" s="228"/>
      <c r="G778" s="52">
        <v>19800.93</v>
      </c>
      <c r="H778" s="55"/>
      <c r="I778" s="96">
        <f t="shared" si="10"/>
        <v>36.35866691149467</v>
      </c>
    </row>
    <row r="779" spans="1:9" ht="16.5" customHeight="1">
      <c r="A779" s="80"/>
      <c r="B779" s="81"/>
      <c r="C779" s="8">
        <v>4300</v>
      </c>
      <c r="D779" s="170" t="s">
        <v>313</v>
      </c>
      <c r="E779" s="52">
        <v>1169799</v>
      </c>
      <c r="F779" s="228"/>
      <c r="G779" s="52">
        <v>329669.48</v>
      </c>
      <c r="H779" s="55"/>
      <c r="I779" s="96">
        <f t="shared" si="10"/>
        <v>28.181720107471453</v>
      </c>
    </row>
    <row r="780" spans="1:9" ht="16.5" customHeight="1">
      <c r="A780" s="80"/>
      <c r="B780" s="81"/>
      <c r="C780" s="8">
        <v>4380</v>
      </c>
      <c r="D780" s="170" t="s">
        <v>307</v>
      </c>
      <c r="E780" s="52">
        <v>3000</v>
      </c>
      <c r="F780" s="228"/>
      <c r="G780" s="52">
        <v>1294.27</v>
      </c>
      <c r="H780" s="55"/>
      <c r="I780" s="96">
        <f aca="true" t="shared" si="11" ref="I780:I843">G780/E780*100</f>
        <v>43.14233333333333</v>
      </c>
    </row>
    <row r="781" spans="1:9" ht="24" customHeight="1">
      <c r="A781" s="80"/>
      <c r="B781" s="81"/>
      <c r="C781" s="8">
        <v>4390</v>
      </c>
      <c r="D781" s="170" t="s">
        <v>261</v>
      </c>
      <c r="E781" s="52">
        <v>36201</v>
      </c>
      <c r="F781" s="228"/>
      <c r="G781" s="52">
        <v>3510.08</v>
      </c>
      <c r="H781" s="55"/>
      <c r="I781" s="96">
        <f t="shared" si="11"/>
        <v>9.69608574348775</v>
      </c>
    </row>
    <row r="782" spans="1:9" ht="24.75" customHeight="1">
      <c r="A782" s="80"/>
      <c r="B782" s="81"/>
      <c r="C782" s="8">
        <v>4440</v>
      </c>
      <c r="D782" s="170" t="s">
        <v>567</v>
      </c>
      <c r="E782" s="52">
        <v>51141.22</v>
      </c>
      <c r="F782" s="228"/>
      <c r="G782" s="52">
        <v>38355.92</v>
      </c>
      <c r="H782" s="55"/>
      <c r="I782" s="96">
        <f t="shared" si="11"/>
        <v>75.00000977684927</v>
      </c>
    </row>
    <row r="783" spans="1:9" ht="15.75" customHeight="1">
      <c r="A783" s="80"/>
      <c r="B783" s="81"/>
      <c r="C783" s="8">
        <v>4580</v>
      </c>
      <c r="D783" s="170" t="s">
        <v>264</v>
      </c>
      <c r="E783" s="52">
        <v>8000</v>
      </c>
      <c r="F783" s="228"/>
      <c r="G783" s="52">
        <v>396.27</v>
      </c>
      <c r="H783" s="55"/>
      <c r="I783" s="96">
        <f t="shared" si="11"/>
        <v>4.953374999999999</v>
      </c>
    </row>
    <row r="784" spans="1:9" ht="24" customHeight="1">
      <c r="A784" s="80"/>
      <c r="B784" s="81"/>
      <c r="C784" s="8">
        <v>4590</v>
      </c>
      <c r="D784" s="170" t="s">
        <v>336</v>
      </c>
      <c r="E784" s="52">
        <v>8000</v>
      </c>
      <c r="F784" s="228"/>
      <c r="G784" s="73">
        <v>2125</v>
      </c>
      <c r="H784" s="55"/>
      <c r="I784" s="96">
        <f t="shared" si="11"/>
        <v>26.5625</v>
      </c>
    </row>
    <row r="785" spans="1:9" ht="24" customHeight="1">
      <c r="A785" s="80"/>
      <c r="B785" s="86"/>
      <c r="C785" s="8">
        <v>4610</v>
      </c>
      <c r="D785" s="170" t="s">
        <v>554</v>
      </c>
      <c r="E785" s="73">
        <v>8000</v>
      </c>
      <c r="F785" s="228"/>
      <c r="G785" s="73">
        <v>447</v>
      </c>
      <c r="H785" s="55"/>
      <c r="I785" s="96">
        <f t="shared" si="11"/>
        <v>5.5875</v>
      </c>
    </row>
    <row r="786" spans="1:9" ht="20.25" customHeight="1">
      <c r="A786" s="81"/>
      <c r="B786" s="105">
        <v>75045</v>
      </c>
      <c r="C786" s="24"/>
      <c r="D786" s="197" t="s">
        <v>367</v>
      </c>
      <c r="E786" s="91">
        <f>SUM(E787:E792)</f>
        <v>26000</v>
      </c>
      <c r="F786" s="91">
        <f>SUM(F787:F792)</f>
        <v>23000</v>
      </c>
      <c r="G786" s="91">
        <f>SUM(G787:G792)</f>
        <v>21967.13</v>
      </c>
      <c r="H786" s="28">
        <f>SUM(H787:H792)</f>
        <v>19042.13</v>
      </c>
      <c r="I786" s="96">
        <f t="shared" si="11"/>
        <v>84.48896153846154</v>
      </c>
    </row>
    <row r="787" spans="1:9" ht="16.5" customHeight="1">
      <c r="A787" s="81"/>
      <c r="B787" s="553"/>
      <c r="C787" s="2">
        <v>3030</v>
      </c>
      <c r="D787" s="170" t="s">
        <v>588</v>
      </c>
      <c r="E787" s="96">
        <v>10</v>
      </c>
      <c r="F787" s="52">
        <v>10</v>
      </c>
      <c r="G787" s="26">
        <v>0</v>
      </c>
      <c r="H787" s="26">
        <v>0</v>
      </c>
      <c r="I787" s="96">
        <f t="shared" si="11"/>
        <v>0</v>
      </c>
    </row>
    <row r="788" spans="1:9" ht="16.5" customHeight="1">
      <c r="A788" s="81"/>
      <c r="B788" s="553"/>
      <c r="C788" s="2">
        <v>4110</v>
      </c>
      <c r="D788" s="170" t="s">
        <v>565</v>
      </c>
      <c r="E788" s="96">
        <v>1684.62</v>
      </c>
      <c r="F788" s="52">
        <v>1684.62</v>
      </c>
      <c r="G788" s="26">
        <v>1684.62</v>
      </c>
      <c r="H788" s="26">
        <v>1684.62</v>
      </c>
      <c r="I788" s="96">
        <f t="shared" si="11"/>
        <v>100</v>
      </c>
    </row>
    <row r="789" spans="1:9" ht="16.5" customHeight="1">
      <c r="A789" s="81"/>
      <c r="B789" s="553"/>
      <c r="C789" s="2">
        <v>4120</v>
      </c>
      <c r="D789" s="170" t="s">
        <v>566</v>
      </c>
      <c r="E789" s="96">
        <v>230</v>
      </c>
      <c r="F789" s="52">
        <v>230</v>
      </c>
      <c r="G789" s="26">
        <v>151.9</v>
      </c>
      <c r="H789" s="26">
        <v>151.9</v>
      </c>
      <c r="I789" s="96">
        <f t="shared" si="11"/>
        <v>66.04347826086958</v>
      </c>
    </row>
    <row r="790" spans="1:9" ht="16.5" customHeight="1">
      <c r="A790" s="81"/>
      <c r="B790" s="553"/>
      <c r="C790" s="2">
        <v>4170</v>
      </c>
      <c r="D790" s="170" t="s">
        <v>572</v>
      </c>
      <c r="E790" s="96">
        <v>18200</v>
      </c>
      <c r="F790" s="52">
        <v>18200</v>
      </c>
      <c r="G790" s="26">
        <v>15200</v>
      </c>
      <c r="H790" s="26">
        <v>15200</v>
      </c>
      <c r="I790" s="96">
        <f t="shared" si="11"/>
        <v>83.51648351648352</v>
      </c>
    </row>
    <row r="791" spans="1:9" ht="16.5" customHeight="1">
      <c r="A791" s="81"/>
      <c r="B791" s="553"/>
      <c r="C791" s="2">
        <v>4210</v>
      </c>
      <c r="D791" s="170" t="s">
        <v>334</v>
      </c>
      <c r="E791" s="96">
        <v>2000</v>
      </c>
      <c r="F791" s="52">
        <v>2000</v>
      </c>
      <c r="G791" s="26">
        <v>1272.39</v>
      </c>
      <c r="H791" s="26">
        <v>1272.39</v>
      </c>
      <c r="I791" s="96">
        <f t="shared" si="11"/>
        <v>63.61950000000001</v>
      </c>
    </row>
    <row r="792" spans="1:9" ht="16.5" customHeight="1">
      <c r="A792" s="81"/>
      <c r="B792" s="553"/>
      <c r="C792" s="2">
        <v>4300</v>
      </c>
      <c r="D792" s="170" t="s">
        <v>331</v>
      </c>
      <c r="E792" s="52">
        <v>3875.38</v>
      </c>
      <c r="F792" s="52">
        <v>875.38</v>
      </c>
      <c r="G792" s="26">
        <f>2925+733.22</f>
        <v>3658.2200000000003</v>
      </c>
      <c r="H792" s="26">
        <v>733.22</v>
      </c>
      <c r="I792" s="96">
        <f t="shared" si="11"/>
        <v>94.39642048005615</v>
      </c>
    </row>
    <row r="793" spans="1:9" ht="24.75" customHeight="1">
      <c r="A793" s="58">
        <v>754</v>
      </c>
      <c r="B793" s="58"/>
      <c r="C793" s="10"/>
      <c r="D793" s="174" t="s">
        <v>252</v>
      </c>
      <c r="E793" s="74">
        <f>E794+E797+E799</f>
        <v>10690000</v>
      </c>
      <c r="F793" s="74">
        <f>F794+F797+F799</f>
        <v>10580000</v>
      </c>
      <c r="G793" s="74">
        <f>G794+G797+G799</f>
        <v>5459640.16</v>
      </c>
      <c r="H793" s="556">
        <f>H794+H797+H799</f>
        <v>5349640.16</v>
      </c>
      <c r="I793" s="132">
        <f t="shared" si="11"/>
        <v>51.07240561272217</v>
      </c>
    </row>
    <row r="794" spans="1:22" s="115" customFormat="1" ht="20.25" customHeight="1">
      <c r="A794" s="97"/>
      <c r="B794" s="46">
        <v>75405</v>
      </c>
      <c r="C794" s="24"/>
      <c r="D794" s="175" t="s">
        <v>563</v>
      </c>
      <c r="E794" s="91">
        <f>SUM(E795:E796)</f>
        <v>100000</v>
      </c>
      <c r="F794" s="52"/>
      <c r="G794" s="91">
        <f>SUM(G795:G796)</f>
        <v>100000</v>
      </c>
      <c r="H794" s="26"/>
      <c r="I794" s="96">
        <f t="shared" si="11"/>
        <v>100</v>
      </c>
      <c r="J794" s="558"/>
      <c r="K794" s="558"/>
      <c r="L794" s="558"/>
      <c r="M794" s="558"/>
      <c r="N794" s="558"/>
      <c r="O794" s="558"/>
      <c r="P794" s="558"/>
      <c r="Q794" s="558"/>
      <c r="R794" s="558"/>
      <c r="S794" s="558"/>
      <c r="T794" s="558"/>
      <c r="U794" s="558"/>
      <c r="V794" s="558"/>
    </row>
    <row r="795" spans="1:9" ht="16.5" customHeight="1">
      <c r="A795" s="80"/>
      <c r="B795" s="81"/>
      <c r="C795" s="8">
        <v>3000</v>
      </c>
      <c r="D795" s="170" t="s">
        <v>543</v>
      </c>
      <c r="E795" s="88">
        <v>37000</v>
      </c>
      <c r="F795" s="228"/>
      <c r="G795" s="88">
        <v>37000</v>
      </c>
      <c r="H795" s="55"/>
      <c r="I795" s="96">
        <f t="shared" si="11"/>
        <v>100</v>
      </c>
    </row>
    <row r="796" spans="1:9" ht="36.75" customHeight="1">
      <c r="A796" s="80"/>
      <c r="B796" s="81"/>
      <c r="C796" s="8">
        <v>6170</v>
      </c>
      <c r="D796" s="170" t="s">
        <v>154</v>
      </c>
      <c r="E796" s="88">
        <v>63000</v>
      </c>
      <c r="F796" s="228"/>
      <c r="G796" s="88">
        <v>63000</v>
      </c>
      <c r="H796" s="55"/>
      <c r="I796" s="96">
        <f t="shared" si="11"/>
        <v>100</v>
      </c>
    </row>
    <row r="797" spans="1:9" ht="20.25" customHeight="1">
      <c r="A797" s="34"/>
      <c r="B797" s="24">
        <v>75406</v>
      </c>
      <c r="C797" s="24"/>
      <c r="D797" s="25" t="s">
        <v>248</v>
      </c>
      <c r="E797" s="211">
        <f>E798</f>
        <v>10000</v>
      </c>
      <c r="F797" s="230"/>
      <c r="G797" s="211">
        <f>G798</f>
        <v>10000</v>
      </c>
      <c r="H797" s="155"/>
      <c r="I797" s="96">
        <f t="shared" si="11"/>
        <v>100</v>
      </c>
    </row>
    <row r="798" spans="1:9" ht="15.75" customHeight="1">
      <c r="A798" s="80"/>
      <c r="B798" s="81"/>
      <c r="C798" s="8">
        <v>3000</v>
      </c>
      <c r="D798" s="170" t="s">
        <v>543</v>
      </c>
      <c r="E798" s="88">
        <v>10000</v>
      </c>
      <c r="F798" s="228"/>
      <c r="G798" s="88">
        <v>10000</v>
      </c>
      <c r="H798" s="55"/>
      <c r="I798" s="96">
        <f t="shared" si="11"/>
        <v>100</v>
      </c>
    </row>
    <row r="799" spans="1:9" ht="20.25" customHeight="1">
      <c r="A799" s="80"/>
      <c r="B799" s="24">
        <v>75411</v>
      </c>
      <c r="C799" s="24"/>
      <c r="D799" s="175" t="s">
        <v>276</v>
      </c>
      <c r="E799" s="91">
        <f>SUM(E800:E829)</f>
        <v>10580000</v>
      </c>
      <c r="F799" s="91">
        <f>SUM(F800:F829)</f>
        <v>10580000</v>
      </c>
      <c r="G799" s="91">
        <f>SUM(G800:G829)</f>
        <v>5349640.16</v>
      </c>
      <c r="H799" s="28">
        <f>SUM(H800:H829)</f>
        <v>5349640.16</v>
      </c>
      <c r="I799" s="96">
        <f t="shared" si="11"/>
        <v>50.563706616257086</v>
      </c>
    </row>
    <row r="800" spans="1:11" ht="16.5" customHeight="1">
      <c r="A800" s="80"/>
      <c r="B800" s="13"/>
      <c r="C800" s="8">
        <v>3020</v>
      </c>
      <c r="D800" s="170" t="s">
        <v>177</v>
      </c>
      <c r="E800" s="52">
        <v>7050</v>
      </c>
      <c r="F800" s="52">
        <v>7050</v>
      </c>
      <c r="G800" s="52">
        <v>1534.84</v>
      </c>
      <c r="H800" s="26">
        <v>1534.84</v>
      </c>
      <c r="I800" s="96">
        <f t="shared" si="11"/>
        <v>21.77078014184397</v>
      </c>
      <c r="K800" s="55"/>
    </row>
    <row r="801" spans="1:11" ht="24" customHeight="1">
      <c r="A801" s="80"/>
      <c r="B801" s="7"/>
      <c r="C801" s="8">
        <v>3070</v>
      </c>
      <c r="D801" s="170" t="s">
        <v>132</v>
      </c>
      <c r="E801" s="52">
        <v>441822</v>
      </c>
      <c r="F801" s="52">
        <v>441822</v>
      </c>
      <c r="G801" s="52">
        <v>214415.99</v>
      </c>
      <c r="H801" s="26">
        <v>214415.99</v>
      </c>
      <c r="I801" s="96">
        <f t="shared" si="11"/>
        <v>48.52994871237738</v>
      </c>
      <c r="K801" s="55"/>
    </row>
    <row r="802" spans="1:11" ht="23.25" customHeight="1">
      <c r="A802" s="80"/>
      <c r="B802" s="7"/>
      <c r="C802" s="8">
        <v>4020</v>
      </c>
      <c r="D802" s="170" t="s">
        <v>107</v>
      </c>
      <c r="E802" s="52">
        <v>189997</v>
      </c>
      <c r="F802" s="52">
        <v>189997</v>
      </c>
      <c r="G802" s="52">
        <v>94469.86</v>
      </c>
      <c r="H802" s="26">
        <v>94469.86</v>
      </c>
      <c r="I802" s="96">
        <f t="shared" si="11"/>
        <v>49.72176402785307</v>
      </c>
      <c r="K802" s="55"/>
    </row>
    <row r="803" spans="1:9" ht="16.5" customHeight="1">
      <c r="A803" s="80"/>
      <c r="B803" s="7"/>
      <c r="C803" s="8">
        <v>4040</v>
      </c>
      <c r="D803" s="170" t="s">
        <v>379</v>
      </c>
      <c r="E803" s="52">
        <v>14661</v>
      </c>
      <c r="F803" s="52">
        <v>14661</v>
      </c>
      <c r="G803" s="52">
        <v>14243.08</v>
      </c>
      <c r="H803" s="26">
        <v>14243.08</v>
      </c>
      <c r="I803" s="96">
        <f t="shared" si="11"/>
        <v>97.1494441034036</v>
      </c>
    </row>
    <row r="804" spans="1:11" ht="23.25" customHeight="1">
      <c r="A804" s="80"/>
      <c r="B804" s="7"/>
      <c r="C804" s="8">
        <v>4050</v>
      </c>
      <c r="D804" s="170" t="s">
        <v>98</v>
      </c>
      <c r="E804" s="52">
        <v>6829212</v>
      </c>
      <c r="F804" s="52">
        <v>6829212</v>
      </c>
      <c r="G804" s="52">
        <v>3290868.58</v>
      </c>
      <c r="H804" s="26">
        <v>3290868.58</v>
      </c>
      <c r="I804" s="96">
        <f t="shared" si="11"/>
        <v>48.188115700610844</v>
      </c>
      <c r="K804" s="55"/>
    </row>
    <row r="805" spans="1:9" ht="27.75" customHeight="1">
      <c r="A805" s="80"/>
      <c r="B805" s="7"/>
      <c r="C805" s="8">
        <v>4060</v>
      </c>
      <c r="D805" s="170" t="s">
        <v>99</v>
      </c>
      <c r="E805" s="52">
        <v>897752</v>
      </c>
      <c r="F805" s="52">
        <v>897752</v>
      </c>
      <c r="G805" s="52">
        <v>532673.72</v>
      </c>
      <c r="H805" s="26">
        <v>532673.72</v>
      </c>
      <c r="I805" s="96">
        <f t="shared" si="11"/>
        <v>59.334172466338146</v>
      </c>
    </row>
    <row r="806" spans="1:11" ht="34.5" customHeight="1">
      <c r="A806" s="80"/>
      <c r="B806" s="7"/>
      <c r="C806" s="8">
        <v>4070</v>
      </c>
      <c r="D806" s="170" t="s">
        <v>133</v>
      </c>
      <c r="E806" s="52">
        <v>543170</v>
      </c>
      <c r="F806" s="52">
        <v>543170</v>
      </c>
      <c r="G806" s="52">
        <v>543169.41</v>
      </c>
      <c r="H806" s="26">
        <v>543169.41</v>
      </c>
      <c r="I806" s="96">
        <f t="shared" si="11"/>
        <v>99.99989137838983</v>
      </c>
      <c r="K806" s="55"/>
    </row>
    <row r="807" spans="1:9" ht="16.5" customHeight="1">
      <c r="A807" s="80"/>
      <c r="B807" s="7"/>
      <c r="C807" s="8">
        <v>4110</v>
      </c>
      <c r="D807" s="170" t="s">
        <v>565</v>
      </c>
      <c r="E807" s="52">
        <v>37992</v>
      </c>
      <c r="F807" s="52">
        <v>37992</v>
      </c>
      <c r="G807" s="52">
        <v>20144.45</v>
      </c>
      <c r="H807" s="26">
        <v>20144.45</v>
      </c>
      <c r="I807" s="96">
        <f t="shared" si="11"/>
        <v>53.022873236470836</v>
      </c>
    </row>
    <row r="808" spans="1:9" ht="16.5" customHeight="1">
      <c r="A808" s="80"/>
      <c r="B808" s="7"/>
      <c r="C808" s="8">
        <v>4120</v>
      </c>
      <c r="D808" s="170" t="s">
        <v>566</v>
      </c>
      <c r="E808" s="52">
        <v>5118</v>
      </c>
      <c r="F808" s="52">
        <v>5118</v>
      </c>
      <c r="G808" s="52">
        <v>2722.2</v>
      </c>
      <c r="H808" s="26">
        <v>2722.2</v>
      </c>
      <c r="I808" s="96">
        <f t="shared" si="11"/>
        <v>53.188745603751464</v>
      </c>
    </row>
    <row r="809" spans="1:9" ht="16.5" customHeight="1">
      <c r="A809" s="80"/>
      <c r="B809" s="7"/>
      <c r="C809" s="8">
        <v>4170</v>
      </c>
      <c r="D809" s="170" t="s">
        <v>572</v>
      </c>
      <c r="E809" s="52">
        <v>5200</v>
      </c>
      <c r="F809" s="52">
        <v>5200</v>
      </c>
      <c r="G809" s="52">
        <v>1730</v>
      </c>
      <c r="H809" s="26">
        <v>1730</v>
      </c>
      <c r="I809" s="96">
        <f t="shared" si="11"/>
        <v>33.26923076923077</v>
      </c>
    </row>
    <row r="810" spans="1:9" ht="24" customHeight="1">
      <c r="A810" s="80"/>
      <c r="B810" s="7"/>
      <c r="C810" s="8">
        <v>4180</v>
      </c>
      <c r="D810" s="170" t="s">
        <v>134</v>
      </c>
      <c r="E810" s="52">
        <v>291786</v>
      </c>
      <c r="F810" s="52">
        <v>291786</v>
      </c>
      <c r="G810" s="52">
        <v>285203.44</v>
      </c>
      <c r="H810" s="26">
        <v>285203.44</v>
      </c>
      <c r="I810" s="96">
        <f t="shared" si="11"/>
        <v>97.7440452934685</v>
      </c>
    </row>
    <row r="811" spans="1:9" ht="16.5" customHeight="1">
      <c r="A811" s="80"/>
      <c r="B811" s="7"/>
      <c r="C811" s="8">
        <v>4210</v>
      </c>
      <c r="D811" s="170" t="s">
        <v>334</v>
      </c>
      <c r="E811" s="52">
        <v>252625</v>
      </c>
      <c r="F811" s="52">
        <v>252625</v>
      </c>
      <c r="G811" s="52">
        <v>97681.89</v>
      </c>
      <c r="H811" s="26">
        <v>97681.89</v>
      </c>
      <c r="I811" s="96">
        <f t="shared" si="11"/>
        <v>38.666755071746664</v>
      </c>
    </row>
    <row r="812" spans="1:9" ht="16.5" customHeight="1">
      <c r="A812" s="80"/>
      <c r="B812" s="7"/>
      <c r="C812" s="8">
        <v>4260</v>
      </c>
      <c r="D812" s="170" t="s">
        <v>579</v>
      </c>
      <c r="E812" s="52">
        <v>208449</v>
      </c>
      <c r="F812" s="52">
        <v>208449</v>
      </c>
      <c r="G812" s="52">
        <v>104610.06</v>
      </c>
      <c r="H812" s="26">
        <v>104610.06</v>
      </c>
      <c r="I812" s="96">
        <f t="shared" si="11"/>
        <v>50.1849661068175</v>
      </c>
    </row>
    <row r="813" spans="1:9" ht="16.5" customHeight="1">
      <c r="A813" s="80"/>
      <c r="B813" s="7"/>
      <c r="C813" s="8">
        <v>4270</v>
      </c>
      <c r="D813" s="170" t="s">
        <v>335</v>
      </c>
      <c r="E813" s="52">
        <v>75410</v>
      </c>
      <c r="F813" s="52">
        <v>75410</v>
      </c>
      <c r="G813" s="52">
        <v>14641.19</v>
      </c>
      <c r="H813" s="26">
        <v>14641.19</v>
      </c>
      <c r="I813" s="96">
        <f t="shared" si="11"/>
        <v>19.415448879458957</v>
      </c>
    </row>
    <row r="814" spans="1:9" ht="16.5" customHeight="1">
      <c r="A814" s="80"/>
      <c r="B814" s="7"/>
      <c r="C814" s="8">
        <v>4280</v>
      </c>
      <c r="D814" s="170" t="s">
        <v>179</v>
      </c>
      <c r="E814" s="52">
        <v>45640</v>
      </c>
      <c r="F814" s="52">
        <v>45640</v>
      </c>
      <c r="G814" s="52">
        <v>14736.1</v>
      </c>
      <c r="H814" s="26">
        <v>14736.1</v>
      </c>
      <c r="I814" s="96">
        <f t="shared" si="11"/>
        <v>32.28768624014023</v>
      </c>
    </row>
    <row r="815" spans="1:9" ht="16.5" customHeight="1">
      <c r="A815" s="80"/>
      <c r="B815" s="7"/>
      <c r="C815" s="8">
        <v>4300</v>
      </c>
      <c r="D815" s="170" t="s">
        <v>331</v>
      </c>
      <c r="E815" s="52">
        <v>142470</v>
      </c>
      <c r="F815" s="52">
        <v>142470</v>
      </c>
      <c r="G815" s="52">
        <v>69430.97</v>
      </c>
      <c r="H815" s="26">
        <v>69430.97</v>
      </c>
      <c r="I815" s="96">
        <f t="shared" si="11"/>
        <v>48.733747455604686</v>
      </c>
    </row>
    <row r="816" spans="1:9" ht="24" customHeight="1">
      <c r="A816" s="80"/>
      <c r="B816" s="7"/>
      <c r="C816" s="19">
        <v>4360</v>
      </c>
      <c r="D816" s="170" t="s">
        <v>90</v>
      </c>
      <c r="E816" s="52">
        <v>30020</v>
      </c>
      <c r="F816" s="52">
        <v>30020</v>
      </c>
      <c r="G816" s="52">
        <v>14908.42</v>
      </c>
      <c r="H816" s="26">
        <v>14908.42</v>
      </c>
      <c r="I816" s="96">
        <f t="shared" si="11"/>
        <v>49.6616255829447</v>
      </c>
    </row>
    <row r="817" spans="1:9" ht="24" customHeight="1">
      <c r="A817" s="80"/>
      <c r="B817" s="7"/>
      <c r="C817" s="19">
        <v>4390</v>
      </c>
      <c r="D817" s="205" t="s">
        <v>261</v>
      </c>
      <c r="E817" s="52">
        <v>500</v>
      </c>
      <c r="F817" s="52">
        <v>500</v>
      </c>
      <c r="G817" s="52">
        <v>0</v>
      </c>
      <c r="H817" s="26">
        <v>0</v>
      </c>
      <c r="I817" s="96"/>
    </row>
    <row r="818" spans="1:9" ht="24" customHeight="1">
      <c r="A818" s="80"/>
      <c r="B818" s="7"/>
      <c r="C818" s="19">
        <v>4400</v>
      </c>
      <c r="D818" s="170" t="s">
        <v>184</v>
      </c>
      <c r="E818" s="52">
        <v>1566</v>
      </c>
      <c r="F818" s="52">
        <v>1566</v>
      </c>
      <c r="G818" s="52">
        <v>936.96</v>
      </c>
      <c r="H818" s="26">
        <v>936.96</v>
      </c>
      <c r="I818" s="96">
        <f t="shared" si="11"/>
        <v>59.83141762452108</v>
      </c>
    </row>
    <row r="819" spans="1:9" ht="16.5" customHeight="1">
      <c r="A819" s="80"/>
      <c r="B819" s="7"/>
      <c r="C819" s="19">
        <v>4410</v>
      </c>
      <c r="D819" s="205" t="s">
        <v>569</v>
      </c>
      <c r="E819" s="52">
        <v>9000</v>
      </c>
      <c r="F819" s="52">
        <v>9000</v>
      </c>
      <c r="G819" s="52">
        <v>4130.3</v>
      </c>
      <c r="H819" s="26">
        <v>4130.3</v>
      </c>
      <c r="I819" s="96">
        <f t="shared" si="11"/>
        <v>45.89222222222222</v>
      </c>
    </row>
    <row r="820" spans="1:9" ht="16.5" customHeight="1">
      <c r="A820" s="80"/>
      <c r="B820" s="7"/>
      <c r="C820" s="19">
        <v>4420</v>
      </c>
      <c r="D820" s="205" t="s">
        <v>570</v>
      </c>
      <c r="E820" s="52">
        <v>1000</v>
      </c>
      <c r="F820" s="52">
        <v>1000</v>
      </c>
      <c r="G820" s="52">
        <v>0</v>
      </c>
      <c r="H820" s="26">
        <v>0</v>
      </c>
      <c r="I820" s="96"/>
    </row>
    <row r="821" spans="1:9" ht="16.5" customHeight="1">
      <c r="A821" s="80"/>
      <c r="B821" s="7"/>
      <c r="C821" s="8">
        <v>4430</v>
      </c>
      <c r="D821" s="170" t="s">
        <v>314</v>
      </c>
      <c r="E821" s="52">
        <v>22967</v>
      </c>
      <c r="F821" s="52">
        <v>22967</v>
      </c>
      <c r="G821" s="52">
        <v>1958</v>
      </c>
      <c r="H821" s="26">
        <v>1958</v>
      </c>
      <c r="I821" s="96">
        <f t="shared" si="11"/>
        <v>8.525275395132146</v>
      </c>
    </row>
    <row r="822" spans="1:9" ht="23.25" customHeight="1">
      <c r="A822" s="80"/>
      <c r="B822" s="7"/>
      <c r="C822" s="8">
        <v>4440</v>
      </c>
      <c r="D822" s="170" t="s">
        <v>567</v>
      </c>
      <c r="E822" s="52">
        <v>6017</v>
      </c>
      <c r="F822" s="52">
        <v>6017</v>
      </c>
      <c r="G822" s="52">
        <v>4513</v>
      </c>
      <c r="H822" s="26">
        <v>4513</v>
      </c>
      <c r="I822" s="96">
        <f t="shared" si="11"/>
        <v>75.00415489446569</v>
      </c>
    </row>
    <row r="823" spans="1:9" ht="16.5" customHeight="1">
      <c r="A823" s="80"/>
      <c r="B823" s="7"/>
      <c r="C823" s="8">
        <v>4480</v>
      </c>
      <c r="D823" s="170" t="s">
        <v>272</v>
      </c>
      <c r="E823" s="52">
        <v>28164</v>
      </c>
      <c r="F823" s="52">
        <v>28164</v>
      </c>
      <c r="G823" s="52">
        <v>12992</v>
      </c>
      <c r="H823" s="26">
        <v>12992</v>
      </c>
      <c r="I823" s="96">
        <f t="shared" si="11"/>
        <v>46.129811106376934</v>
      </c>
    </row>
    <row r="824" spans="1:9" ht="24" customHeight="1">
      <c r="A824" s="80"/>
      <c r="B824" s="7"/>
      <c r="C824" s="8">
        <v>4500</v>
      </c>
      <c r="D824" s="170" t="s">
        <v>624</v>
      </c>
      <c r="E824" s="52">
        <v>670</v>
      </c>
      <c r="F824" s="52">
        <v>670</v>
      </c>
      <c r="G824" s="52">
        <v>335</v>
      </c>
      <c r="H824" s="26">
        <v>335</v>
      </c>
      <c r="I824" s="96">
        <f t="shared" si="11"/>
        <v>50</v>
      </c>
    </row>
    <row r="825" spans="1:9" ht="16.5" customHeight="1">
      <c r="A825" s="80"/>
      <c r="B825" s="7"/>
      <c r="C825" s="8">
        <v>4510</v>
      </c>
      <c r="D825" s="170" t="s">
        <v>226</v>
      </c>
      <c r="E825" s="52">
        <v>1305</v>
      </c>
      <c r="F825" s="52">
        <v>1305</v>
      </c>
      <c r="G825" s="52">
        <v>1304.15</v>
      </c>
      <c r="H825" s="26">
        <v>1304.15</v>
      </c>
      <c r="I825" s="96">
        <f t="shared" si="11"/>
        <v>99.93486590038316</v>
      </c>
    </row>
    <row r="826" spans="1:9" ht="24" customHeight="1">
      <c r="A826" s="80"/>
      <c r="B826" s="7"/>
      <c r="C826" s="8">
        <v>4520</v>
      </c>
      <c r="D826" s="170" t="s">
        <v>289</v>
      </c>
      <c r="E826" s="52">
        <v>6212</v>
      </c>
      <c r="F826" s="52">
        <v>6212</v>
      </c>
      <c r="G826" s="52">
        <v>2700.05</v>
      </c>
      <c r="H826" s="26">
        <v>2700.05</v>
      </c>
      <c r="I826" s="96">
        <f t="shared" si="11"/>
        <v>43.46506761107534</v>
      </c>
    </row>
    <row r="827" spans="1:9" ht="16.5" customHeight="1">
      <c r="A827" s="80"/>
      <c r="B827" s="7"/>
      <c r="C827" s="2">
        <v>4550</v>
      </c>
      <c r="D827" s="170" t="s">
        <v>227</v>
      </c>
      <c r="E827" s="52">
        <v>2000</v>
      </c>
      <c r="F827" s="52">
        <v>2000</v>
      </c>
      <c r="G827" s="52">
        <v>870</v>
      </c>
      <c r="H827" s="26">
        <v>870</v>
      </c>
      <c r="I827" s="96">
        <f t="shared" si="11"/>
        <v>43.5</v>
      </c>
    </row>
    <row r="828" spans="1:9" ht="24" customHeight="1">
      <c r="A828" s="80"/>
      <c r="B828" s="7"/>
      <c r="C828" s="8">
        <v>4610</v>
      </c>
      <c r="D828" s="170" t="s">
        <v>554</v>
      </c>
      <c r="E828" s="52">
        <v>2225</v>
      </c>
      <c r="F828" s="52">
        <v>2225</v>
      </c>
      <c r="G828" s="52">
        <v>2224.5</v>
      </c>
      <c r="H828" s="26">
        <v>2224.5</v>
      </c>
      <c r="I828" s="96">
        <f t="shared" si="11"/>
        <v>99.97752808988764</v>
      </c>
    </row>
    <row r="829" spans="1:9" ht="16.5" customHeight="1">
      <c r="A829" s="80"/>
      <c r="B829" s="7"/>
      <c r="C829" s="2">
        <v>6050</v>
      </c>
      <c r="D829" s="170" t="s">
        <v>553</v>
      </c>
      <c r="E829" s="52">
        <v>480000</v>
      </c>
      <c r="F829" s="52">
        <v>480000</v>
      </c>
      <c r="G829" s="52">
        <v>492</v>
      </c>
      <c r="H829" s="26">
        <v>492</v>
      </c>
      <c r="I829" s="96">
        <f t="shared" si="11"/>
        <v>0.10250000000000001</v>
      </c>
    </row>
    <row r="830" spans="1:9" ht="23.25" customHeight="1">
      <c r="A830" s="58">
        <v>758</v>
      </c>
      <c r="B830" s="58"/>
      <c r="C830" s="10"/>
      <c r="D830" s="174" t="s">
        <v>253</v>
      </c>
      <c r="E830" s="154">
        <f>E831+E837</f>
        <v>281305.29</v>
      </c>
      <c r="F830" s="33"/>
      <c r="G830" s="154">
        <f>G831+G837</f>
        <v>11587</v>
      </c>
      <c r="H830" s="84"/>
      <c r="I830" s="132">
        <f t="shared" si="11"/>
        <v>4.119012479288961</v>
      </c>
    </row>
    <row r="831" spans="1:9" ht="20.25" customHeight="1">
      <c r="A831" s="98"/>
      <c r="B831" s="46">
        <v>75818</v>
      </c>
      <c r="C831" s="24"/>
      <c r="D831" s="175" t="s">
        <v>254</v>
      </c>
      <c r="E831" s="91">
        <f>E832+E836</f>
        <v>258138.28999999998</v>
      </c>
      <c r="F831" s="228"/>
      <c r="G831" s="91">
        <f>G832+G836</f>
        <v>0</v>
      </c>
      <c r="H831" s="55"/>
      <c r="I831" s="96"/>
    </row>
    <row r="832" spans="1:9" ht="16.5" customHeight="1">
      <c r="A832" s="81"/>
      <c r="B832" s="81"/>
      <c r="C832" s="13">
        <v>4810</v>
      </c>
      <c r="D832" s="170" t="s">
        <v>172</v>
      </c>
      <c r="E832" s="88">
        <f>E834+E835</f>
        <v>163653.78999999998</v>
      </c>
      <c r="F832" s="228"/>
      <c r="G832" s="88">
        <f>G834+G835</f>
        <v>0</v>
      </c>
      <c r="H832" s="55"/>
      <c r="I832" s="96"/>
    </row>
    <row r="833" spans="1:9" ht="16.5" customHeight="1">
      <c r="A833" s="81"/>
      <c r="B833" s="80"/>
      <c r="C833" s="13"/>
      <c r="D833" s="199" t="s">
        <v>173</v>
      </c>
      <c r="E833" s="88"/>
      <c r="F833" s="228"/>
      <c r="G833" s="88"/>
      <c r="H833" s="55"/>
      <c r="I833" s="96"/>
    </row>
    <row r="834" spans="1:9" ht="16.5" customHeight="1">
      <c r="A834" s="81"/>
      <c r="B834" s="80"/>
      <c r="C834" s="7"/>
      <c r="D834" s="199" t="s">
        <v>292</v>
      </c>
      <c r="E834" s="127">
        <v>87649</v>
      </c>
      <c r="F834" s="228"/>
      <c r="G834" s="127">
        <v>0</v>
      </c>
      <c r="H834" s="55"/>
      <c r="I834" s="96"/>
    </row>
    <row r="835" spans="1:9" ht="16.5" customHeight="1">
      <c r="A835" s="81"/>
      <c r="B835" s="80"/>
      <c r="C835" s="1" t="s">
        <v>201</v>
      </c>
      <c r="D835" s="199" t="s">
        <v>175</v>
      </c>
      <c r="E835" s="52">
        <v>76004.79</v>
      </c>
      <c r="F835" s="228"/>
      <c r="G835" s="52">
        <v>0</v>
      </c>
      <c r="H835" s="55"/>
      <c r="I835" s="96"/>
    </row>
    <row r="836" spans="1:9" ht="16.5" customHeight="1">
      <c r="A836" s="81"/>
      <c r="B836" s="80"/>
      <c r="C836" s="1">
        <v>6800</v>
      </c>
      <c r="D836" s="199" t="s">
        <v>176</v>
      </c>
      <c r="E836" s="88">
        <v>94484.5</v>
      </c>
      <c r="F836" s="228"/>
      <c r="G836" s="88">
        <v>0</v>
      </c>
      <c r="H836" s="55"/>
      <c r="I836" s="96"/>
    </row>
    <row r="837" spans="1:9" ht="24" customHeight="1">
      <c r="A837" s="98"/>
      <c r="B837" s="46">
        <v>75832</v>
      </c>
      <c r="C837" s="35"/>
      <c r="D837" s="206" t="s">
        <v>136</v>
      </c>
      <c r="E837" s="151">
        <f>E838</f>
        <v>23167</v>
      </c>
      <c r="F837" s="233"/>
      <c r="G837" s="151">
        <f>G838</f>
        <v>11587</v>
      </c>
      <c r="H837" s="551"/>
      <c r="I837" s="96">
        <f t="shared" si="11"/>
        <v>50.01510769629214</v>
      </c>
    </row>
    <row r="838" spans="1:9" ht="24" customHeight="1">
      <c r="A838" s="81"/>
      <c r="B838" s="80"/>
      <c r="C838" s="2">
        <v>2930</v>
      </c>
      <c r="D838" s="170" t="s">
        <v>291</v>
      </c>
      <c r="E838" s="87">
        <v>23167</v>
      </c>
      <c r="F838" s="127"/>
      <c r="G838" s="87">
        <v>11587</v>
      </c>
      <c r="H838" s="241"/>
      <c r="I838" s="96">
        <f t="shared" si="11"/>
        <v>50.01510769629214</v>
      </c>
    </row>
    <row r="839" spans="1:9" ht="24" customHeight="1">
      <c r="A839" s="58">
        <v>801</v>
      </c>
      <c r="B839" s="58"/>
      <c r="C839" s="5"/>
      <c r="D839" s="174" t="s">
        <v>255</v>
      </c>
      <c r="E839" s="33">
        <f>E840+E859+E877+E879+E897+E924+E1012+E928+E953+E956+E973+E996+E1019+E1039+E1063+E1056</f>
        <v>61699475.06</v>
      </c>
      <c r="F839" s="33">
        <f>F840+F859+F877+F879+F897+F924+F1012+F928+F953+F956+F973+F996+F1019+F1039+F1063+F1056</f>
        <v>0</v>
      </c>
      <c r="G839" s="33">
        <f>G840+G859+G877+G879+G897+G924+G1012+G928+G953+G956+G973+G996+G1019+G1039+G1063+G1056</f>
        <v>32416285.76</v>
      </c>
      <c r="H839" s="84">
        <f>H840+H859+H877+H879+H897+H924+H1012+H928+H953+H956+H973+H996+H1019+H1039+H1063</f>
        <v>0</v>
      </c>
      <c r="I839" s="132">
        <f t="shared" si="11"/>
        <v>52.53899766323231</v>
      </c>
    </row>
    <row r="840" spans="1:9" ht="20.25" customHeight="1">
      <c r="A840" s="67"/>
      <c r="B840" s="27">
        <v>80102</v>
      </c>
      <c r="C840" s="24"/>
      <c r="D840" s="175" t="s">
        <v>540</v>
      </c>
      <c r="E840" s="91">
        <f>SUM(E841:E858)</f>
        <v>3207233</v>
      </c>
      <c r="F840" s="167"/>
      <c r="G840" s="91">
        <f>SUM(G841:G858)</f>
        <v>1685930.9899999995</v>
      </c>
      <c r="H840" s="557"/>
      <c r="I840" s="96">
        <f t="shared" si="11"/>
        <v>52.56652666020833</v>
      </c>
    </row>
    <row r="841" spans="1:9" ht="16.5" customHeight="1">
      <c r="A841" s="67"/>
      <c r="B841" s="15"/>
      <c r="C841" s="8">
        <v>3020</v>
      </c>
      <c r="D841" s="170" t="s">
        <v>177</v>
      </c>
      <c r="E841" s="41">
        <v>7350</v>
      </c>
      <c r="F841" s="127"/>
      <c r="G841" s="41">
        <v>2082.55</v>
      </c>
      <c r="H841" s="241"/>
      <c r="I841" s="96">
        <f t="shared" si="11"/>
        <v>28.33401360544218</v>
      </c>
    </row>
    <row r="842" spans="1:9" ht="16.5" customHeight="1">
      <c r="A842" s="67"/>
      <c r="B842" s="17"/>
      <c r="C842" s="8">
        <v>4010</v>
      </c>
      <c r="D842" s="170" t="s">
        <v>378</v>
      </c>
      <c r="E842" s="41">
        <v>2310878</v>
      </c>
      <c r="F842" s="127"/>
      <c r="G842" s="41">
        <v>1134651.51</v>
      </c>
      <c r="H842" s="241"/>
      <c r="I842" s="96">
        <f t="shared" si="11"/>
        <v>49.10045056467715</v>
      </c>
    </row>
    <row r="843" spans="1:9" ht="16.5" customHeight="1">
      <c r="A843" s="67"/>
      <c r="B843" s="17"/>
      <c r="C843" s="8">
        <v>4040</v>
      </c>
      <c r="D843" s="170" t="s">
        <v>379</v>
      </c>
      <c r="E843" s="41">
        <v>190387</v>
      </c>
      <c r="F843" s="127"/>
      <c r="G843" s="41">
        <v>189731.18</v>
      </c>
      <c r="H843" s="241"/>
      <c r="I843" s="96">
        <f t="shared" si="11"/>
        <v>99.6555332034225</v>
      </c>
    </row>
    <row r="844" spans="1:9" ht="16.5" customHeight="1">
      <c r="A844" s="67"/>
      <c r="B844" s="17"/>
      <c r="C844" s="8">
        <v>4110</v>
      </c>
      <c r="D844" s="170" t="s">
        <v>565</v>
      </c>
      <c r="E844" s="41">
        <v>411840</v>
      </c>
      <c r="F844" s="127"/>
      <c r="G844" s="41">
        <v>207866.95</v>
      </c>
      <c r="H844" s="241"/>
      <c r="I844" s="96">
        <f aca="true" t="shared" si="12" ref="I844:I907">G844/E844*100</f>
        <v>50.47274426961928</v>
      </c>
    </row>
    <row r="845" spans="1:9" ht="16.5" customHeight="1">
      <c r="A845" s="67"/>
      <c r="B845" s="17"/>
      <c r="C845" s="8">
        <v>4120</v>
      </c>
      <c r="D845" s="170" t="s">
        <v>566</v>
      </c>
      <c r="E845" s="41">
        <v>54910</v>
      </c>
      <c r="F845" s="127"/>
      <c r="G845" s="41">
        <v>26095.15</v>
      </c>
      <c r="H845" s="241"/>
      <c r="I845" s="96">
        <f t="shared" si="12"/>
        <v>47.523492988526684</v>
      </c>
    </row>
    <row r="846" spans="1:9" ht="16.5" customHeight="1">
      <c r="A846" s="67"/>
      <c r="B846" s="17"/>
      <c r="C846" s="8">
        <v>4170</v>
      </c>
      <c r="D846" s="170" t="s">
        <v>572</v>
      </c>
      <c r="E846" s="41">
        <v>3610</v>
      </c>
      <c r="F846" s="127"/>
      <c r="G846" s="41">
        <v>1400</v>
      </c>
      <c r="H846" s="241"/>
      <c r="I846" s="96">
        <f t="shared" si="12"/>
        <v>38.78116343490305</v>
      </c>
    </row>
    <row r="847" spans="1:9" ht="16.5" customHeight="1">
      <c r="A847" s="67"/>
      <c r="B847" s="17"/>
      <c r="C847" s="8">
        <v>4210</v>
      </c>
      <c r="D847" s="170" t="s">
        <v>334</v>
      </c>
      <c r="E847" s="87">
        <v>18540</v>
      </c>
      <c r="F847" s="127"/>
      <c r="G847" s="87">
        <v>4828.9</v>
      </c>
      <c r="H847" s="241"/>
      <c r="I847" s="96">
        <f t="shared" si="12"/>
        <v>26.045846817691476</v>
      </c>
    </row>
    <row r="848" spans="1:9" ht="24" customHeight="1">
      <c r="A848" s="67"/>
      <c r="B848" s="17"/>
      <c r="C848" s="8">
        <v>4240</v>
      </c>
      <c r="D848" s="170" t="s">
        <v>221</v>
      </c>
      <c r="E848" s="52">
        <v>960</v>
      </c>
      <c r="F848" s="127"/>
      <c r="G848" s="52">
        <v>0</v>
      </c>
      <c r="H848" s="241"/>
      <c r="I848" s="96"/>
    </row>
    <row r="849" spans="1:9" ht="16.5" customHeight="1">
      <c r="A849" s="67"/>
      <c r="B849" s="17"/>
      <c r="C849" s="8">
        <v>4260</v>
      </c>
      <c r="D849" s="170" t="s">
        <v>579</v>
      </c>
      <c r="E849" s="89">
        <v>56580</v>
      </c>
      <c r="F849" s="127"/>
      <c r="G849" s="89">
        <v>18255.8</v>
      </c>
      <c r="H849" s="241"/>
      <c r="I849" s="96">
        <f t="shared" si="12"/>
        <v>32.26546482856133</v>
      </c>
    </row>
    <row r="850" spans="1:9" ht="16.5" customHeight="1">
      <c r="A850" s="67"/>
      <c r="B850" s="17"/>
      <c r="C850" s="8">
        <v>4270</v>
      </c>
      <c r="D850" s="170" t="s">
        <v>335</v>
      </c>
      <c r="E850" s="41">
        <v>15995</v>
      </c>
      <c r="F850" s="127"/>
      <c r="G850" s="41">
        <v>6875.66</v>
      </c>
      <c r="H850" s="241"/>
      <c r="I850" s="96">
        <f t="shared" si="12"/>
        <v>42.98630822131916</v>
      </c>
    </row>
    <row r="851" spans="1:9" ht="16.5" customHeight="1">
      <c r="A851" s="67"/>
      <c r="B851" s="17"/>
      <c r="C851" s="8">
        <v>4280</v>
      </c>
      <c r="D851" s="170" t="s">
        <v>179</v>
      </c>
      <c r="E851" s="41">
        <v>1160</v>
      </c>
      <c r="F851" s="127"/>
      <c r="G851" s="41">
        <v>414</v>
      </c>
      <c r="H851" s="241"/>
      <c r="I851" s="96">
        <f t="shared" si="12"/>
        <v>35.689655172413794</v>
      </c>
    </row>
    <row r="852" spans="1:9" ht="16.5" customHeight="1">
      <c r="A852" s="67"/>
      <c r="B852" s="17"/>
      <c r="C852" s="8">
        <v>4300</v>
      </c>
      <c r="D852" s="170" t="s">
        <v>331</v>
      </c>
      <c r="E852" s="41">
        <v>10633</v>
      </c>
      <c r="F852" s="127"/>
      <c r="G852" s="41">
        <v>3238.41</v>
      </c>
      <c r="H852" s="241"/>
      <c r="I852" s="96">
        <f t="shared" si="12"/>
        <v>30.45622119815668</v>
      </c>
    </row>
    <row r="853" spans="1:9" ht="24" customHeight="1">
      <c r="A853" s="67"/>
      <c r="B853" s="17"/>
      <c r="C853" s="19">
        <v>4360</v>
      </c>
      <c r="D853" s="170" t="s">
        <v>693</v>
      </c>
      <c r="E853" s="41">
        <v>2250</v>
      </c>
      <c r="F853" s="127"/>
      <c r="G853" s="41">
        <v>665.98</v>
      </c>
      <c r="H853" s="241"/>
      <c r="I853" s="96">
        <f t="shared" si="12"/>
        <v>29.59911111111111</v>
      </c>
    </row>
    <row r="854" spans="1:9" ht="16.5" customHeight="1">
      <c r="A854" s="67"/>
      <c r="B854" s="17"/>
      <c r="C854" s="8">
        <v>4410</v>
      </c>
      <c r="D854" s="170" t="s">
        <v>569</v>
      </c>
      <c r="E854" s="41">
        <v>450</v>
      </c>
      <c r="F854" s="127"/>
      <c r="G854" s="41">
        <v>24</v>
      </c>
      <c r="H854" s="241"/>
      <c r="I854" s="96">
        <f t="shared" si="12"/>
        <v>5.333333333333334</v>
      </c>
    </row>
    <row r="855" spans="1:9" ht="16.5" customHeight="1">
      <c r="A855" s="67"/>
      <c r="B855" s="17"/>
      <c r="C855" s="8">
        <v>4430</v>
      </c>
      <c r="D855" s="170" t="s">
        <v>314</v>
      </c>
      <c r="E855" s="41">
        <v>2910</v>
      </c>
      <c r="F855" s="127"/>
      <c r="G855" s="41">
        <v>1605</v>
      </c>
      <c r="H855" s="241"/>
      <c r="I855" s="96">
        <f t="shared" si="12"/>
        <v>55.154639175257735</v>
      </c>
    </row>
    <row r="856" spans="1:9" ht="24" customHeight="1">
      <c r="A856" s="67"/>
      <c r="B856" s="17"/>
      <c r="C856" s="8">
        <v>4440</v>
      </c>
      <c r="D856" s="170" t="s">
        <v>567</v>
      </c>
      <c r="E856" s="41">
        <v>116580</v>
      </c>
      <c r="F856" s="127"/>
      <c r="G856" s="41">
        <v>87435</v>
      </c>
      <c r="H856" s="241"/>
      <c r="I856" s="96">
        <f t="shared" si="12"/>
        <v>75</v>
      </c>
    </row>
    <row r="857" spans="1:9" ht="24" customHeight="1">
      <c r="A857" s="67"/>
      <c r="B857" s="17"/>
      <c r="C857" s="8">
        <v>4520</v>
      </c>
      <c r="D857" s="170" t="s">
        <v>289</v>
      </c>
      <c r="E857" s="41">
        <v>1000</v>
      </c>
      <c r="F857" s="127"/>
      <c r="G857" s="41">
        <v>220.9</v>
      </c>
      <c r="H857" s="241"/>
      <c r="I857" s="96">
        <f t="shared" si="12"/>
        <v>22.09</v>
      </c>
    </row>
    <row r="858" spans="1:9" ht="24" customHeight="1">
      <c r="A858" s="67"/>
      <c r="B858" s="17"/>
      <c r="C858" s="2">
        <v>4700</v>
      </c>
      <c r="D858" s="170" t="s">
        <v>290</v>
      </c>
      <c r="E858" s="41">
        <v>1200</v>
      </c>
      <c r="F858" s="127"/>
      <c r="G858" s="41">
        <v>540</v>
      </c>
      <c r="H858" s="241"/>
      <c r="I858" s="96">
        <f t="shared" si="12"/>
        <v>45</v>
      </c>
    </row>
    <row r="859" spans="1:9" ht="20.25" customHeight="1">
      <c r="A859" s="67"/>
      <c r="B859" s="23">
        <v>80111</v>
      </c>
      <c r="C859" s="24"/>
      <c r="D859" s="175" t="s">
        <v>541</v>
      </c>
      <c r="E859" s="38">
        <f>SUM(E860:E876)</f>
        <v>1622103</v>
      </c>
      <c r="F859" s="127"/>
      <c r="G859" s="38">
        <f>SUM(G860:G876)</f>
        <v>919411.1900000001</v>
      </c>
      <c r="H859" s="241"/>
      <c r="I859" s="96">
        <f t="shared" si="12"/>
        <v>56.680197866596636</v>
      </c>
    </row>
    <row r="860" spans="1:9" ht="16.5" customHeight="1">
      <c r="A860" s="67"/>
      <c r="B860" s="15"/>
      <c r="C860" s="8">
        <v>3020</v>
      </c>
      <c r="D860" s="170" t="s">
        <v>177</v>
      </c>
      <c r="E860" s="41">
        <v>2460</v>
      </c>
      <c r="F860" s="127"/>
      <c r="G860" s="41">
        <v>720</v>
      </c>
      <c r="H860" s="241"/>
      <c r="I860" s="96">
        <f t="shared" si="12"/>
        <v>29.268292682926827</v>
      </c>
    </row>
    <row r="861" spans="1:9" ht="16.5" customHeight="1">
      <c r="A861" s="67"/>
      <c r="B861" s="17"/>
      <c r="C861" s="8">
        <v>4010</v>
      </c>
      <c r="D861" s="170" t="s">
        <v>378</v>
      </c>
      <c r="E861" s="41">
        <v>1103219</v>
      </c>
      <c r="F861" s="127"/>
      <c r="G861" s="41">
        <v>608336.22</v>
      </c>
      <c r="H861" s="241"/>
      <c r="I861" s="96">
        <f t="shared" si="12"/>
        <v>55.141927396101764</v>
      </c>
    </row>
    <row r="862" spans="1:9" ht="16.5" customHeight="1">
      <c r="A862" s="67"/>
      <c r="B862" s="17"/>
      <c r="C862" s="8">
        <v>4040</v>
      </c>
      <c r="D862" s="170" t="s">
        <v>379</v>
      </c>
      <c r="E862" s="41">
        <v>106193</v>
      </c>
      <c r="F862" s="127"/>
      <c r="G862" s="41">
        <v>105349.77</v>
      </c>
      <c r="H862" s="241"/>
      <c r="I862" s="96">
        <f t="shared" si="12"/>
        <v>99.2059457779703</v>
      </c>
    </row>
    <row r="863" spans="1:9" ht="16.5" customHeight="1">
      <c r="A863" s="67"/>
      <c r="B863" s="17"/>
      <c r="C863" s="2">
        <v>4110</v>
      </c>
      <c r="D863" s="170" t="s">
        <v>565</v>
      </c>
      <c r="E863" s="41">
        <v>205845</v>
      </c>
      <c r="F863" s="88"/>
      <c r="G863" s="41">
        <v>110835.32</v>
      </c>
      <c r="H863" s="128"/>
      <c r="I863" s="96">
        <f t="shared" si="12"/>
        <v>53.844067137895024</v>
      </c>
    </row>
    <row r="864" spans="1:9" ht="16.5" customHeight="1">
      <c r="A864" s="67"/>
      <c r="B864" s="17"/>
      <c r="C864" s="19">
        <v>4120</v>
      </c>
      <c r="D864" s="205" t="s">
        <v>566</v>
      </c>
      <c r="E864" s="89">
        <v>34465</v>
      </c>
      <c r="F864" s="127"/>
      <c r="G864" s="89">
        <v>13626.87</v>
      </c>
      <c r="H864" s="241"/>
      <c r="I864" s="250">
        <f t="shared" si="12"/>
        <v>39.5382852168867</v>
      </c>
    </row>
    <row r="865" spans="1:9" ht="16.5" customHeight="1">
      <c r="A865" s="67"/>
      <c r="B865" s="17"/>
      <c r="C865" s="8">
        <v>4210</v>
      </c>
      <c r="D865" s="170" t="s">
        <v>334</v>
      </c>
      <c r="E865" s="41">
        <v>9731</v>
      </c>
      <c r="F865" s="127"/>
      <c r="G865" s="41">
        <v>2780.85</v>
      </c>
      <c r="H865" s="241"/>
      <c r="I865" s="96">
        <f t="shared" si="12"/>
        <v>28.5772274175316</v>
      </c>
    </row>
    <row r="866" spans="1:9" ht="23.25" customHeight="1">
      <c r="A866" s="67"/>
      <c r="B866" s="17"/>
      <c r="C866" s="8">
        <v>4240</v>
      </c>
      <c r="D866" s="170" t="s">
        <v>221</v>
      </c>
      <c r="E866" s="41">
        <v>563</v>
      </c>
      <c r="F866" s="127"/>
      <c r="G866" s="41">
        <v>0</v>
      </c>
      <c r="H866" s="241"/>
      <c r="I866" s="96"/>
    </row>
    <row r="867" spans="1:9" ht="16.5" customHeight="1">
      <c r="A867" s="67"/>
      <c r="B867" s="17"/>
      <c r="C867" s="8">
        <v>4260</v>
      </c>
      <c r="D867" s="170" t="s">
        <v>579</v>
      </c>
      <c r="E867" s="41">
        <v>57150</v>
      </c>
      <c r="F867" s="127"/>
      <c r="G867" s="41">
        <v>17463.92</v>
      </c>
      <c r="H867" s="241"/>
      <c r="I867" s="96">
        <f t="shared" si="12"/>
        <v>30.558040244969376</v>
      </c>
    </row>
    <row r="868" spans="1:9" ht="16.5" customHeight="1">
      <c r="A868" s="67"/>
      <c r="B868" s="17"/>
      <c r="C868" s="8">
        <v>4270</v>
      </c>
      <c r="D868" s="170" t="s">
        <v>335</v>
      </c>
      <c r="E868" s="41">
        <v>9050</v>
      </c>
      <c r="F868" s="127"/>
      <c r="G868" s="41">
        <v>2870.7</v>
      </c>
      <c r="H868" s="241"/>
      <c r="I868" s="96">
        <f t="shared" si="12"/>
        <v>31.720441988950277</v>
      </c>
    </row>
    <row r="869" spans="1:9" ht="16.5" customHeight="1">
      <c r="A869" s="67"/>
      <c r="B869" s="17"/>
      <c r="C869" s="8">
        <v>4280</v>
      </c>
      <c r="D869" s="170" t="s">
        <v>179</v>
      </c>
      <c r="E869" s="41">
        <v>1080</v>
      </c>
      <c r="F869" s="127"/>
      <c r="G869" s="41">
        <v>567</v>
      </c>
      <c r="H869" s="241"/>
      <c r="I869" s="96">
        <f t="shared" si="12"/>
        <v>52.5</v>
      </c>
    </row>
    <row r="870" spans="1:9" ht="16.5" customHeight="1">
      <c r="A870" s="67"/>
      <c r="B870" s="17"/>
      <c r="C870" s="8">
        <v>4300</v>
      </c>
      <c r="D870" s="170" t="s">
        <v>331</v>
      </c>
      <c r="E870" s="41">
        <v>18467</v>
      </c>
      <c r="F870" s="127"/>
      <c r="G870" s="41">
        <v>4094.73</v>
      </c>
      <c r="H870" s="241"/>
      <c r="I870" s="96">
        <f t="shared" si="12"/>
        <v>22.173227920073646</v>
      </c>
    </row>
    <row r="871" spans="1:22" s="53" customFormat="1" ht="24" customHeight="1">
      <c r="A871" s="67"/>
      <c r="B871" s="17"/>
      <c r="C871" s="19">
        <v>4360</v>
      </c>
      <c r="D871" s="170" t="s">
        <v>693</v>
      </c>
      <c r="E871" s="41">
        <v>2630</v>
      </c>
      <c r="F871" s="127"/>
      <c r="G871" s="41">
        <v>1008.31</v>
      </c>
      <c r="H871" s="241"/>
      <c r="I871" s="96">
        <f t="shared" si="12"/>
        <v>38.33878326996197</v>
      </c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</row>
    <row r="872" spans="1:9" ht="16.5" customHeight="1">
      <c r="A872" s="67"/>
      <c r="B872" s="17"/>
      <c r="C872" s="19">
        <v>4410</v>
      </c>
      <c r="D872" s="170" t="s">
        <v>569</v>
      </c>
      <c r="E872" s="41">
        <v>300</v>
      </c>
      <c r="F872" s="127"/>
      <c r="G872" s="41">
        <v>0</v>
      </c>
      <c r="H872" s="241"/>
      <c r="I872" s="96"/>
    </row>
    <row r="873" spans="1:9" ht="16.5" customHeight="1">
      <c r="A873" s="67"/>
      <c r="B873" s="17"/>
      <c r="C873" s="8">
        <v>4430</v>
      </c>
      <c r="D873" s="170" t="s">
        <v>314</v>
      </c>
      <c r="E873" s="41">
        <v>2310</v>
      </c>
      <c r="F873" s="127"/>
      <c r="G873" s="41">
        <v>995</v>
      </c>
      <c r="H873" s="241"/>
      <c r="I873" s="96">
        <f t="shared" si="12"/>
        <v>43.073593073593074</v>
      </c>
    </row>
    <row r="874" spans="1:9" ht="24" customHeight="1">
      <c r="A874" s="67"/>
      <c r="B874" s="17"/>
      <c r="C874" s="8">
        <v>4440</v>
      </c>
      <c r="D874" s="170" t="s">
        <v>567</v>
      </c>
      <c r="E874" s="41">
        <v>67200</v>
      </c>
      <c r="F874" s="127"/>
      <c r="G874" s="41">
        <v>50402.5</v>
      </c>
      <c r="H874" s="241"/>
      <c r="I874" s="96">
        <f t="shared" si="12"/>
        <v>75.00372023809524</v>
      </c>
    </row>
    <row r="875" spans="1:9" ht="24" customHeight="1">
      <c r="A875" s="67"/>
      <c r="B875" s="17"/>
      <c r="C875" s="8">
        <v>4520</v>
      </c>
      <c r="D875" s="170" t="s">
        <v>289</v>
      </c>
      <c r="E875" s="41">
        <v>1000</v>
      </c>
      <c r="F875" s="127"/>
      <c r="G875" s="41">
        <v>200</v>
      </c>
      <c r="H875" s="241"/>
      <c r="I875" s="96">
        <f t="shared" si="12"/>
        <v>20</v>
      </c>
    </row>
    <row r="876" spans="1:9" ht="24" customHeight="1">
      <c r="A876" s="67"/>
      <c r="B876" s="17"/>
      <c r="C876" s="2">
        <v>4700</v>
      </c>
      <c r="D876" s="170" t="s">
        <v>290</v>
      </c>
      <c r="E876" s="41">
        <v>440</v>
      </c>
      <c r="F876" s="127"/>
      <c r="G876" s="41">
        <v>160</v>
      </c>
      <c r="H876" s="241"/>
      <c r="I876" s="96">
        <f t="shared" si="12"/>
        <v>36.36363636363637</v>
      </c>
    </row>
    <row r="877" spans="1:9" ht="20.25" customHeight="1">
      <c r="A877" s="83"/>
      <c r="B877" s="23">
        <v>80113</v>
      </c>
      <c r="C877" s="24"/>
      <c r="D877" s="175" t="s">
        <v>224</v>
      </c>
      <c r="E877" s="38">
        <f>E878</f>
        <v>108800</v>
      </c>
      <c r="F877" s="233"/>
      <c r="G877" s="38">
        <f>G878</f>
        <v>47260.56</v>
      </c>
      <c r="H877" s="551"/>
      <c r="I877" s="96">
        <f t="shared" si="12"/>
        <v>43.43801470588235</v>
      </c>
    </row>
    <row r="878" spans="1:9" ht="16.5" customHeight="1">
      <c r="A878" s="67"/>
      <c r="B878" s="9"/>
      <c r="C878" s="2">
        <v>4300</v>
      </c>
      <c r="D878" s="170" t="s">
        <v>331</v>
      </c>
      <c r="E878" s="41">
        <v>108800</v>
      </c>
      <c r="F878" s="127"/>
      <c r="G878" s="41">
        <v>47260.56</v>
      </c>
      <c r="H878" s="241"/>
      <c r="I878" s="96">
        <f t="shared" si="12"/>
        <v>43.43801470588235</v>
      </c>
    </row>
    <row r="879" spans="1:9" ht="24" customHeight="1">
      <c r="A879" s="67"/>
      <c r="B879" s="23">
        <v>80114</v>
      </c>
      <c r="C879" s="24"/>
      <c r="D879" s="175" t="s">
        <v>542</v>
      </c>
      <c r="E879" s="38">
        <f>SUM(E880:E896)</f>
        <v>1394037</v>
      </c>
      <c r="F879" s="127"/>
      <c r="G879" s="38">
        <f>SUM(G880:G896)</f>
        <v>748038.6</v>
      </c>
      <c r="H879" s="241"/>
      <c r="I879" s="96">
        <f t="shared" si="12"/>
        <v>53.659881337439394</v>
      </c>
    </row>
    <row r="880" spans="1:9" ht="16.5" customHeight="1">
      <c r="A880" s="67"/>
      <c r="B880" s="15"/>
      <c r="C880" s="8">
        <v>3020</v>
      </c>
      <c r="D880" s="170" t="s">
        <v>177</v>
      </c>
      <c r="E880" s="41">
        <v>6000</v>
      </c>
      <c r="F880" s="127"/>
      <c r="G880" s="41">
        <v>212.54</v>
      </c>
      <c r="H880" s="241"/>
      <c r="I880" s="96">
        <f t="shared" si="12"/>
        <v>3.5423333333333336</v>
      </c>
    </row>
    <row r="881" spans="1:9" ht="16.5" customHeight="1">
      <c r="A881" s="67"/>
      <c r="B881" s="17"/>
      <c r="C881" s="8">
        <v>4010</v>
      </c>
      <c r="D881" s="170" t="s">
        <v>378</v>
      </c>
      <c r="E881" s="41">
        <v>790951</v>
      </c>
      <c r="F881" s="127"/>
      <c r="G881" s="41">
        <v>366501.65</v>
      </c>
      <c r="H881" s="241"/>
      <c r="I881" s="96">
        <f t="shared" si="12"/>
        <v>46.33683376087773</v>
      </c>
    </row>
    <row r="882" spans="1:9" ht="16.5" customHeight="1">
      <c r="A882" s="67"/>
      <c r="B882" s="17"/>
      <c r="C882" s="8">
        <v>4040</v>
      </c>
      <c r="D882" s="170" t="s">
        <v>379</v>
      </c>
      <c r="E882" s="41">
        <v>57286</v>
      </c>
      <c r="F882" s="127"/>
      <c r="G882" s="41">
        <v>57285.37</v>
      </c>
      <c r="H882" s="241"/>
      <c r="I882" s="96">
        <f t="shared" si="12"/>
        <v>99.99890025486158</v>
      </c>
    </row>
    <row r="883" spans="1:9" ht="16.5" customHeight="1">
      <c r="A883" s="67"/>
      <c r="B883" s="17"/>
      <c r="C883" s="8">
        <v>4110</v>
      </c>
      <c r="D883" s="170" t="s">
        <v>565</v>
      </c>
      <c r="E883" s="41">
        <v>110400</v>
      </c>
      <c r="F883" s="127"/>
      <c r="G883" s="41">
        <v>66389.86</v>
      </c>
      <c r="H883" s="241"/>
      <c r="I883" s="96">
        <f t="shared" si="12"/>
        <v>60.13574275362319</v>
      </c>
    </row>
    <row r="884" spans="1:9" ht="16.5" customHeight="1">
      <c r="A884" s="67"/>
      <c r="B884" s="17"/>
      <c r="C884" s="8">
        <v>4120</v>
      </c>
      <c r="D884" s="170" t="s">
        <v>566</v>
      </c>
      <c r="E884" s="41">
        <v>20600</v>
      </c>
      <c r="F884" s="127"/>
      <c r="G884" s="41">
        <v>4988.29</v>
      </c>
      <c r="H884" s="241"/>
      <c r="I884" s="96">
        <f t="shared" si="12"/>
        <v>24.215</v>
      </c>
    </row>
    <row r="885" spans="1:9" ht="16.5" customHeight="1">
      <c r="A885" s="67"/>
      <c r="B885" s="17"/>
      <c r="C885" s="8">
        <v>4210</v>
      </c>
      <c r="D885" s="170" t="s">
        <v>334</v>
      </c>
      <c r="E885" s="41">
        <v>23000</v>
      </c>
      <c r="F885" s="127"/>
      <c r="G885" s="41">
        <v>12318.01</v>
      </c>
      <c r="H885" s="241"/>
      <c r="I885" s="96">
        <f t="shared" si="12"/>
        <v>53.5565652173913</v>
      </c>
    </row>
    <row r="886" spans="1:9" ht="16.5" customHeight="1">
      <c r="A886" s="67"/>
      <c r="B886" s="17"/>
      <c r="C886" s="8">
        <v>4260</v>
      </c>
      <c r="D886" s="170" t="s">
        <v>579</v>
      </c>
      <c r="E886" s="41">
        <v>280000</v>
      </c>
      <c r="F886" s="127"/>
      <c r="G886" s="41">
        <v>171886.3</v>
      </c>
      <c r="H886" s="241"/>
      <c r="I886" s="96">
        <f t="shared" si="12"/>
        <v>61.38796428571428</v>
      </c>
    </row>
    <row r="887" spans="1:9" ht="16.5" customHeight="1">
      <c r="A887" s="67"/>
      <c r="B887" s="17"/>
      <c r="C887" s="8">
        <v>4270</v>
      </c>
      <c r="D887" s="170" t="s">
        <v>335</v>
      </c>
      <c r="E887" s="41">
        <v>20000</v>
      </c>
      <c r="F887" s="127"/>
      <c r="G887" s="41">
        <v>7599.67</v>
      </c>
      <c r="H887" s="241"/>
      <c r="I887" s="96">
        <f t="shared" si="12"/>
        <v>37.99835</v>
      </c>
    </row>
    <row r="888" spans="1:9" ht="16.5" customHeight="1">
      <c r="A888" s="67"/>
      <c r="B888" s="17"/>
      <c r="C888" s="8">
        <v>4280</v>
      </c>
      <c r="D888" s="170" t="s">
        <v>179</v>
      </c>
      <c r="E888" s="41">
        <v>1000</v>
      </c>
      <c r="F888" s="127"/>
      <c r="G888" s="41">
        <v>120</v>
      </c>
      <c r="H888" s="241"/>
      <c r="I888" s="96">
        <f t="shared" si="12"/>
        <v>12</v>
      </c>
    </row>
    <row r="889" spans="1:9" ht="16.5" customHeight="1">
      <c r="A889" s="67"/>
      <c r="B889" s="17"/>
      <c r="C889" s="8">
        <v>4300</v>
      </c>
      <c r="D889" s="170" t="s">
        <v>331</v>
      </c>
      <c r="E889" s="41">
        <v>30000</v>
      </c>
      <c r="F889" s="127"/>
      <c r="G889" s="41">
        <v>21079.83</v>
      </c>
      <c r="H889" s="241"/>
      <c r="I889" s="96">
        <f t="shared" si="12"/>
        <v>70.26610000000001</v>
      </c>
    </row>
    <row r="890" spans="1:9" ht="24.75" customHeight="1">
      <c r="A890" s="67"/>
      <c r="B890" s="17"/>
      <c r="C890" s="19">
        <v>4360</v>
      </c>
      <c r="D890" s="170" t="s">
        <v>693</v>
      </c>
      <c r="E890" s="41">
        <v>7000</v>
      </c>
      <c r="F890" s="127"/>
      <c r="G890" s="41">
        <v>2587.98</v>
      </c>
      <c r="H890" s="241"/>
      <c r="I890" s="96">
        <f t="shared" si="12"/>
        <v>36.97114285714286</v>
      </c>
    </row>
    <row r="891" spans="1:9" ht="16.5" customHeight="1">
      <c r="A891" s="67"/>
      <c r="B891" s="17"/>
      <c r="C891" s="19">
        <v>4410</v>
      </c>
      <c r="D891" s="170" t="s">
        <v>569</v>
      </c>
      <c r="E891" s="41">
        <v>800</v>
      </c>
      <c r="F891" s="127"/>
      <c r="G891" s="41">
        <v>670</v>
      </c>
      <c r="H891" s="241"/>
      <c r="I891" s="96">
        <f t="shared" si="12"/>
        <v>83.75</v>
      </c>
    </row>
    <row r="892" spans="1:9" ht="16.5" customHeight="1">
      <c r="A892" s="67"/>
      <c r="B892" s="17"/>
      <c r="C892" s="8">
        <v>4430</v>
      </c>
      <c r="D892" s="170" t="s">
        <v>314</v>
      </c>
      <c r="E892" s="41">
        <v>5147</v>
      </c>
      <c r="F892" s="127"/>
      <c r="G892" s="41">
        <v>5147</v>
      </c>
      <c r="H892" s="241"/>
      <c r="I892" s="96">
        <f t="shared" si="12"/>
        <v>100</v>
      </c>
    </row>
    <row r="893" spans="1:9" ht="24" customHeight="1">
      <c r="A893" s="67"/>
      <c r="B893" s="17"/>
      <c r="C893" s="8">
        <v>4440</v>
      </c>
      <c r="D893" s="170" t="s">
        <v>567</v>
      </c>
      <c r="E893" s="41">
        <v>29200</v>
      </c>
      <c r="F893" s="127"/>
      <c r="G893" s="41">
        <v>21900</v>
      </c>
      <c r="H893" s="241"/>
      <c r="I893" s="96">
        <f t="shared" si="12"/>
        <v>75</v>
      </c>
    </row>
    <row r="894" spans="1:9" ht="16.5" customHeight="1">
      <c r="A894" s="67"/>
      <c r="B894" s="17"/>
      <c r="C894" s="8">
        <v>4480</v>
      </c>
      <c r="D894" s="170" t="s">
        <v>272</v>
      </c>
      <c r="E894" s="41">
        <v>600</v>
      </c>
      <c r="F894" s="127"/>
      <c r="G894" s="41">
        <v>520</v>
      </c>
      <c r="H894" s="241"/>
      <c r="I894" s="96">
        <f t="shared" si="12"/>
        <v>86.66666666666667</v>
      </c>
    </row>
    <row r="895" spans="1:9" ht="24" customHeight="1">
      <c r="A895" s="67"/>
      <c r="B895" s="17"/>
      <c r="C895" s="8">
        <v>4520</v>
      </c>
      <c r="D895" s="170" t="s">
        <v>289</v>
      </c>
      <c r="E895" s="41">
        <v>9200</v>
      </c>
      <c r="F895" s="127"/>
      <c r="G895" s="41">
        <v>7578</v>
      </c>
      <c r="H895" s="241"/>
      <c r="I895" s="96">
        <f t="shared" si="12"/>
        <v>82.36956521739131</v>
      </c>
    </row>
    <row r="896" spans="1:9" ht="24" customHeight="1">
      <c r="A896" s="67"/>
      <c r="B896" s="17"/>
      <c r="C896" s="2">
        <v>4700</v>
      </c>
      <c r="D896" s="170" t="s">
        <v>290</v>
      </c>
      <c r="E896" s="41">
        <v>2853</v>
      </c>
      <c r="F896" s="127"/>
      <c r="G896" s="41">
        <v>1254.1</v>
      </c>
      <c r="H896" s="241"/>
      <c r="I896" s="96">
        <f t="shared" si="12"/>
        <v>43.95723799509288</v>
      </c>
    </row>
    <row r="897" spans="1:9" ht="20.25" customHeight="1">
      <c r="A897" s="67"/>
      <c r="B897" s="23">
        <v>80120</v>
      </c>
      <c r="C897" s="24"/>
      <c r="D897" s="175" t="s">
        <v>278</v>
      </c>
      <c r="E897" s="38">
        <f>SUM(E898:E923)</f>
        <v>19116661</v>
      </c>
      <c r="F897" s="127"/>
      <c r="G897" s="38">
        <f>SUM(G898:G923)</f>
        <v>10212018.260000002</v>
      </c>
      <c r="H897" s="241"/>
      <c r="I897" s="96">
        <f t="shared" si="12"/>
        <v>53.419466192343954</v>
      </c>
    </row>
    <row r="898" spans="1:9" ht="24" customHeight="1">
      <c r="A898" s="67"/>
      <c r="B898" s="15"/>
      <c r="C898" s="2">
        <v>2540</v>
      </c>
      <c r="D898" s="170" t="s">
        <v>305</v>
      </c>
      <c r="E898" s="89">
        <v>1480000</v>
      </c>
      <c r="F898" s="88"/>
      <c r="G898" s="89">
        <v>666356.68</v>
      </c>
      <c r="H898" s="128"/>
      <c r="I898" s="96">
        <f t="shared" si="12"/>
        <v>45.024100000000004</v>
      </c>
    </row>
    <row r="899" spans="1:9" ht="47.25" customHeight="1">
      <c r="A899" s="67"/>
      <c r="B899" s="17"/>
      <c r="C899" s="19">
        <v>2590</v>
      </c>
      <c r="D899" s="205" t="s">
        <v>614</v>
      </c>
      <c r="E899" s="89">
        <v>329058</v>
      </c>
      <c r="F899" s="127"/>
      <c r="G899" s="89">
        <v>168302.38</v>
      </c>
      <c r="H899" s="241"/>
      <c r="I899" s="250">
        <f t="shared" si="12"/>
        <v>51.14672185450589</v>
      </c>
    </row>
    <row r="900" spans="1:9" ht="16.5" customHeight="1">
      <c r="A900" s="67"/>
      <c r="B900" s="17"/>
      <c r="C900" s="8">
        <v>3020</v>
      </c>
      <c r="D900" s="170" t="s">
        <v>177</v>
      </c>
      <c r="E900" s="41">
        <v>143385</v>
      </c>
      <c r="F900" s="127"/>
      <c r="G900" s="41">
        <v>6004.17</v>
      </c>
      <c r="H900" s="241"/>
      <c r="I900" s="96">
        <f t="shared" si="12"/>
        <v>4.187446385605189</v>
      </c>
    </row>
    <row r="901" spans="1:9" ht="16.5" customHeight="1">
      <c r="A901" s="67"/>
      <c r="B901" s="17"/>
      <c r="C901" s="8">
        <v>4010</v>
      </c>
      <c r="D901" s="170" t="s">
        <v>378</v>
      </c>
      <c r="E901" s="41">
        <v>11713823</v>
      </c>
      <c r="F901" s="127"/>
      <c r="G901" s="41">
        <v>6037813.68</v>
      </c>
      <c r="H901" s="241"/>
      <c r="I901" s="96">
        <f t="shared" si="12"/>
        <v>51.544347904181244</v>
      </c>
    </row>
    <row r="902" spans="1:9" ht="16.5" customHeight="1">
      <c r="A902" s="67"/>
      <c r="B902" s="17"/>
      <c r="C902" s="8">
        <v>4040</v>
      </c>
      <c r="D902" s="170" t="s">
        <v>379</v>
      </c>
      <c r="E902" s="41">
        <v>999563</v>
      </c>
      <c r="F902" s="127"/>
      <c r="G902" s="41">
        <v>987224.8</v>
      </c>
      <c r="H902" s="241"/>
      <c r="I902" s="96">
        <f t="shared" si="12"/>
        <v>98.76564058493562</v>
      </c>
    </row>
    <row r="903" spans="1:9" ht="16.5" customHeight="1">
      <c r="A903" s="67"/>
      <c r="B903" s="17"/>
      <c r="C903" s="8">
        <v>4110</v>
      </c>
      <c r="D903" s="170" t="s">
        <v>565</v>
      </c>
      <c r="E903" s="41">
        <v>2161600</v>
      </c>
      <c r="F903" s="127"/>
      <c r="G903" s="41">
        <v>1091389.65</v>
      </c>
      <c r="H903" s="241"/>
      <c r="I903" s="96">
        <f t="shared" si="12"/>
        <v>50.4898986861584</v>
      </c>
    </row>
    <row r="904" spans="1:9" ht="16.5" customHeight="1">
      <c r="A904" s="67"/>
      <c r="B904" s="17"/>
      <c r="C904" s="8">
        <v>4120</v>
      </c>
      <c r="D904" s="170" t="s">
        <v>566</v>
      </c>
      <c r="E904" s="41">
        <v>302859</v>
      </c>
      <c r="F904" s="127"/>
      <c r="G904" s="41">
        <v>124270.98</v>
      </c>
      <c r="H904" s="241"/>
      <c r="I904" s="96">
        <f t="shared" si="12"/>
        <v>41.03261913959961</v>
      </c>
    </row>
    <row r="905" spans="1:9" ht="24" customHeight="1">
      <c r="A905" s="67"/>
      <c r="B905" s="17"/>
      <c r="C905" s="8">
        <v>4140</v>
      </c>
      <c r="D905" s="170" t="s">
        <v>220</v>
      </c>
      <c r="E905" s="41">
        <v>5090</v>
      </c>
      <c r="F905" s="127"/>
      <c r="G905" s="41">
        <v>0</v>
      </c>
      <c r="H905" s="241"/>
      <c r="I905" s="96"/>
    </row>
    <row r="906" spans="1:9" ht="16.5" customHeight="1">
      <c r="A906" s="67"/>
      <c r="B906" s="17"/>
      <c r="C906" s="2">
        <v>4170</v>
      </c>
      <c r="D906" s="170" t="s">
        <v>572</v>
      </c>
      <c r="E906" s="41">
        <v>32830</v>
      </c>
      <c r="F906" s="127"/>
      <c r="G906" s="41">
        <v>14732.66</v>
      </c>
      <c r="H906" s="241"/>
      <c r="I906" s="96">
        <f t="shared" si="12"/>
        <v>44.875601583917145</v>
      </c>
    </row>
    <row r="907" spans="1:9" ht="16.5" customHeight="1">
      <c r="A907" s="67"/>
      <c r="B907" s="17"/>
      <c r="C907" s="8">
        <v>4210</v>
      </c>
      <c r="D907" s="170" t="s">
        <v>334</v>
      </c>
      <c r="E907" s="41">
        <v>173852</v>
      </c>
      <c r="F907" s="127"/>
      <c r="G907" s="41">
        <v>90206.41</v>
      </c>
      <c r="H907" s="241"/>
      <c r="I907" s="96">
        <f t="shared" si="12"/>
        <v>51.88689805121598</v>
      </c>
    </row>
    <row r="908" spans="1:9" ht="24" customHeight="1">
      <c r="A908" s="67"/>
      <c r="B908" s="17"/>
      <c r="C908" s="8">
        <v>4240</v>
      </c>
      <c r="D908" s="170" t="s">
        <v>221</v>
      </c>
      <c r="E908" s="41">
        <v>89271</v>
      </c>
      <c r="F908" s="127"/>
      <c r="G908" s="41">
        <v>45208.37</v>
      </c>
      <c r="H908" s="241"/>
      <c r="I908" s="96">
        <f aca="true" t="shared" si="13" ref="I908:I971">G908/E908*100</f>
        <v>50.64172015548163</v>
      </c>
    </row>
    <row r="909" spans="1:9" ht="16.5" customHeight="1">
      <c r="A909" s="67"/>
      <c r="B909" s="17"/>
      <c r="C909" s="8">
        <v>4260</v>
      </c>
      <c r="D909" s="170" t="s">
        <v>579</v>
      </c>
      <c r="E909" s="41">
        <v>566801</v>
      </c>
      <c r="F909" s="127"/>
      <c r="G909" s="41">
        <v>317540.05</v>
      </c>
      <c r="H909" s="241"/>
      <c r="I909" s="96">
        <f t="shared" si="13"/>
        <v>56.02319861820991</v>
      </c>
    </row>
    <row r="910" spans="1:9" ht="16.5" customHeight="1">
      <c r="A910" s="67"/>
      <c r="B910" s="17"/>
      <c r="C910" s="8">
        <v>4270</v>
      </c>
      <c r="D910" s="170" t="s">
        <v>335</v>
      </c>
      <c r="E910" s="41">
        <v>66085</v>
      </c>
      <c r="F910" s="127"/>
      <c r="G910" s="41">
        <v>18140.97</v>
      </c>
      <c r="H910" s="241"/>
      <c r="I910" s="96">
        <f t="shared" si="13"/>
        <v>27.45096466671711</v>
      </c>
    </row>
    <row r="911" spans="1:9" ht="16.5" customHeight="1">
      <c r="A911" s="67"/>
      <c r="B911" s="17"/>
      <c r="C911" s="8">
        <v>4280</v>
      </c>
      <c r="D911" s="170" t="s">
        <v>179</v>
      </c>
      <c r="E911" s="41">
        <v>13610</v>
      </c>
      <c r="F911" s="127"/>
      <c r="G911" s="41">
        <v>2320.35</v>
      </c>
      <c r="H911" s="241"/>
      <c r="I911" s="96">
        <f t="shared" si="13"/>
        <v>17.04886113152094</v>
      </c>
    </row>
    <row r="912" spans="1:9" ht="16.5" customHeight="1">
      <c r="A912" s="67"/>
      <c r="B912" s="17"/>
      <c r="C912" s="8">
        <v>4300</v>
      </c>
      <c r="D912" s="170" t="s">
        <v>331</v>
      </c>
      <c r="E912" s="41">
        <v>234791</v>
      </c>
      <c r="F912" s="127"/>
      <c r="G912" s="41">
        <v>64375.97</v>
      </c>
      <c r="H912" s="241"/>
      <c r="I912" s="96">
        <f t="shared" si="13"/>
        <v>27.418414675179203</v>
      </c>
    </row>
    <row r="913" spans="1:9" ht="24" customHeight="1">
      <c r="A913" s="67"/>
      <c r="B913" s="17"/>
      <c r="C913" s="19">
        <v>4360</v>
      </c>
      <c r="D913" s="170" t="s">
        <v>90</v>
      </c>
      <c r="E913" s="41">
        <v>21971</v>
      </c>
      <c r="F913" s="127"/>
      <c r="G913" s="41">
        <v>5523.14</v>
      </c>
      <c r="H913" s="241"/>
      <c r="I913" s="96">
        <f t="shared" si="13"/>
        <v>25.13831869282236</v>
      </c>
    </row>
    <row r="914" spans="1:9" ht="24" customHeight="1">
      <c r="A914" s="67"/>
      <c r="B914" s="17"/>
      <c r="C914" s="19">
        <v>4390</v>
      </c>
      <c r="D914" s="205" t="s">
        <v>261</v>
      </c>
      <c r="E914" s="41">
        <v>6285</v>
      </c>
      <c r="F914" s="127"/>
      <c r="G914" s="41">
        <v>0</v>
      </c>
      <c r="H914" s="241"/>
      <c r="I914" s="96"/>
    </row>
    <row r="915" spans="1:9" ht="16.5" customHeight="1">
      <c r="A915" s="67"/>
      <c r="B915" s="17"/>
      <c r="C915" s="8">
        <v>4410</v>
      </c>
      <c r="D915" s="170" t="s">
        <v>569</v>
      </c>
      <c r="E915" s="41">
        <v>21485</v>
      </c>
      <c r="F915" s="127"/>
      <c r="G915" s="41">
        <v>13218.69</v>
      </c>
      <c r="H915" s="241"/>
      <c r="I915" s="96">
        <f t="shared" si="13"/>
        <v>61.52520363043984</v>
      </c>
    </row>
    <row r="916" spans="1:9" ht="16.5" customHeight="1">
      <c r="A916" s="67"/>
      <c r="B916" s="17"/>
      <c r="C916" s="8">
        <v>4420</v>
      </c>
      <c r="D916" s="170" t="s">
        <v>570</v>
      </c>
      <c r="E916" s="41">
        <v>6520</v>
      </c>
      <c r="F916" s="127"/>
      <c r="G916" s="41">
        <v>22.89</v>
      </c>
      <c r="H916" s="241"/>
      <c r="I916" s="96">
        <f t="shared" si="13"/>
        <v>0.3510736196319018</v>
      </c>
    </row>
    <row r="917" spans="1:9" ht="16.5" customHeight="1">
      <c r="A917" s="67"/>
      <c r="B917" s="17"/>
      <c r="C917" s="8">
        <v>4430</v>
      </c>
      <c r="D917" s="170" t="s">
        <v>314</v>
      </c>
      <c r="E917" s="41">
        <v>15321</v>
      </c>
      <c r="F917" s="127"/>
      <c r="G917" s="41">
        <v>9841.69</v>
      </c>
      <c r="H917" s="241"/>
      <c r="I917" s="96">
        <f t="shared" si="13"/>
        <v>64.2366033548724</v>
      </c>
    </row>
    <row r="918" spans="1:9" ht="24" customHeight="1">
      <c r="A918" s="67"/>
      <c r="B918" s="17"/>
      <c r="C918" s="8">
        <v>4440</v>
      </c>
      <c r="D918" s="170" t="s">
        <v>567</v>
      </c>
      <c r="E918" s="41">
        <v>686159</v>
      </c>
      <c r="F918" s="127"/>
      <c r="G918" s="41">
        <v>522402.41</v>
      </c>
      <c r="H918" s="241"/>
      <c r="I918" s="96">
        <f t="shared" si="13"/>
        <v>76.13430852032837</v>
      </c>
    </row>
    <row r="919" spans="1:9" ht="16.5" customHeight="1">
      <c r="A919" s="67"/>
      <c r="B919" s="17"/>
      <c r="C919" s="8">
        <v>4480</v>
      </c>
      <c r="D919" s="170" t="s">
        <v>272</v>
      </c>
      <c r="E919" s="41">
        <v>3511</v>
      </c>
      <c r="F919" s="127"/>
      <c r="G919" s="41">
        <v>1740.52</v>
      </c>
      <c r="H919" s="241"/>
      <c r="I919" s="96">
        <f t="shared" si="13"/>
        <v>49.5733409285104</v>
      </c>
    </row>
    <row r="920" spans="1:9" ht="16.5" customHeight="1">
      <c r="A920" s="67"/>
      <c r="B920" s="17"/>
      <c r="C920" s="8">
        <v>4510</v>
      </c>
      <c r="D920" s="170" t="s">
        <v>226</v>
      </c>
      <c r="E920" s="41">
        <v>681</v>
      </c>
      <c r="F920" s="127"/>
      <c r="G920" s="41">
        <v>680.53</v>
      </c>
      <c r="H920" s="241"/>
      <c r="I920" s="96">
        <f t="shared" si="13"/>
        <v>99.9309838472834</v>
      </c>
    </row>
    <row r="921" spans="1:9" ht="24" customHeight="1">
      <c r="A921" s="67"/>
      <c r="B921" s="17"/>
      <c r="C921" s="8">
        <v>4520</v>
      </c>
      <c r="D921" s="170" t="s">
        <v>289</v>
      </c>
      <c r="E921" s="41">
        <v>14673</v>
      </c>
      <c r="F921" s="127"/>
      <c r="G921" s="41">
        <v>7471.72</v>
      </c>
      <c r="H921" s="241"/>
      <c r="I921" s="96">
        <f t="shared" si="13"/>
        <v>50.92155660055885</v>
      </c>
    </row>
    <row r="922" spans="1:9" ht="24" customHeight="1">
      <c r="A922" s="67"/>
      <c r="B922" s="17"/>
      <c r="C922" s="8">
        <v>4700</v>
      </c>
      <c r="D922" s="170" t="s">
        <v>290</v>
      </c>
      <c r="E922" s="41">
        <v>11271</v>
      </c>
      <c r="F922" s="127"/>
      <c r="G922" s="41">
        <v>5515.24</v>
      </c>
      <c r="H922" s="241"/>
      <c r="I922" s="96">
        <f t="shared" si="13"/>
        <v>48.933013929553724</v>
      </c>
    </row>
    <row r="923" spans="1:9" ht="24" customHeight="1">
      <c r="A923" s="67"/>
      <c r="B923" s="17"/>
      <c r="C923" s="2">
        <v>6060</v>
      </c>
      <c r="D923" s="170" t="s">
        <v>584</v>
      </c>
      <c r="E923" s="41">
        <v>16166</v>
      </c>
      <c r="F923" s="127"/>
      <c r="G923" s="41">
        <v>11714.31</v>
      </c>
      <c r="H923" s="241"/>
      <c r="I923" s="96">
        <f t="shared" si="13"/>
        <v>72.46263763454162</v>
      </c>
    </row>
    <row r="924" spans="1:9" ht="20.25" customHeight="1">
      <c r="A924" s="67"/>
      <c r="B924" s="24">
        <v>80123</v>
      </c>
      <c r="C924" s="23"/>
      <c r="D924" s="175" t="s">
        <v>642</v>
      </c>
      <c r="E924" s="38">
        <f>SUM(E925:E927)</f>
        <v>13887</v>
      </c>
      <c r="F924" s="127"/>
      <c r="G924" s="38">
        <f>SUM(G925:G927)</f>
        <v>13886.010000000002</v>
      </c>
      <c r="H924" s="241"/>
      <c r="I924" s="96">
        <f t="shared" si="13"/>
        <v>99.99287103046017</v>
      </c>
    </row>
    <row r="925" spans="1:9" ht="16.5" customHeight="1">
      <c r="A925" s="70"/>
      <c r="B925" s="7"/>
      <c r="C925" s="8">
        <v>4040</v>
      </c>
      <c r="D925" s="170" t="s">
        <v>379</v>
      </c>
      <c r="E925" s="41">
        <v>11687</v>
      </c>
      <c r="F925" s="127"/>
      <c r="G925" s="41">
        <v>11686.78</v>
      </c>
      <c r="H925" s="241"/>
      <c r="I925" s="96">
        <f t="shared" si="13"/>
        <v>99.99811756652691</v>
      </c>
    </row>
    <row r="926" spans="1:9" ht="16.5" customHeight="1">
      <c r="A926" s="70"/>
      <c r="B926" s="7"/>
      <c r="C926" s="8">
        <v>4110</v>
      </c>
      <c r="D926" s="170" t="s">
        <v>565</v>
      </c>
      <c r="E926" s="41">
        <v>2009</v>
      </c>
      <c r="F926" s="127"/>
      <c r="G926" s="41">
        <v>2008.94</v>
      </c>
      <c r="H926" s="241"/>
      <c r="I926" s="96">
        <f t="shared" si="13"/>
        <v>99.99701343952215</v>
      </c>
    </row>
    <row r="927" spans="1:9" ht="16.5" customHeight="1">
      <c r="A927" s="70"/>
      <c r="B927" s="7"/>
      <c r="C927" s="8">
        <v>4120</v>
      </c>
      <c r="D927" s="170" t="s">
        <v>566</v>
      </c>
      <c r="E927" s="41">
        <v>191</v>
      </c>
      <c r="F927" s="127"/>
      <c r="G927" s="41">
        <v>190.29</v>
      </c>
      <c r="H927" s="241"/>
      <c r="I927" s="96">
        <f t="shared" si="13"/>
        <v>99.62827225130889</v>
      </c>
    </row>
    <row r="928" spans="1:9" ht="20.25" customHeight="1">
      <c r="A928" s="67"/>
      <c r="B928" s="24">
        <v>80130</v>
      </c>
      <c r="C928" s="23"/>
      <c r="D928" s="175" t="s">
        <v>288</v>
      </c>
      <c r="E928" s="38">
        <f>SUM(E929:E952)</f>
        <v>28545673</v>
      </c>
      <c r="F928" s="127"/>
      <c r="G928" s="38">
        <f>SUM(G929:G952)</f>
        <v>14648101.41</v>
      </c>
      <c r="H928" s="241"/>
      <c r="I928" s="96">
        <f t="shared" si="13"/>
        <v>51.31461223562675</v>
      </c>
    </row>
    <row r="929" spans="1:9" ht="24" customHeight="1">
      <c r="A929" s="67"/>
      <c r="B929" s="27"/>
      <c r="C929" s="8">
        <v>2540</v>
      </c>
      <c r="D929" s="170" t="s">
        <v>181</v>
      </c>
      <c r="E929" s="89">
        <v>2610000</v>
      </c>
      <c r="F929" s="127"/>
      <c r="G929" s="89">
        <v>1381065.19</v>
      </c>
      <c r="H929" s="241"/>
      <c r="I929" s="96">
        <f t="shared" si="13"/>
        <v>52.91437509578544</v>
      </c>
    </row>
    <row r="930" spans="1:9" ht="16.5" customHeight="1">
      <c r="A930" s="67"/>
      <c r="B930" s="17"/>
      <c r="C930" s="8">
        <v>3020</v>
      </c>
      <c r="D930" s="170" t="s">
        <v>177</v>
      </c>
      <c r="E930" s="41">
        <v>96394</v>
      </c>
      <c r="F930" s="127"/>
      <c r="G930" s="41">
        <v>22768.4</v>
      </c>
      <c r="H930" s="241"/>
      <c r="I930" s="96">
        <f t="shared" si="13"/>
        <v>23.620142332510323</v>
      </c>
    </row>
    <row r="931" spans="1:9" ht="16.5" customHeight="1">
      <c r="A931" s="67"/>
      <c r="B931" s="17"/>
      <c r="C931" s="8">
        <v>4010</v>
      </c>
      <c r="D931" s="170" t="s">
        <v>378</v>
      </c>
      <c r="E931" s="41">
        <v>17797262</v>
      </c>
      <c r="F931" s="127"/>
      <c r="G931" s="41">
        <v>8274935.77</v>
      </c>
      <c r="H931" s="241"/>
      <c r="I931" s="96">
        <f t="shared" si="13"/>
        <v>46.49555515899018</v>
      </c>
    </row>
    <row r="932" spans="1:9" ht="16.5" customHeight="1">
      <c r="A932" s="67"/>
      <c r="B932" s="17"/>
      <c r="C932" s="8">
        <v>4040</v>
      </c>
      <c r="D932" s="170" t="s">
        <v>379</v>
      </c>
      <c r="E932" s="41">
        <v>1527650</v>
      </c>
      <c r="F932" s="127"/>
      <c r="G932" s="41">
        <v>1480738.12</v>
      </c>
      <c r="H932" s="241"/>
      <c r="I932" s="96">
        <f t="shared" si="13"/>
        <v>96.92914738323569</v>
      </c>
    </row>
    <row r="933" spans="1:9" ht="16.5" customHeight="1">
      <c r="A933" s="67"/>
      <c r="B933" s="17"/>
      <c r="C933" s="2">
        <v>4110</v>
      </c>
      <c r="D933" s="170" t="s">
        <v>565</v>
      </c>
      <c r="E933" s="41">
        <v>2925302</v>
      </c>
      <c r="F933" s="88"/>
      <c r="G933" s="41">
        <v>1523663.18</v>
      </c>
      <c r="H933" s="128"/>
      <c r="I933" s="96">
        <f t="shared" si="13"/>
        <v>52.08567115463634</v>
      </c>
    </row>
    <row r="934" spans="1:9" ht="16.5" customHeight="1">
      <c r="A934" s="67"/>
      <c r="B934" s="17"/>
      <c r="C934" s="19">
        <v>4120</v>
      </c>
      <c r="D934" s="205" t="s">
        <v>566</v>
      </c>
      <c r="E934" s="89">
        <v>406746</v>
      </c>
      <c r="F934" s="127"/>
      <c r="G934" s="89">
        <v>171819.5</v>
      </c>
      <c r="H934" s="241"/>
      <c r="I934" s="250">
        <f t="shared" si="13"/>
        <v>42.242455979899</v>
      </c>
    </row>
    <row r="935" spans="1:9" ht="24" customHeight="1">
      <c r="A935" s="67"/>
      <c r="B935" s="17"/>
      <c r="C935" s="8">
        <v>4140</v>
      </c>
      <c r="D935" s="170" t="s">
        <v>220</v>
      </c>
      <c r="E935" s="41">
        <v>4710</v>
      </c>
      <c r="F935" s="127"/>
      <c r="G935" s="41">
        <v>0</v>
      </c>
      <c r="H935" s="241"/>
      <c r="I935" s="96"/>
    </row>
    <row r="936" spans="1:9" ht="16.5" customHeight="1">
      <c r="A936" s="67"/>
      <c r="B936" s="17"/>
      <c r="C936" s="2">
        <v>4170</v>
      </c>
      <c r="D936" s="170" t="s">
        <v>572</v>
      </c>
      <c r="E936" s="41">
        <v>72710</v>
      </c>
      <c r="F936" s="127"/>
      <c r="G936" s="41">
        <v>33034.4</v>
      </c>
      <c r="H936" s="241"/>
      <c r="I936" s="96">
        <f t="shared" si="13"/>
        <v>45.43309035896026</v>
      </c>
    </row>
    <row r="937" spans="1:9" ht="16.5" customHeight="1">
      <c r="A937" s="67"/>
      <c r="B937" s="17"/>
      <c r="C937" s="8">
        <v>4210</v>
      </c>
      <c r="D937" s="170" t="s">
        <v>334</v>
      </c>
      <c r="E937" s="41">
        <v>320778</v>
      </c>
      <c r="F937" s="127"/>
      <c r="G937" s="41">
        <v>144161.01</v>
      </c>
      <c r="H937" s="241"/>
      <c r="I937" s="96">
        <f t="shared" si="13"/>
        <v>44.94105269064587</v>
      </c>
    </row>
    <row r="938" spans="1:9" ht="24" customHeight="1">
      <c r="A938" s="67"/>
      <c r="B938" s="17"/>
      <c r="C938" s="8">
        <v>4240</v>
      </c>
      <c r="D938" s="170" t="s">
        <v>221</v>
      </c>
      <c r="E938" s="41">
        <v>428358</v>
      </c>
      <c r="F938" s="127"/>
      <c r="G938" s="41">
        <v>177693.66</v>
      </c>
      <c r="H938" s="241"/>
      <c r="I938" s="96">
        <f t="shared" si="13"/>
        <v>41.482512291120976</v>
      </c>
    </row>
    <row r="939" spans="1:9" ht="16.5" customHeight="1">
      <c r="A939" s="67"/>
      <c r="B939" s="17"/>
      <c r="C939" s="8">
        <v>4260</v>
      </c>
      <c r="D939" s="170" t="s">
        <v>579</v>
      </c>
      <c r="E939" s="41">
        <v>763778</v>
      </c>
      <c r="F939" s="127"/>
      <c r="G939" s="41">
        <v>426920.08</v>
      </c>
      <c r="H939" s="241"/>
      <c r="I939" s="96">
        <f t="shared" si="13"/>
        <v>55.89583360610021</v>
      </c>
    </row>
    <row r="940" spans="1:9" ht="16.5" customHeight="1">
      <c r="A940" s="67"/>
      <c r="B940" s="17"/>
      <c r="C940" s="8">
        <v>4270</v>
      </c>
      <c r="D940" s="170" t="s">
        <v>335</v>
      </c>
      <c r="E940" s="41">
        <v>130987</v>
      </c>
      <c r="F940" s="127"/>
      <c r="G940" s="41">
        <v>21271.26</v>
      </c>
      <c r="H940" s="241"/>
      <c r="I940" s="96">
        <f t="shared" si="13"/>
        <v>16.239214578545962</v>
      </c>
    </row>
    <row r="941" spans="1:9" ht="16.5" customHeight="1">
      <c r="A941" s="67"/>
      <c r="B941" s="17"/>
      <c r="C941" s="8">
        <v>4280</v>
      </c>
      <c r="D941" s="170" t="s">
        <v>179</v>
      </c>
      <c r="E941" s="41">
        <v>20880</v>
      </c>
      <c r="F941" s="127"/>
      <c r="G941" s="41">
        <v>3185.96</v>
      </c>
      <c r="H941" s="241"/>
      <c r="I941" s="96">
        <f t="shared" si="13"/>
        <v>15.258429118773947</v>
      </c>
    </row>
    <row r="942" spans="1:9" ht="16.5" customHeight="1">
      <c r="A942" s="67"/>
      <c r="B942" s="17"/>
      <c r="C942" s="8">
        <v>4300</v>
      </c>
      <c r="D942" s="170" t="s">
        <v>331</v>
      </c>
      <c r="E942" s="41">
        <v>263954</v>
      </c>
      <c r="F942" s="127"/>
      <c r="G942" s="41">
        <v>111338.91</v>
      </c>
      <c r="H942" s="241"/>
      <c r="I942" s="96">
        <f t="shared" si="13"/>
        <v>42.18117929639256</v>
      </c>
    </row>
    <row r="943" spans="1:9" ht="24.75" customHeight="1">
      <c r="A943" s="67"/>
      <c r="B943" s="17"/>
      <c r="C943" s="19">
        <v>4360</v>
      </c>
      <c r="D943" s="170" t="s">
        <v>90</v>
      </c>
      <c r="E943" s="41">
        <v>41077</v>
      </c>
      <c r="F943" s="127"/>
      <c r="G943" s="41">
        <v>12192.29</v>
      </c>
      <c r="H943" s="241"/>
      <c r="I943" s="96">
        <f t="shared" si="13"/>
        <v>29.68154928548823</v>
      </c>
    </row>
    <row r="944" spans="1:9" ht="24.75" customHeight="1">
      <c r="A944" s="67"/>
      <c r="B944" s="17"/>
      <c r="C944" s="19">
        <v>4390</v>
      </c>
      <c r="D944" s="205" t="s">
        <v>261</v>
      </c>
      <c r="E944" s="41">
        <v>6387</v>
      </c>
      <c r="F944" s="127"/>
      <c r="G944" s="41">
        <v>0</v>
      </c>
      <c r="H944" s="241"/>
      <c r="I944" s="96"/>
    </row>
    <row r="945" spans="1:9" ht="16.5" customHeight="1">
      <c r="A945" s="67"/>
      <c r="B945" s="17"/>
      <c r="C945" s="8">
        <v>4410</v>
      </c>
      <c r="D945" s="170" t="s">
        <v>569</v>
      </c>
      <c r="E945" s="41">
        <v>26391</v>
      </c>
      <c r="F945" s="127"/>
      <c r="G945" s="41">
        <v>22528.09</v>
      </c>
      <c r="H945" s="241"/>
      <c r="I945" s="96">
        <f t="shared" si="13"/>
        <v>85.36277518851124</v>
      </c>
    </row>
    <row r="946" spans="1:9" ht="16.5" customHeight="1">
      <c r="A946" s="67"/>
      <c r="B946" s="17"/>
      <c r="C946" s="8">
        <v>4420</v>
      </c>
      <c r="D946" s="170" t="s">
        <v>570</v>
      </c>
      <c r="E946" s="41">
        <v>4080</v>
      </c>
      <c r="F946" s="127"/>
      <c r="G946" s="41">
        <v>89.26</v>
      </c>
      <c r="H946" s="241"/>
      <c r="I946" s="96">
        <f t="shared" si="13"/>
        <v>2.187745098039216</v>
      </c>
    </row>
    <row r="947" spans="1:9" ht="16.5" customHeight="1">
      <c r="A947" s="67"/>
      <c r="B947" s="17"/>
      <c r="C947" s="8">
        <v>4430</v>
      </c>
      <c r="D947" s="170" t="s">
        <v>314</v>
      </c>
      <c r="E947" s="41">
        <v>21829</v>
      </c>
      <c r="F947" s="127"/>
      <c r="G947" s="41">
        <v>15041.67</v>
      </c>
      <c r="H947" s="241"/>
      <c r="I947" s="96">
        <f t="shared" si="13"/>
        <v>68.90682120115443</v>
      </c>
    </row>
    <row r="948" spans="1:9" ht="23.25" customHeight="1">
      <c r="A948" s="67"/>
      <c r="B948" s="17"/>
      <c r="C948" s="8">
        <v>4440</v>
      </c>
      <c r="D948" s="170" t="s">
        <v>567</v>
      </c>
      <c r="E948" s="41">
        <v>996721</v>
      </c>
      <c r="F948" s="127"/>
      <c r="G948" s="41">
        <v>783354.65</v>
      </c>
      <c r="H948" s="241"/>
      <c r="I948" s="96">
        <f t="shared" si="13"/>
        <v>78.59317201102415</v>
      </c>
    </row>
    <row r="949" spans="1:9" ht="15.75" customHeight="1">
      <c r="A949" s="67"/>
      <c r="B949" s="17"/>
      <c r="C949" s="8">
        <v>4480</v>
      </c>
      <c r="D949" s="170" t="s">
        <v>272</v>
      </c>
      <c r="E949" s="41">
        <v>2919</v>
      </c>
      <c r="F949" s="127"/>
      <c r="G949" s="41">
        <v>1957.48</v>
      </c>
      <c r="H949" s="241"/>
      <c r="I949" s="96">
        <f t="shared" si="13"/>
        <v>67.0599520383693</v>
      </c>
    </row>
    <row r="950" spans="1:9" ht="24" customHeight="1">
      <c r="A950" s="67"/>
      <c r="B950" s="17"/>
      <c r="C950" s="8">
        <v>4520</v>
      </c>
      <c r="D950" s="170" t="s">
        <v>289</v>
      </c>
      <c r="E950" s="41">
        <v>42511</v>
      </c>
      <c r="F950" s="127"/>
      <c r="G950" s="41">
        <v>18861.54</v>
      </c>
      <c r="H950" s="241"/>
      <c r="I950" s="96">
        <f t="shared" si="13"/>
        <v>44.368610477288236</v>
      </c>
    </row>
    <row r="951" spans="1:9" ht="24" customHeight="1">
      <c r="A951" s="67"/>
      <c r="B951" s="17"/>
      <c r="C951" s="2">
        <v>4700</v>
      </c>
      <c r="D951" s="170" t="s">
        <v>290</v>
      </c>
      <c r="E951" s="41">
        <v>10238</v>
      </c>
      <c r="F951" s="127"/>
      <c r="G951" s="41">
        <v>6480.99</v>
      </c>
      <c r="H951" s="241"/>
      <c r="I951" s="96">
        <f t="shared" si="13"/>
        <v>63.303281890994334</v>
      </c>
    </row>
    <row r="952" spans="1:9" ht="24" customHeight="1">
      <c r="A952" s="67"/>
      <c r="B952" s="17"/>
      <c r="C952" s="2">
        <v>6060</v>
      </c>
      <c r="D952" s="170" t="s">
        <v>584</v>
      </c>
      <c r="E952" s="41">
        <v>24011</v>
      </c>
      <c r="F952" s="127"/>
      <c r="G952" s="41">
        <v>15000</v>
      </c>
      <c r="H952" s="241"/>
      <c r="I952" s="96">
        <f t="shared" si="13"/>
        <v>62.47136728999209</v>
      </c>
    </row>
    <row r="953" spans="1:9" ht="20.25" customHeight="1">
      <c r="A953" s="83"/>
      <c r="B953" s="24">
        <v>80132</v>
      </c>
      <c r="C953" s="23"/>
      <c r="D953" s="175" t="s">
        <v>211</v>
      </c>
      <c r="E953" s="38">
        <f>SUM(E954:E955)</f>
        <v>23000</v>
      </c>
      <c r="F953" s="233"/>
      <c r="G953" s="38">
        <f>SUM(G954:G955)</f>
        <v>17700</v>
      </c>
      <c r="H953" s="551"/>
      <c r="I953" s="96">
        <f t="shared" si="13"/>
        <v>76.95652173913044</v>
      </c>
    </row>
    <row r="954" spans="1:9" ht="15.75" customHeight="1">
      <c r="A954" s="83"/>
      <c r="B954" s="30"/>
      <c r="C954" s="8">
        <v>4210</v>
      </c>
      <c r="D954" s="170" t="s">
        <v>334</v>
      </c>
      <c r="E954" s="41">
        <v>3000</v>
      </c>
      <c r="F954" s="127"/>
      <c r="G954" s="41">
        <v>0</v>
      </c>
      <c r="H954" s="241"/>
      <c r="I954" s="96"/>
    </row>
    <row r="955" spans="1:9" ht="15.75" customHeight="1">
      <c r="A955" s="67"/>
      <c r="B955" s="17"/>
      <c r="C955" s="8">
        <v>4300</v>
      </c>
      <c r="D955" s="170" t="s">
        <v>331</v>
      </c>
      <c r="E955" s="41">
        <v>20000</v>
      </c>
      <c r="F955" s="127"/>
      <c r="G955" s="41">
        <v>17700</v>
      </c>
      <c r="H955" s="241"/>
      <c r="I955" s="96">
        <f t="shared" si="13"/>
        <v>88.5</v>
      </c>
    </row>
    <row r="956" spans="1:9" ht="20.25" customHeight="1">
      <c r="A956" s="67"/>
      <c r="B956" s="23">
        <v>80134</v>
      </c>
      <c r="C956" s="23"/>
      <c r="D956" s="175" t="s">
        <v>643</v>
      </c>
      <c r="E956" s="38">
        <f>SUM(E957:E972)</f>
        <v>533944</v>
      </c>
      <c r="F956" s="127"/>
      <c r="G956" s="38">
        <f>SUM(G957:G972)</f>
        <v>280680.97</v>
      </c>
      <c r="H956" s="241"/>
      <c r="I956" s="96">
        <f t="shared" si="13"/>
        <v>52.56749209654945</v>
      </c>
    </row>
    <row r="957" spans="1:9" ht="16.5" customHeight="1">
      <c r="A957" s="67"/>
      <c r="B957" s="15"/>
      <c r="C957" s="8">
        <v>3020</v>
      </c>
      <c r="D957" s="170" t="s">
        <v>177</v>
      </c>
      <c r="E957" s="89">
        <v>350</v>
      </c>
      <c r="F957" s="127"/>
      <c r="G957" s="89">
        <v>104.5</v>
      </c>
      <c r="H957" s="241"/>
      <c r="I957" s="96">
        <f t="shared" si="13"/>
        <v>29.85714285714286</v>
      </c>
    </row>
    <row r="958" spans="1:9" ht="16.5" customHeight="1">
      <c r="A958" s="67"/>
      <c r="B958" s="17"/>
      <c r="C958" s="8">
        <v>4010</v>
      </c>
      <c r="D958" s="170" t="s">
        <v>378</v>
      </c>
      <c r="E958" s="41">
        <v>397630</v>
      </c>
      <c r="F958" s="127"/>
      <c r="G958" s="41">
        <v>183484.16</v>
      </c>
      <c r="H958" s="241"/>
      <c r="I958" s="96">
        <f t="shared" si="13"/>
        <v>46.14444584161155</v>
      </c>
    </row>
    <row r="959" spans="1:9" ht="16.5" customHeight="1">
      <c r="A959" s="67"/>
      <c r="B959" s="17"/>
      <c r="C959" s="8">
        <v>4040</v>
      </c>
      <c r="D959" s="170" t="s">
        <v>379</v>
      </c>
      <c r="E959" s="41">
        <v>33271</v>
      </c>
      <c r="F959" s="127"/>
      <c r="G959" s="41">
        <v>33270.27</v>
      </c>
      <c r="H959" s="241"/>
      <c r="I959" s="96">
        <f t="shared" si="13"/>
        <v>99.99780589702743</v>
      </c>
    </row>
    <row r="960" spans="1:9" ht="16.5" customHeight="1">
      <c r="A960" s="67"/>
      <c r="B960" s="17"/>
      <c r="C960" s="8">
        <v>4110</v>
      </c>
      <c r="D960" s="170" t="s">
        <v>565</v>
      </c>
      <c r="E960" s="41">
        <v>50940</v>
      </c>
      <c r="F960" s="127"/>
      <c r="G960" s="41">
        <v>35917.71</v>
      </c>
      <c r="H960" s="241"/>
      <c r="I960" s="96">
        <f t="shared" si="13"/>
        <v>70.50983510011778</v>
      </c>
    </row>
    <row r="961" spans="1:9" ht="16.5" customHeight="1">
      <c r="A961" s="67"/>
      <c r="B961" s="17"/>
      <c r="C961" s="8">
        <v>4120</v>
      </c>
      <c r="D961" s="170" t="s">
        <v>566</v>
      </c>
      <c r="E961" s="41">
        <v>10920</v>
      </c>
      <c r="F961" s="127"/>
      <c r="G961" s="41">
        <v>3648.81</v>
      </c>
      <c r="H961" s="241"/>
      <c r="I961" s="96">
        <f t="shared" si="13"/>
        <v>33.41401098901099</v>
      </c>
    </row>
    <row r="962" spans="1:9" ht="16.5" customHeight="1">
      <c r="A962" s="67"/>
      <c r="B962" s="17"/>
      <c r="C962" s="8">
        <v>4210</v>
      </c>
      <c r="D962" s="170" t="s">
        <v>334</v>
      </c>
      <c r="E962" s="41">
        <v>4930</v>
      </c>
      <c r="F962" s="127"/>
      <c r="G962" s="41">
        <v>2502.34</v>
      </c>
      <c r="H962" s="241"/>
      <c r="I962" s="96">
        <f t="shared" si="13"/>
        <v>50.75740365111562</v>
      </c>
    </row>
    <row r="963" spans="1:9" ht="24.75" customHeight="1">
      <c r="A963" s="67"/>
      <c r="B963" s="17"/>
      <c r="C963" s="8">
        <v>4240</v>
      </c>
      <c r="D963" s="170" t="s">
        <v>221</v>
      </c>
      <c r="E963" s="41">
        <v>235</v>
      </c>
      <c r="F963" s="127"/>
      <c r="G963" s="41">
        <v>0</v>
      </c>
      <c r="H963" s="241"/>
      <c r="I963" s="96"/>
    </row>
    <row r="964" spans="1:9" ht="16.5" customHeight="1">
      <c r="A964" s="67"/>
      <c r="B964" s="17"/>
      <c r="C964" s="8">
        <v>4260</v>
      </c>
      <c r="D964" s="170" t="s">
        <v>579</v>
      </c>
      <c r="E964" s="41">
        <v>10560</v>
      </c>
      <c r="F964" s="127"/>
      <c r="G964" s="41">
        <v>5188.26</v>
      </c>
      <c r="H964" s="241"/>
      <c r="I964" s="96">
        <f t="shared" si="13"/>
        <v>49.13125</v>
      </c>
    </row>
    <row r="965" spans="1:9" ht="16.5" customHeight="1">
      <c r="A965" s="67"/>
      <c r="B965" s="17"/>
      <c r="C965" s="8">
        <v>4270</v>
      </c>
      <c r="D965" s="170" t="s">
        <v>335</v>
      </c>
      <c r="E965" s="41">
        <v>1218</v>
      </c>
      <c r="F965" s="127"/>
      <c r="G965" s="41">
        <v>420.31</v>
      </c>
      <c r="H965" s="241"/>
      <c r="I965" s="96">
        <f t="shared" si="13"/>
        <v>34.50821018062397</v>
      </c>
    </row>
    <row r="966" spans="1:9" ht="16.5" customHeight="1">
      <c r="A966" s="67"/>
      <c r="B966" s="17"/>
      <c r="C966" s="8">
        <v>4280</v>
      </c>
      <c r="D966" s="170" t="s">
        <v>179</v>
      </c>
      <c r="E966" s="41">
        <v>460</v>
      </c>
      <c r="F966" s="127"/>
      <c r="G966" s="41">
        <v>0</v>
      </c>
      <c r="H966" s="241"/>
      <c r="I966" s="96">
        <f t="shared" si="13"/>
        <v>0</v>
      </c>
    </row>
    <row r="967" spans="1:9" ht="16.5" customHeight="1">
      <c r="A967" s="67"/>
      <c r="B967" s="17"/>
      <c r="C967" s="8">
        <v>4300</v>
      </c>
      <c r="D967" s="170" t="s">
        <v>331</v>
      </c>
      <c r="E967" s="41">
        <v>1170</v>
      </c>
      <c r="F967" s="127"/>
      <c r="G967" s="41">
        <v>82.25</v>
      </c>
      <c r="H967" s="241"/>
      <c r="I967" s="96">
        <f t="shared" si="13"/>
        <v>7.02991452991453</v>
      </c>
    </row>
    <row r="968" spans="1:9" ht="24" customHeight="1">
      <c r="A968" s="67"/>
      <c r="B968" s="17"/>
      <c r="C968" s="19">
        <v>4360</v>
      </c>
      <c r="D968" s="170" t="s">
        <v>693</v>
      </c>
      <c r="E968" s="41">
        <v>270</v>
      </c>
      <c r="F968" s="127"/>
      <c r="G968" s="41">
        <v>132.36</v>
      </c>
      <c r="H968" s="241"/>
      <c r="I968" s="96">
        <f t="shared" si="13"/>
        <v>49.022222222222226</v>
      </c>
    </row>
    <row r="969" spans="1:9" ht="17.25" customHeight="1">
      <c r="A969" s="67"/>
      <c r="B969" s="17"/>
      <c r="C969" s="2">
        <v>4430</v>
      </c>
      <c r="D969" s="170" t="s">
        <v>314</v>
      </c>
      <c r="E969" s="41">
        <v>920</v>
      </c>
      <c r="F969" s="88"/>
      <c r="G969" s="41">
        <v>460</v>
      </c>
      <c r="H969" s="128"/>
      <c r="I969" s="96">
        <f t="shared" si="13"/>
        <v>50</v>
      </c>
    </row>
    <row r="970" spans="1:9" ht="24" customHeight="1">
      <c r="A970" s="67"/>
      <c r="B970" s="17"/>
      <c r="C970" s="19">
        <v>4440</v>
      </c>
      <c r="D970" s="205" t="s">
        <v>567</v>
      </c>
      <c r="E970" s="89">
        <v>20160</v>
      </c>
      <c r="F970" s="127"/>
      <c r="G970" s="89">
        <v>15120</v>
      </c>
      <c r="H970" s="241"/>
      <c r="I970" s="250">
        <f t="shared" si="13"/>
        <v>75</v>
      </c>
    </row>
    <row r="971" spans="1:9" ht="24" customHeight="1">
      <c r="A971" s="67"/>
      <c r="B971" s="17"/>
      <c r="C971" s="8">
        <v>4520</v>
      </c>
      <c r="D971" s="170" t="s">
        <v>289</v>
      </c>
      <c r="E971" s="41">
        <v>400</v>
      </c>
      <c r="F971" s="127"/>
      <c r="G971" s="41">
        <v>80</v>
      </c>
      <c r="H971" s="241"/>
      <c r="I971" s="96">
        <f t="shared" si="13"/>
        <v>20</v>
      </c>
    </row>
    <row r="972" spans="1:9" ht="24" customHeight="1">
      <c r="A972" s="67"/>
      <c r="B972" s="17"/>
      <c r="C972" s="2">
        <v>4700</v>
      </c>
      <c r="D972" s="170" t="s">
        <v>290</v>
      </c>
      <c r="E972" s="41">
        <v>510</v>
      </c>
      <c r="F972" s="127"/>
      <c r="G972" s="41">
        <v>270</v>
      </c>
      <c r="H972" s="241"/>
      <c r="I972" s="96">
        <f aca="true" t="shared" si="14" ref="I972:I1035">G972/E972*100</f>
        <v>52.94117647058824</v>
      </c>
    </row>
    <row r="973" spans="1:9" ht="24" customHeight="1">
      <c r="A973" s="67"/>
      <c r="B973" s="27">
        <v>80140</v>
      </c>
      <c r="C973" s="23"/>
      <c r="D973" s="175" t="s">
        <v>644</v>
      </c>
      <c r="E973" s="38">
        <f>SUM(E974:E995)</f>
        <v>2554424</v>
      </c>
      <c r="F973" s="127"/>
      <c r="G973" s="38">
        <f>SUM(G974:G995)</f>
        <v>1399489.8500000003</v>
      </c>
      <c r="H973" s="241"/>
      <c r="I973" s="96">
        <f t="shared" si="14"/>
        <v>54.786904993063025</v>
      </c>
    </row>
    <row r="974" spans="1:22" s="53" customFormat="1" ht="16.5" customHeight="1">
      <c r="A974" s="67"/>
      <c r="B974" s="15"/>
      <c r="C974" s="8">
        <v>3020</v>
      </c>
      <c r="D974" s="170" t="s">
        <v>177</v>
      </c>
      <c r="E974" s="89">
        <v>13306</v>
      </c>
      <c r="F974" s="127"/>
      <c r="G974" s="89">
        <v>1214.27</v>
      </c>
      <c r="H974" s="241"/>
      <c r="I974" s="96">
        <f t="shared" si="14"/>
        <v>9.125732752141891</v>
      </c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</row>
    <row r="975" spans="1:9" ht="16.5" customHeight="1">
      <c r="A975" s="67"/>
      <c r="B975" s="17"/>
      <c r="C975" s="8">
        <v>4010</v>
      </c>
      <c r="D975" s="170" t="s">
        <v>378</v>
      </c>
      <c r="E975" s="41">
        <v>1249328</v>
      </c>
      <c r="F975" s="127"/>
      <c r="G975" s="41">
        <v>629403.01</v>
      </c>
      <c r="H975" s="241"/>
      <c r="I975" s="96">
        <f t="shared" si="14"/>
        <v>50.37932472497214</v>
      </c>
    </row>
    <row r="976" spans="1:9" ht="16.5" customHeight="1">
      <c r="A976" s="67"/>
      <c r="B976" s="17"/>
      <c r="C976" s="8">
        <v>4040</v>
      </c>
      <c r="D976" s="170" t="s">
        <v>379</v>
      </c>
      <c r="E976" s="41">
        <v>108700</v>
      </c>
      <c r="F976" s="127"/>
      <c r="G976" s="41">
        <v>104037.16</v>
      </c>
      <c r="H976" s="241"/>
      <c r="I976" s="96">
        <f t="shared" si="14"/>
        <v>95.71035878564858</v>
      </c>
    </row>
    <row r="977" spans="1:9" ht="16.5" customHeight="1">
      <c r="A977" s="67"/>
      <c r="B977" s="17"/>
      <c r="C977" s="8">
        <v>4110</v>
      </c>
      <c r="D977" s="170" t="s">
        <v>565</v>
      </c>
      <c r="E977" s="41">
        <v>239679</v>
      </c>
      <c r="F977" s="127"/>
      <c r="G977" s="41">
        <v>125636.94</v>
      </c>
      <c r="H977" s="241"/>
      <c r="I977" s="96">
        <f t="shared" si="14"/>
        <v>52.41883519206939</v>
      </c>
    </row>
    <row r="978" spans="1:9" ht="16.5" customHeight="1">
      <c r="A978" s="67"/>
      <c r="B978" s="17" t="s">
        <v>201</v>
      </c>
      <c r="C978" s="8">
        <v>4120</v>
      </c>
      <c r="D978" s="170" t="s">
        <v>566</v>
      </c>
      <c r="E978" s="41">
        <v>35732</v>
      </c>
      <c r="F978" s="127"/>
      <c r="G978" s="41">
        <v>14452.45</v>
      </c>
      <c r="H978" s="241"/>
      <c r="I978" s="96">
        <f t="shared" si="14"/>
        <v>40.44679838799956</v>
      </c>
    </row>
    <row r="979" spans="1:9" ht="16.5" customHeight="1">
      <c r="A979" s="67"/>
      <c r="B979" s="17"/>
      <c r="C979" s="2">
        <v>4170</v>
      </c>
      <c r="D979" s="170" t="s">
        <v>572</v>
      </c>
      <c r="E979" s="41">
        <v>48600</v>
      </c>
      <c r="F979" s="127"/>
      <c r="G979" s="41">
        <v>12338.32</v>
      </c>
      <c r="H979" s="241"/>
      <c r="I979" s="96">
        <f t="shared" si="14"/>
        <v>25.38748971193416</v>
      </c>
    </row>
    <row r="980" spans="1:9" ht="16.5" customHeight="1">
      <c r="A980" s="67"/>
      <c r="B980" s="17"/>
      <c r="C980" s="8">
        <v>4210</v>
      </c>
      <c r="D980" s="170" t="s">
        <v>334</v>
      </c>
      <c r="E980" s="41">
        <v>200313</v>
      </c>
      <c r="F980" s="127"/>
      <c r="G980" s="41">
        <v>115557.77</v>
      </c>
      <c r="H980" s="241"/>
      <c r="I980" s="96">
        <f t="shared" si="14"/>
        <v>57.68860233734207</v>
      </c>
    </row>
    <row r="981" spans="1:9" ht="16.5" customHeight="1">
      <c r="A981" s="67"/>
      <c r="B981" s="17"/>
      <c r="C981" s="2">
        <v>4220</v>
      </c>
      <c r="D981" s="170" t="s">
        <v>223</v>
      </c>
      <c r="E981" s="41">
        <v>1500</v>
      </c>
      <c r="F981" s="127"/>
      <c r="G981" s="41">
        <v>746.74</v>
      </c>
      <c r="H981" s="241"/>
      <c r="I981" s="96">
        <f t="shared" si="14"/>
        <v>49.78266666666667</v>
      </c>
    </row>
    <row r="982" spans="1:9" ht="24" customHeight="1">
      <c r="A982" s="67"/>
      <c r="B982" s="17"/>
      <c r="C982" s="8">
        <v>4230</v>
      </c>
      <c r="D982" s="170" t="s">
        <v>182</v>
      </c>
      <c r="E982" s="41">
        <v>600</v>
      </c>
      <c r="F982" s="127"/>
      <c r="G982" s="41">
        <v>0</v>
      </c>
      <c r="H982" s="241"/>
      <c r="I982" s="96"/>
    </row>
    <row r="983" spans="1:9" ht="24" customHeight="1">
      <c r="A983" s="67"/>
      <c r="B983" s="17"/>
      <c r="C983" s="8">
        <v>4240</v>
      </c>
      <c r="D983" s="170" t="s">
        <v>221</v>
      </c>
      <c r="E983" s="41">
        <v>156501</v>
      </c>
      <c r="F983" s="127"/>
      <c r="G983" s="41">
        <v>128236.75</v>
      </c>
      <c r="H983" s="241"/>
      <c r="I983" s="96">
        <f t="shared" si="14"/>
        <v>81.93989175788015</v>
      </c>
    </row>
    <row r="984" spans="1:9" ht="16.5" customHeight="1">
      <c r="A984" s="67"/>
      <c r="B984" s="17"/>
      <c r="C984" s="8">
        <v>4260</v>
      </c>
      <c r="D984" s="170" t="s">
        <v>579</v>
      </c>
      <c r="E984" s="41">
        <v>194338</v>
      </c>
      <c r="F984" s="127"/>
      <c r="G984" s="41">
        <v>89943.35</v>
      </c>
      <c r="H984" s="241"/>
      <c r="I984" s="96">
        <f t="shared" si="14"/>
        <v>46.2819160431825</v>
      </c>
    </row>
    <row r="985" spans="1:9" ht="16.5" customHeight="1">
      <c r="A985" s="67"/>
      <c r="B985" s="17"/>
      <c r="C985" s="8">
        <v>4270</v>
      </c>
      <c r="D985" s="170" t="s">
        <v>335</v>
      </c>
      <c r="E985" s="41">
        <v>119657</v>
      </c>
      <c r="F985" s="127"/>
      <c r="G985" s="41">
        <v>74606.98</v>
      </c>
      <c r="H985" s="241"/>
      <c r="I985" s="96">
        <f t="shared" si="14"/>
        <v>62.35070242442983</v>
      </c>
    </row>
    <row r="986" spans="1:9" ht="16.5" customHeight="1">
      <c r="A986" s="67"/>
      <c r="B986" s="17"/>
      <c r="C986" s="8">
        <v>4280</v>
      </c>
      <c r="D986" s="170" t="s">
        <v>179</v>
      </c>
      <c r="E986" s="41">
        <v>2100</v>
      </c>
      <c r="F986" s="127"/>
      <c r="G986" s="41">
        <v>681.63</v>
      </c>
      <c r="H986" s="241"/>
      <c r="I986" s="96">
        <f t="shared" si="14"/>
        <v>32.45857142857143</v>
      </c>
    </row>
    <row r="987" spans="1:9" ht="16.5" customHeight="1">
      <c r="A987" s="67"/>
      <c r="B987" s="17"/>
      <c r="C987" s="8">
        <v>4300</v>
      </c>
      <c r="D987" s="170" t="s">
        <v>331</v>
      </c>
      <c r="E987" s="41">
        <v>67453</v>
      </c>
      <c r="F987" s="127"/>
      <c r="G987" s="41">
        <v>21657.07</v>
      </c>
      <c r="H987" s="241"/>
      <c r="I987" s="96">
        <f t="shared" si="14"/>
        <v>32.10690406653522</v>
      </c>
    </row>
    <row r="988" spans="1:9" ht="24" customHeight="1">
      <c r="A988" s="67"/>
      <c r="B988" s="17"/>
      <c r="C988" s="19">
        <v>4360</v>
      </c>
      <c r="D988" s="170" t="s">
        <v>90</v>
      </c>
      <c r="E988" s="41">
        <v>7672</v>
      </c>
      <c r="F988" s="127"/>
      <c r="G988" s="41">
        <v>2709.6</v>
      </c>
      <c r="H988" s="241"/>
      <c r="I988" s="96">
        <f t="shared" si="14"/>
        <v>35.318039624608964</v>
      </c>
    </row>
    <row r="989" spans="1:9" ht="24" customHeight="1">
      <c r="A989" s="67"/>
      <c r="B989" s="17"/>
      <c r="C989" s="19">
        <v>4390</v>
      </c>
      <c r="D989" s="205" t="s">
        <v>261</v>
      </c>
      <c r="E989" s="41">
        <v>5372</v>
      </c>
      <c r="F989" s="127"/>
      <c r="G989" s="41">
        <v>0</v>
      </c>
      <c r="H989" s="241"/>
      <c r="I989" s="96"/>
    </row>
    <row r="990" spans="1:9" ht="16.5" customHeight="1">
      <c r="A990" s="67"/>
      <c r="B990" s="17"/>
      <c r="C990" s="8">
        <v>4410</v>
      </c>
      <c r="D990" s="170" t="s">
        <v>569</v>
      </c>
      <c r="E990" s="41">
        <v>2750</v>
      </c>
      <c r="F990" s="127"/>
      <c r="G990" s="41">
        <v>1305.31</v>
      </c>
      <c r="H990" s="241"/>
      <c r="I990" s="96">
        <f t="shared" si="14"/>
        <v>47.46581818181818</v>
      </c>
    </row>
    <row r="991" spans="1:9" ht="16.5" customHeight="1">
      <c r="A991" s="67"/>
      <c r="B991" s="17"/>
      <c r="C991" s="8">
        <v>4430</v>
      </c>
      <c r="D991" s="170" t="s">
        <v>314</v>
      </c>
      <c r="E991" s="41">
        <v>16986</v>
      </c>
      <c r="F991" s="127"/>
      <c r="G991" s="41">
        <v>16796</v>
      </c>
      <c r="H991" s="241"/>
      <c r="I991" s="96">
        <f t="shared" si="14"/>
        <v>98.88143176733782</v>
      </c>
    </row>
    <row r="992" spans="1:9" ht="23.25" customHeight="1">
      <c r="A992" s="67"/>
      <c r="B992" s="17"/>
      <c r="C992" s="8">
        <v>4440</v>
      </c>
      <c r="D992" s="170" t="s">
        <v>567</v>
      </c>
      <c r="E992" s="41">
        <v>72337</v>
      </c>
      <c r="F992" s="127"/>
      <c r="G992" s="41">
        <v>54285.41</v>
      </c>
      <c r="H992" s="241"/>
      <c r="I992" s="96">
        <f t="shared" si="14"/>
        <v>75.04514978503394</v>
      </c>
    </row>
    <row r="993" spans="1:9" ht="15.75" customHeight="1">
      <c r="A993" s="67"/>
      <c r="B993" s="17"/>
      <c r="C993" s="8">
        <v>4480</v>
      </c>
      <c r="D993" s="170" t="s">
        <v>272</v>
      </c>
      <c r="E993" s="41">
        <v>2800</v>
      </c>
      <c r="F993" s="127"/>
      <c r="G993" s="41">
        <v>1064.5</v>
      </c>
      <c r="H993" s="241"/>
      <c r="I993" s="96">
        <f t="shared" si="14"/>
        <v>38.01785714285714</v>
      </c>
    </row>
    <row r="994" spans="1:9" ht="24" customHeight="1">
      <c r="A994" s="67"/>
      <c r="B994" s="17"/>
      <c r="C994" s="8">
        <v>4520</v>
      </c>
      <c r="D994" s="170" t="s">
        <v>289</v>
      </c>
      <c r="E994" s="41">
        <v>4229</v>
      </c>
      <c r="F994" s="127"/>
      <c r="G994" s="41">
        <v>1733.02</v>
      </c>
      <c r="H994" s="241"/>
      <c r="I994" s="96">
        <f t="shared" si="14"/>
        <v>40.97942776069993</v>
      </c>
    </row>
    <row r="995" spans="1:9" ht="24" customHeight="1">
      <c r="A995" s="67"/>
      <c r="B995" s="17"/>
      <c r="C995" s="2">
        <v>4700</v>
      </c>
      <c r="D995" s="170" t="s">
        <v>290</v>
      </c>
      <c r="E995" s="41">
        <v>4471</v>
      </c>
      <c r="F995" s="127"/>
      <c r="G995" s="41">
        <v>3083.57</v>
      </c>
      <c r="H995" s="241"/>
      <c r="I995" s="96">
        <f t="shared" si="14"/>
        <v>68.96823976738985</v>
      </c>
    </row>
    <row r="996" spans="1:9" ht="20.25" customHeight="1">
      <c r="A996" s="67"/>
      <c r="B996" s="23">
        <v>80144</v>
      </c>
      <c r="C996" s="23"/>
      <c r="D996" s="175" t="s">
        <v>91</v>
      </c>
      <c r="E996" s="28">
        <f>SUM(E997:E1011)</f>
        <v>739189</v>
      </c>
      <c r="F996" s="127"/>
      <c r="G996" s="28">
        <f>SUM(G997:G1011)</f>
        <v>278710.89</v>
      </c>
      <c r="H996" s="241"/>
      <c r="I996" s="96">
        <f t="shared" si="14"/>
        <v>37.70495637786818</v>
      </c>
    </row>
    <row r="997" spans="1:9" ht="16.5" customHeight="1">
      <c r="A997" s="67"/>
      <c r="B997" s="30"/>
      <c r="C997" s="8">
        <v>3020</v>
      </c>
      <c r="D997" s="170" t="s">
        <v>177</v>
      </c>
      <c r="E997" s="89">
        <v>3630</v>
      </c>
      <c r="F997" s="127"/>
      <c r="G997" s="89">
        <v>1670</v>
      </c>
      <c r="H997" s="241"/>
      <c r="I997" s="96">
        <f t="shared" si="14"/>
        <v>46.005509641873275</v>
      </c>
    </row>
    <row r="998" spans="1:9" ht="16.5" customHeight="1">
      <c r="A998" s="67"/>
      <c r="B998" s="17"/>
      <c r="C998" s="8">
        <v>4010</v>
      </c>
      <c r="D998" s="170" t="s">
        <v>378</v>
      </c>
      <c r="E998" s="89">
        <v>509690</v>
      </c>
      <c r="F998" s="127"/>
      <c r="G998" s="89">
        <v>177357.55</v>
      </c>
      <c r="H998" s="241"/>
      <c r="I998" s="96">
        <f t="shared" si="14"/>
        <v>34.79714139967431</v>
      </c>
    </row>
    <row r="999" spans="1:9" ht="16.5" customHeight="1">
      <c r="A999" s="67"/>
      <c r="B999" s="17"/>
      <c r="C999" s="8">
        <v>4040</v>
      </c>
      <c r="D999" s="170" t="s">
        <v>379</v>
      </c>
      <c r="E999" s="41">
        <v>29371</v>
      </c>
      <c r="F999" s="127"/>
      <c r="G999" s="41">
        <v>26212.55</v>
      </c>
      <c r="H999" s="241"/>
      <c r="I999" s="96">
        <f t="shared" si="14"/>
        <v>89.24636546253106</v>
      </c>
    </row>
    <row r="1000" spans="1:9" ht="16.5" customHeight="1">
      <c r="A1000" s="67"/>
      <c r="B1000" s="17"/>
      <c r="C1000" s="8">
        <v>4110</v>
      </c>
      <c r="D1000" s="170" t="s">
        <v>565</v>
      </c>
      <c r="E1000" s="41">
        <v>96120</v>
      </c>
      <c r="F1000" s="127"/>
      <c r="G1000" s="41">
        <v>33203.98</v>
      </c>
      <c r="H1000" s="241"/>
      <c r="I1000" s="96">
        <f t="shared" si="14"/>
        <v>34.5442987931752</v>
      </c>
    </row>
    <row r="1001" spans="1:9" ht="16.5" customHeight="1">
      <c r="A1001" s="67"/>
      <c r="B1001" s="17"/>
      <c r="C1001" s="8">
        <v>4120</v>
      </c>
      <c r="D1001" s="170" t="s">
        <v>566</v>
      </c>
      <c r="E1001" s="41">
        <v>10400</v>
      </c>
      <c r="F1001" s="127"/>
      <c r="G1001" s="41">
        <v>3246.63</v>
      </c>
      <c r="H1001" s="241"/>
      <c r="I1001" s="96">
        <f t="shared" si="14"/>
        <v>31.217596153846156</v>
      </c>
    </row>
    <row r="1002" spans="1:9" ht="16.5" customHeight="1">
      <c r="A1002" s="67"/>
      <c r="B1002" s="17"/>
      <c r="C1002" s="8">
        <v>4210</v>
      </c>
      <c r="D1002" s="170" t="s">
        <v>334</v>
      </c>
      <c r="E1002" s="41">
        <v>7030</v>
      </c>
      <c r="F1002" s="127"/>
      <c r="G1002" s="41">
        <v>1428.59</v>
      </c>
      <c r="H1002" s="241"/>
      <c r="I1002" s="96">
        <f t="shared" si="14"/>
        <v>20.321337126600284</v>
      </c>
    </row>
    <row r="1003" spans="1:9" ht="24" customHeight="1">
      <c r="A1003" s="67"/>
      <c r="B1003" s="17"/>
      <c r="C1003" s="8">
        <v>4240</v>
      </c>
      <c r="D1003" s="170" t="s">
        <v>221</v>
      </c>
      <c r="E1003" s="41">
        <v>158</v>
      </c>
      <c r="F1003" s="127"/>
      <c r="G1003" s="41">
        <v>0</v>
      </c>
      <c r="H1003" s="241"/>
      <c r="I1003" s="96"/>
    </row>
    <row r="1004" spans="1:9" ht="16.5" customHeight="1">
      <c r="A1004" s="67"/>
      <c r="B1004" s="17"/>
      <c r="C1004" s="8">
        <v>4260</v>
      </c>
      <c r="D1004" s="170" t="s">
        <v>579</v>
      </c>
      <c r="E1004" s="87">
        <v>42750</v>
      </c>
      <c r="F1004" s="127"/>
      <c r="G1004" s="87">
        <v>14417.35</v>
      </c>
      <c r="H1004" s="241"/>
      <c r="I1004" s="96">
        <f t="shared" si="14"/>
        <v>33.72479532163743</v>
      </c>
    </row>
    <row r="1005" spans="1:9" ht="16.5" customHeight="1">
      <c r="A1005" s="67"/>
      <c r="B1005" s="17"/>
      <c r="C1005" s="2">
        <v>4270</v>
      </c>
      <c r="D1005" s="170" t="s">
        <v>335</v>
      </c>
      <c r="E1005" s="41">
        <v>5883</v>
      </c>
      <c r="F1005" s="88"/>
      <c r="G1005" s="41">
        <v>2220</v>
      </c>
      <c r="H1005" s="128"/>
      <c r="I1005" s="96">
        <f t="shared" si="14"/>
        <v>37.735849056603776</v>
      </c>
    </row>
    <row r="1006" spans="1:9" ht="16.5" customHeight="1">
      <c r="A1006" s="67"/>
      <c r="B1006" s="17"/>
      <c r="C1006" s="19">
        <v>4280</v>
      </c>
      <c r="D1006" s="205" t="s">
        <v>179</v>
      </c>
      <c r="E1006" s="55">
        <v>567</v>
      </c>
      <c r="F1006" s="127"/>
      <c r="G1006" s="55">
        <v>79</v>
      </c>
      <c r="H1006" s="241"/>
      <c r="I1006" s="250">
        <f t="shared" si="14"/>
        <v>13.932980599647266</v>
      </c>
    </row>
    <row r="1007" spans="1:9" ht="16.5" customHeight="1">
      <c r="A1007" s="67"/>
      <c r="B1007" s="17"/>
      <c r="C1007" s="8">
        <v>4300</v>
      </c>
      <c r="D1007" s="170" t="s">
        <v>331</v>
      </c>
      <c r="E1007" s="87">
        <v>8900</v>
      </c>
      <c r="F1007" s="127"/>
      <c r="G1007" s="87">
        <v>2830.24</v>
      </c>
      <c r="H1007" s="241"/>
      <c r="I1007" s="96">
        <f t="shared" si="14"/>
        <v>31.800449438202243</v>
      </c>
    </row>
    <row r="1008" spans="1:9" ht="24" customHeight="1">
      <c r="A1008" s="67"/>
      <c r="B1008" s="17"/>
      <c r="C1008" s="19">
        <v>4360</v>
      </c>
      <c r="D1008" s="170" t="s">
        <v>693</v>
      </c>
      <c r="E1008" s="87">
        <v>970</v>
      </c>
      <c r="F1008" s="127"/>
      <c r="G1008" s="87">
        <v>295</v>
      </c>
      <c r="H1008" s="241"/>
      <c r="I1008" s="96">
        <f t="shared" si="14"/>
        <v>30.412371134020617</v>
      </c>
    </row>
    <row r="1009" spans="1:9" ht="16.5" customHeight="1">
      <c r="A1009" s="67"/>
      <c r="B1009" s="17"/>
      <c r="C1009" s="8">
        <v>4430</v>
      </c>
      <c r="D1009" s="170" t="s">
        <v>314</v>
      </c>
      <c r="E1009" s="87">
        <v>260</v>
      </c>
      <c r="F1009" s="127"/>
      <c r="G1009" s="87">
        <v>130</v>
      </c>
      <c r="H1009" s="241"/>
      <c r="I1009" s="96">
        <f t="shared" si="14"/>
        <v>50</v>
      </c>
    </row>
    <row r="1010" spans="1:9" ht="24" customHeight="1">
      <c r="A1010" s="67"/>
      <c r="B1010" s="17"/>
      <c r="C1010" s="8">
        <v>4440</v>
      </c>
      <c r="D1010" s="170" t="s">
        <v>567</v>
      </c>
      <c r="E1010" s="87">
        <v>20160</v>
      </c>
      <c r="F1010" s="127"/>
      <c r="G1010" s="87">
        <v>15120</v>
      </c>
      <c r="H1010" s="241"/>
      <c r="I1010" s="96">
        <f t="shared" si="14"/>
        <v>75</v>
      </c>
    </row>
    <row r="1011" spans="1:9" ht="24" customHeight="1">
      <c r="A1011" s="67"/>
      <c r="B1011" s="17"/>
      <c r="C1011" s="8">
        <v>4520</v>
      </c>
      <c r="D1011" s="170" t="s">
        <v>289</v>
      </c>
      <c r="E1011" s="87">
        <v>3300</v>
      </c>
      <c r="F1011" s="127"/>
      <c r="G1011" s="87">
        <v>500</v>
      </c>
      <c r="H1011" s="241"/>
      <c r="I1011" s="96">
        <f t="shared" si="14"/>
        <v>15.151515151515152</v>
      </c>
    </row>
    <row r="1012" spans="1:9" ht="20.25" customHeight="1">
      <c r="A1012" s="83"/>
      <c r="B1012" s="24">
        <v>80145</v>
      </c>
      <c r="C1012" s="27"/>
      <c r="D1012" s="207" t="s">
        <v>197</v>
      </c>
      <c r="E1012" s="122">
        <f>SUM(E1013:E1018)</f>
        <v>12207</v>
      </c>
      <c r="F1012" s="233"/>
      <c r="G1012" s="122">
        <f>SUM(G1013:G1018)</f>
        <v>3260.94</v>
      </c>
      <c r="H1012" s="551"/>
      <c r="I1012" s="96">
        <f t="shared" si="14"/>
        <v>26.7136888670435</v>
      </c>
    </row>
    <row r="1013" spans="1:9" ht="15.75" customHeight="1">
      <c r="A1013" s="67"/>
      <c r="B1013" s="17"/>
      <c r="C1013" s="8">
        <v>4110</v>
      </c>
      <c r="D1013" s="170" t="s">
        <v>565</v>
      </c>
      <c r="E1013" s="87">
        <v>410</v>
      </c>
      <c r="F1013" s="127"/>
      <c r="G1013" s="87">
        <v>0</v>
      </c>
      <c r="H1013" s="241"/>
      <c r="I1013" s="96"/>
    </row>
    <row r="1014" spans="1:9" ht="15.75" customHeight="1">
      <c r="A1014" s="67"/>
      <c r="B1014" s="17"/>
      <c r="C1014" s="8">
        <v>4120</v>
      </c>
      <c r="D1014" s="170" t="s">
        <v>566</v>
      </c>
      <c r="E1014" s="87">
        <v>70</v>
      </c>
      <c r="F1014" s="127"/>
      <c r="G1014" s="87">
        <v>0</v>
      </c>
      <c r="H1014" s="241"/>
      <c r="I1014" s="96"/>
    </row>
    <row r="1015" spans="1:9" ht="15.75" customHeight="1">
      <c r="A1015" s="67"/>
      <c r="B1015" s="17"/>
      <c r="C1015" s="2">
        <v>4170</v>
      </c>
      <c r="D1015" s="170" t="s">
        <v>572</v>
      </c>
      <c r="E1015" s="87">
        <v>2600</v>
      </c>
      <c r="F1015" s="127"/>
      <c r="G1015" s="87">
        <v>0</v>
      </c>
      <c r="H1015" s="241"/>
      <c r="I1015" s="96"/>
    </row>
    <row r="1016" spans="1:9" ht="15.75" customHeight="1">
      <c r="A1016" s="67"/>
      <c r="B1016" s="17"/>
      <c r="C1016" s="8">
        <v>4210</v>
      </c>
      <c r="D1016" s="170" t="s">
        <v>334</v>
      </c>
      <c r="E1016" s="87">
        <v>4800</v>
      </c>
      <c r="F1016" s="127"/>
      <c r="G1016" s="87">
        <v>934.67</v>
      </c>
      <c r="H1016" s="241"/>
      <c r="I1016" s="96">
        <f t="shared" si="14"/>
        <v>19.472291666666667</v>
      </c>
    </row>
    <row r="1017" spans="1:9" ht="24" customHeight="1">
      <c r="A1017" s="67"/>
      <c r="B1017" s="17"/>
      <c r="C1017" s="8">
        <v>4240</v>
      </c>
      <c r="D1017" s="170" t="s">
        <v>221</v>
      </c>
      <c r="E1017" s="87">
        <v>2327</v>
      </c>
      <c r="F1017" s="127"/>
      <c r="G1017" s="87">
        <v>2326.27</v>
      </c>
      <c r="H1017" s="241"/>
      <c r="I1017" s="96">
        <f t="shared" si="14"/>
        <v>99.96862913622691</v>
      </c>
    </row>
    <row r="1018" spans="1:9" ht="16.5" customHeight="1">
      <c r="A1018" s="67"/>
      <c r="B1018" s="17"/>
      <c r="C1018" s="8">
        <v>4300</v>
      </c>
      <c r="D1018" s="170" t="s">
        <v>331</v>
      </c>
      <c r="E1018" s="87">
        <v>2000</v>
      </c>
      <c r="F1018" s="127"/>
      <c r="G1018" s="87">
        <v>0</v>
      </c>
      <c r="H1018" s="241"/>
      <c r="I1018" s="96"/>
    </row>
    <row r="1019" spans="1:9" ht="20.25" customHeight="1">
      <c r="A1019" s="67"/>
      <c r="B1019" s="24">
        <v>80146</v>
      </c>
      <c r="C1019" s="24"/>
      <c r="D1019" s="175" t="s">
        <v>137</v>
      </c>
      <c r="E1019" s="38">
        <f>SUM(E1020:E1038)</f>
        <v>834916</v>
      </c>
      <c r="F1019" s="127"/>
      <c r="G1019" s="38">
        <f>SUM(G1020:G1038)</f>
        <v>435266.9600000001</v>
      </c>
      <c r="H1019" s="241"/>
      <c r="I1019" s="96">
        <f t="shared" si="14"/>
        <v>52.13302416051436</v>
      </c>
    </row>
    <row r="1020" spans="1:9" ht="16.5" customHeight="1">
      <c r="A1020" s="67"/>
      <c r="B1020" s="30"/>
      <c r="C1020" s="19">
        <v>3020</v>
      </c>
      <c r="D1020" s="205" t="s">
        <v>177</v>
      </c>
      <c r="E1020" s="89">
        <v>931</v>
      </c>
      <c r="F1020" s="127"/>
      <c r="G1020" s="89">
        <v>0</v>
      </c>
      <c r="H1020" s="241"/>
      <c r="I1020" s="96"/>
    </row>
    <row r="1021" spans="1:9" ht="16.5" customHeight="1">
      <c r="A1021" s="67"/>
      <c r="B1021" s="30"/>
      <c r="C1021" s="8">
        <v>4010</v>
      </c>
      <c r="D1021" s="170" t="s">
        <v>378</v>
      </c>
      <c r="E1021" s="41">
        <v>279566</v>
      </c>
      <c r="F1021" s="127"/>
      <c r="G1021" s="41">
        <v>163667.91</v>
      </c>
      <c r="H1021" s="241"/>
      <c r="I1021" s="96">
        <f t="shared" si="14"/>
        <v>58.543567529670995</v>
      </c>
    </row>
    <row r="1022" spans="1:9" ht="16.5" customHeight="1">
      <c r="A1022" s="67"/>
      <c r="B1022" s="30"/>
      <c r="C1022" s="8">
        <v>4040</v>
      </c>
      <c r="D1022" s="170" t="s">
        <v>379</v>
      </c>
      <c r="E1022" s="41">
        <v>18200</v>
      </c>
      <c r="F1022" s="127"/>
      <c r="G1022" s="41">
        <v>17293.63</v>
      </c>
      <c r="H1022" s="241"/>
      <c r="I1022" s="96">
        <f t="shared" si="14"/>
        <v>95.01994505494507</v>
      </c>
    </row>
    <row r="1023" spans="1:9" ht="16.5" customHeight="1">
      <c r="A1023" s="67"/>
      <c r="B1023" s="30"/>
      <c r="C1023" s="8">
        <v>4110</v>
      </c>
      <c r="D1023" s="170" t="s">
        <v>565</v>
      </c>
      <c r="E1023" s="41">
        <v>50384</v>
      </c>
      <c r="F1023" s="127"/>
      <c r="G1023" s="41">
        <v>33315.92</v>
      </c>
      <c r="H1023" s="241"/>
      <c r="I1023" s="96">
        <f t="shared" si="14"/>
        <v>66.12400762146713</v>
      </c>
    </row>
    <row r="1024" spans="1:9" ht="16.5" customHeight="1">
      <c r="A1024" s="67"/>
      <c r="B1024" s="30"/>
      <c r="C1024" s="8">
        <v>4120</v>
      </c>
      <c r="D1024" s="170" t="s">
        <v>566</v>
      </c>
      <c r="E1024" s="41">
        <v>5462</v>
      </c>
      <c r="F1024" s="127"/>
      <c r="G1024" s="41">
        <v>2121.2</v>
      </c>
      <c r="H1024" s="241"/>
      <c r="I1024" s="96">
        <f t="shared" si="14"/>
        <v>38.83559135847675</v>
      </c>
    </row>
    <row r="1025" spans="1:9" ht="16.5" customHeight="1">
      <c r="A1025" s="67"/>
      <c r="B1025" s="30"/>
      <c r="C1025" s="2">
        <v>4170</v>
      </c>
      <c r="D1025" s="170" t="s">
        <v>572</v>
      </c>
      <c r="E1025" s="41">
        <v>32500</v>
      </c>
      <c r="F1025" s="127"/>
      <c r="G1025" s="41">
        <v>22669.2</v>
      </c>
      <c r="H1025" s="241"/>
      <c r="I1025" s="96">
        <f t="shared" si="14"/>
        <v>69.75138461538461</v>
      </c>
    </row>
    <row r="1026" spans="1:9" ht="16.5" customHeight="1">
      <c r="A1026" s="67"/>
      <c r="B1026" s="30"/>
      <c r="C1026" s="8">
        <v>4190</v>
      </c>
      <c r="D1026" s="170" t="s">
        <v>687</v>
      </c>
      <c r="E1026" s="41">
        <v>2500</v>
      </c>
      <c r="F1026" s="127"/>
      <c r="G1026" s="41">
        <v>1022.63</v>
      </c>
      <c r="H1026" s="241"/>
      <c r="I1026" s="96">
        <f t="shared" si="14"/>
        <v>40.905199999999994</v>
      </c>
    </row>
    <row r="1027" spans="1:9" ht="16.5" customHeight="1">
      <c r="A1027" s="67"/>
      <c r="B1027" s="30"/>
      <c r="C1027" s="8">
        <v>4210</v>
      </c>
      <c r="D1027" s="170" t="s">
        <v>334</v>
      </c>
      <c r="E1027" s="41">
        <v>26800</v>
      </c>
      <c r="F1027" s="127"/>
      <c r="G1027" s="41">
        <v>15692.65</v>
      </c>
      <c r="H1027" s="241"/>
      <c r="I1027" s="96">
        <f t="shared" si="14"/>
        <v>58.55466417910448</v>
      </c>
    </row>
    <row r="1028" spans="1:9" ht="23.25" customHeight="1">
      <c r="A1028" s="67"/>
      <c r="B1028" s="30"/>
      <c r="C1028" s="8">
        <v>4240</v>
      </c>
      <c r="D1028" s="170" t="s">
        <v>221</v>
      </c>
      <c r="E1028" s="41">
        <v>5500</v>
      </c>
      <c r="F1028" s="127"/>
      <c r="G1028" s="41">
        <v>295</v>
      </c>
      <c r="H1028" s="241"/>
      <c r="I1028" s="96">
        <f t="shared" si="14"/>
        <v>5.363636363636363</v>
      </c>
    </row>
    <row r="1029" spans="1:9" ht="16.5" customHeight="1">
      <c r="A1029" s="67"/>
      <c r="B1029" s="30"/>
      <c r="C1029" s="8">
        <v>4260</v>
      </c>
      <c r="D1029" s="170" t="s">
        <v>579</v>
      </c>
      <c r="E1029" s="41">
        <v>13080</v>
      </c>
      <c r="F1029" s="127"/>
      <c r="G1029" s="41">
        <v>7707.24</v>
      </c>
      <c r="H1029" s="241"/>
      <c r="I1029" s="96">
        <f t="shared" si="14"/>
        <v>58.92385321100917</v>
      </c>
    </row>
    <row r="1030" spans="1:9" ht="16.5" customHeight="1">
      <c r="A1030" s="67"/>
      <c r="B1030" s="30"/>
      <c r="C1030" s="8">
        <v>4270</v>
      </c>
      <c r="D1030" s="170" t="s">
        <v>335</v>
      </c>
      <c r="E1030" s="41">
        <v>7000</v>
      </c>
      <c r="F1030" s="127"/>
      <c r="G1030" s="41">
        <v>5159.85</v>
      </c>
      <c r="H1030" s="241"/>
      <c r="I1030" s="96">
        <f t="shared" si="14"/>
        <v>73.71214285714287</v>
      </c>
    </row>
    <row r="1031" spans="1:9" ht="16.5" customHeight="1">
      <c r="A1031" s="67"/>
      <c r="B1031" s="30"/>
      <c r="C1031" s="8">
        <v>4280</v>
      </c>
      <c r="D1031" s="170" t="s">
        <v>179</v>
      </c>
      <c r="E1031" s="41">
        <v>300</v>
      </c>
      <c r="F1031" s="127"/>
      <c r="G1031" s="41">
        <v>70</v>
      </c>
      <c r="H1031" s="241"/>
      <c r="I1031" s="96">
        <f t="shared" si="14"/>
        <v>23.333333333333332</v>
      </c>
    </row>
    <row r="1032" spans="1:9" ht="16.5" customHeight="1">
      <c r="A1032" s="67"/>
      <c r="B1032" s="17"/>
      <c r="C1032" s="8">
        <v>4300</v>
      </c>
      <c r="D1032" s="170" t="s">
        <v>331</v>
      </c>
      <c r="E1032" s="41">
        <v>165750</v>
      </c>
      <c r="F1032" s="127"/>
      <c r="G1032" s="41">
        <v>64179.74</v>
      </c>
      <c r="H1032" s="241"/>
      <c r="I1032" s="96">
        <f t="shared" si="14"/>
        <v>38.7208084464555</v>
      </c>
    </row>
    <row r="1033" spans="1:9" ht="23.25" customHeight="1">
      <c r="A1033" s="67"/>
      <c r="B1033" s="17"/>
      <c r="C1033" s="19">
        <v>4360</v>
      </c>
      <c r="D1033" s="170" t="s">
        <v>693</v>
      </c>
      <c r="E1033" s="41">
        <v>5300</v>
      </c>
      <c r="F1033" s="127"/>
      <c r="G1033" s="41">
        <v>1191.26</v>
      </c>
      <c r="H1033" s="241"/>
      <c r="I1033" s="96">
        <f t="shared" si="14"/>
        <v>22.476603773584905</v>
      </c>
    </row>
    <row r="1034" spans="1:22" s="53" customFormat="1" ht="23.25" customHeight="1">
      <c r="A1034" s="67"/>
      <c r="B1034" s="17"/>
      <c r="C1034" s="19">
        <v>4400</v>
      </c>
      <c r="D1034" s="205" t="s">
        <v>92</v>
      </c>
      <c r="E1034" s="41">
        <v>28700</v>
      </c>
      <c r="F1034" s="127"/>
      <c r="G1034" s="41">
        <v>14348.88</v>
      </c>
      <c r="H1034" s="241"/>
      <c r="I1034" s="96">
        <f t="shared" si="14"/>
        <v>49.996097560975606</v>
      </c>
      <c r="J1034" s="159"/>
      <c r="K1034" s="159"/>
      <c r="L1034" s="159"/>
      <c r="M1034" s="159"/>
      <c r="N1034" s="159"/>
      <c r="O1034" s="159"/>
      <c r="P1034" s="159"/>
      <c r="Q1034" s="159"/>
      <c r="R1034" s="159"/>
      <c r="S1034" s="159"/>
      <c r="T1034" s="159"/>
      <c r="U1034" s="159"/>
      <c r="V1034" s="159"/>
    </row>
    <row r="1035" spans="1:9" ht="15.75" customHeight="1">
      <c r="A1035" s="67"/>
      <c r="B1035" s="17"/>
      <c r="C1035" s="8">
        <v>4410</v>
      </c>
      <c r="D1035" s="170" t="s">
        <v>569</v>
      </c>
      <c r="E1035" s="41">
        <v>41832</v>
      </c>
      <c r="F1035" s="127"/>
      <c r="G1035" s="41">
        <v>13720.88</v>
      </c>
      <c r="H1035" s="241"/>
      <c r="I1035" s="96">
        <f t="shared" si="14"/>
        <v>32.79996175176898</v>
      </c>
    </row>
    <row r="1036" spans="1:9" ht="15.75" customHeight="1">
      <c r="A1036" s="67"/>
      <c r="B1036" s="17"/>
      <c r="C1036" s="8">
        <v>4430</v>
      </c>
      <c r="D1036" s="170" t="s">
        <v>314</v>
      </c>
      <c r="E1036" s="41">
        <v>1500</v>
      </c>
      <c r="F1036" s="127"/>
      <c r="G1036" s="41">
        <v>649</v>
      </c>
      <c r="H1036" s="241"/>
      <c r="I1036" s="96">
        <f aca="true" t="shared" si="15" ref="I1036:I1108">G1036/E1036*100</f>
        <v>43.266666666666666</v>
      </c>
    </row>
    <row r="1037" spans="1:9" ht="23.25" customHeight="1">
      <c r="A1037" s="67"/>
      <c r="B1037" s="17"/>
      <c r="C1037" s="8">
        <v>4440</v>
      </c>
      <c r="D1037" s="170" t="s">
        <v>567</v>
      </c>
      <c r="E1037" s="41">
        <v>8960</v>
      </c>
      <c r="F1037" s="127"/>
      <c r="G1037" s="41">
        <v>6720</v>
      </c>
      <c r="H1037" s="241"/>
      <c r="I1037" s="96">
        <f t="shared" si="15"/>
        <v>75</v>
      </c>
    </row>
    <row r="1038" spans="1:11" ht="23.25" customHeight="1">
      <c r="A1038" s="67"/>
      <c r="B1038" s="17"/>
      <c r="C1038" s="8">
        <v>4700</v>
      </c>
      <c r="D1038" s="170" t="s">
        <v>290</v>
      </c>
      <c r="E1038" s="41">
        <v>140651</v>
      </c>
      <c r="F1038" s="127"/>
      <c r="G1038" s="41">
        <v>65441.97</v>
      </c>
      <c r="H1038" s="241"/>
      <c r="I1038" s="96">
        <f t="shared" si="15"/>
        <v>46.52790950650902</v>
      </c>
      <c r="K1038" s="55"/>
    </row>
    <row r="1039" spans="1:9" ht="20.25" customHeight="1">
      <c r="A1039" s="67"/>
      <c r="B1039" s="24">
        <v>80148</v>
      </c>
      <c r="C1039" s="24"/>
      <c r="D1039" s="175" t="s">
        <v>615</v>
      </c>
      <c r="E1039" s="91">
        <f>SUM(E1040:E1055)</f>
        <v>557088</v>
      </c>
      <c r="F1039" s="233"/>
      <c r="G1039" s="91">
        <f>SUM(G1040:G1055)</f>
        <v>279374.30999999994</v>
      </c>
      <c r="H1039" s="241"/>
      <c r="I1039" s="96">
        <f t="shared" si="15"/>
        <v>50.14904467516801</v>
      </c>
    </row>
    <row r="1040" spans="1:9" ht="16.5" customHeight="1">
      <c r="A1040" s="67"/>
      <c r="B1040" s="17"/>
      <c r="C1040" s="19">
        <v>3020</v>
      </c>
      <c r="D1040" s="205" t="s">
        <v>177</v>
      </c>
      <c r="E1040" s="89">
        <v>3600</v>
      </c>
      <c r="F1040" s="127"/>
      <c r="G1040" s="89">
        <v>180</v>
      </c>
      <c r="H1040" s="241"/>
      <c r="I1040" s="96">
        <f t="shared" si="15"/>
        <v>5</v>
      </c>
    </row>
    <row r="1041" spans="1:9" ht="16.5" customHeight="1">
      <c r="A1041" s="67"/>
      <c r="B1041" s="17"/>
      <c r="C1041" s="8">
        <v>4010</v>
      </c>
      <c r="D1041" s="170" t="s">
        <v>378</v>
      </c>
      <c r="E1041" s="41">
        <v>169555</v>
      </c>
      <c r="F1041" s="127"/>
      <c r="G1041" s="41">
        <v>79987.6</v>
      </c>
      <c r="H1041" s="241"/>
      <c r="I1041" s="96">
        <f t="shared" si="15"/>
        <v>47.175016956149925</v>
      </c>
    </row>
    <row r="1042" spans="1:9" ht="16.5" customHeight="1">
      <c r="A1042" s="67"/>
      <c r="B1042" s="17"/>
      <c r="C1042" s="2">
        <v>4040</v>
      </c>
      <c r="D1042" s="170" t="s">
        <v>379</v>
      </c>
      <c r="E1042" s="41">
        <v>12743</v>
      </c>
      <c r="F1042" s="88"/>
      <c r="G1042" s="41">
        <v>12308.28</v>
      </c>
      <c r="H1042" s="128"/>
      <c r="I1042" s="96">
        <f t="shared" si="15"/>
        <v>96.58855842423291</v>
      </c>
    </row>
    <row r="1043" spans="1:9" ht="16.5" customHeight="1">
      <c r="A1043" s="67"/>
      <c r="B1043" s="17"/>
      <c r="C1043" s="19">
        <v>4110</v>
      </c>
      <c r="D1043" s="205" t="s">
        <v>565</v>
      </c>
      <c r="E1043" s="89">
        <v>31344</v>
      </c>
      <c r="F1043" s="127"/>
      <c r="G1043" s="89">
        <v>15068.43</v>
      </c>
      <c r="H1043" s="241"/>
      <c r="I1043" s="250">
        <f t="shared" si="15"/>
        <v>48.07436830015314</v>
      </c>
    </row>
    <row r="1044" spans="1:9" ht="16.5" customHeight="1">
      <c r="A1044" s="67"/>
      <c r="B1044" s="17"/>
      <c r="C1044" s="8">
        <v>4120</v>
      </c>
      <c r="D1044" s="170" t="s">
        <v>566</v>
      </c>
      <c r="E1044" s="41">
        <v>4459</v>
      </c>
      <c r="F1044" s="127"/>
      <c r="G1044" s="41">
        <v>1271.47</v>
      </c>
      <c r="H1044" s="241"/>
      <c r="I1044" s="96">
        <f t="shared" si="15"/>
        <v>28.51468939224041</v>
      </c>
    </row>
    <row r="1045" spans="1:9" ht="16.5" customHeight="1">
      <c r="A1045" s="67"/>
      <c r="B1045" s="17"/>
      <c r="C1045" s="8">
        <v>4210</v>
      </c>
      <c r="D1045" s="170" t="s">
        <v>334</v>
      </c>
      <c r="E1045" s="41">
        <v>13500</v>
      </c>
      <c r="F1045" s="127"/>
      <c r="G1045" s="41">
        <v>4088.17</v>
      </c>
      <c r="H1045" s="241"/>
      <c r="I1045" s="96">
        <f t="shared" si="15"/>
        <v>30.282740740740742</v>
      </c>
    </row>
    <row r="1046" spans="1:9" ht="16.5" customHeight="1">
      <c r="A1046" s="67"/>
      <c r="B1046" s="17"/>
      <c r="C1046" s="2">
        <v>4220</v>
      </c>
      <c r="D1046" s="170" t="s">
        <v>223</v>
      </c>
      <c r="E1046" s="41">
        <v>206000</v>
      </c>
      <c r="F1046" s="127"/>
      <c r="G1046" s="41">
        <v>102447.51</v>
      </c>
      <c r="H1046" s="241"/>
      <c r="I1046" s="96">
        <f t="shared" si="15"/>
        <v>49.731800970873785</v>
      </c>
    </row>
    <row r="1047" spans="1:9" ht="16.5" customHeight="1">
      <c r="A1047" s="67"/>
      <c r="B1047" s="17"/>
      <c r="C1047" s="8">
        <v>4260</v>
      </c>
      <c r="D1047" s="170" t="s">
        <v>579</v>
      </c>
      <c r="E1047" s="41">
        <v>74500</v>
      </c>
      <c r="F1047" s="127"/>
      <c r="G1047" s="41">
        <v>35275.04</v>
      </c>
      <c r="H1047" s="241"/>
      <c r="I1047" s="96">
        <f t="shared" si="15"/>
        <v>47.349046979865776</v>
      </c>
    </row>
    <row r="1048" spans="1:9" ht="16.5" customHeight="1">
      <c r="A1048" s="67"/>
      <c r="B1048" s="17"/>
      <c r="C1048" s="8">
        <v>4270</v>
      </c>
      <c r="D1048" s="170" t="s">
        <v>335</v>
      </c>
      <c r="E1048" s="41">
        <v>6000</v>
      </c>
      <c r="F1048" s="127"/>
      <c r="G1048" s="41">
        <v>1595.75</v>
      </c>
      <c r="H1048" s="241"/>
      <c r="I1048" s="96">
        <f t="shared" si="15"/>
        <v>26.595833333333335</v>
      </c>
    </row>
    <row r="1049" spans="1:9" ht="16.5" customHeight="1">
      <c r="A1049" s="67"/>
      <c r="B1049" s="17"/>
      <c r="C1049" s="8">
        <v>4280</v>
      </c>
      <c r="D1049" s="170" t="s">
        <v>179</v>
      </c>
      <c r="E1049" s="41">
        <v>500</v>
      </c>
      <c r="F1049" s="127"/>
      <c r="G1049" s="41">
        <v>268</v>
      </c>
      <c r="H1049" s="241"/>
      <c r="I1049" s="96">
        <f t="shared" si="15"/>
        <v>53.6</v>
      </c>
    </row>
    <row r="1050" spans="1:9" ht="16.5" customHeight="1">
      <c r="A1050" s="67"/>
      <c r="B1050" s="17"/>
      <c r="C1050" s="8">
        <v>4300</v>
      </c>
      <c r="D1050" s="170" t="s">
        <v>331</v>
      </c>
      <c r="E1050" s="41">
        <v>17000</v>
      </c>
      <c r="F1050" s="127"/>
      <c r="G1050" s="41">
        <v>11816.66</v>
      </c>
      <c r="H1050" s="241"/>
      <c r="I1050" s="96">
        <f t="shared" si="15"/>
        <v>69.50976470588235</v>
      </c>
    </row>
    <row r="1051" spans="1:9" ht="16.5" customHeight="1">
      <c r="A1051" s="67"/>
      <c r="B1051" s="17"/>
      <c r="C1051" s="8">
        <v>4410</v>
      </c>
      <c r="D1051" s="170" t="s">
        <v>569</v>
      </c>
      <c r="E1051" s="41">
        <v>200</v>
      </c>
      <c r="F1051" s="127"/>
      <c r="G1051" s="41">
        <v>0</v>
      </c>
      <c r="H1051" s="241"/>
      <c r="I1051" s="96"/>
    </row>
    <row r="1052" spans="1:9" ht="24" customHeight="1">
      <c r="A1052" s="67"/>
      <c r="B1052" s="17"/>
      <c r="C1052" s="8">
        <v>4440</v>
      </c>
      <c r="D1052" s="170" t="s">
        <v>567</v>
      </c>
      <c r="E1052" s="41">
        <v>7035</v>
      </c>
      <c r="F1052" s="127"/>
      <c r="G1052" s="41">
        <v>5252</v>
      </c>
      <c r="H1052" s="241"/>
      <c r="I1052" s="96">
        <f t="shared" si="15"/>
        <v>74.65529495380243</v>
      </c>
    </row>
    <row r="1053" spans="1:9" ht="24" customHeight="1">
      <c r="A1053" s="67"/>
      <c r="B1053" s="17"/>
      <c r="C1053" s="8">
        <v>4520</v>
      </c>
      <c r="D1053" s="170" t="s">
        <v>289</v>
      </c>
      <c r="E1053" s="41">
        <v>4132</v>
      </c>
      <c r="F1053" s="127"/>
      <c r="G1053" s="41">
        <v>3837.6</v>
      </c>
      <c r="H1053" s="241"/>
      <c r="I1053" s="96">
        <f t="shared" si="15"/>
        <v>92.87512100677637</v>
      </c>
    </row>
    <row r="1054" spans="1:9" ht="24" customHeight="1">
      <c r="A1054" s="67"/>
      <c r="B1054" s="17"/>
      <c r="C1054" s="8">
        <v>4700</v>
      </c>
      <c r="D1054" s="170" t="s">
        <v>290</v>
      </c>
      <c r="E1054" s="41">
        <v>520</v>
      </c>
      <c r="F1054" s="127"/>
      <c r="G1054" s="41">
        <v>0</v>
      </c>
      <c r="H1054" s="241"/>
      <c r="I1054" s="96"/>
    </row>
    <row r="1055" spans="1:9" ht="24" customHeight="1">
      <c r="A1055" s="67"/>
      <c r="B1055" s="17"/>
      <c r="C1055" s="8">
        <v>6060</v>
      </c>
      <c r="D1055" s="170" t="s">
        <v>584</v>
      </c>
      <c r="E1055" s="41">
        <v>6000</v>
      </c>
      <c r="F1055" s="127"/>
      <c r="G1055" s="41">
        <v>5977.8</v>
      </c>
      <c r="H1055" s="241"/>
      <c r="I1055" s="96">
        <f t="shared" si="15"/>
        <v>99.63000000000001</v>
      </c>
    </row>
    <row r="1056" spans="1:9" ht="69.75" customHeight="1">
      <c r="A1056" s="67"/>
      <c r="B1056" s="24">
        <v>80150</v>
      </c>
      <c r="C1056" s="8"/>
      <c r="D1056" s="175" t="s">
        <v>287</v>
      </c>
      <c r="E1056" s="91">
        <f>SUM(E1057:E1062)</f>
        <v>1435419</v>
      </c>
      <c r="F1056" s="121"/>
      <c r="G1056" s="91">
        <f>SUM(G1057:G1062)</f>
        <v>892410.3400000001</v>
      </c>
      <c r="H1056" s="241"/>
      <c r="I1056" s="96">
        <f t="shared" si="15"/>
        <v>62.1707208835887</v>
      </c>
    </row>
    <row r="1057" spans="1:9" ht="46.5" customHeight="1">
      <c r="A1057" s="67"/>
      <c r="B1057" s="30"/>
      <c r="C1057" s="8">
        <v>2590</v>
      </c>
      <c r="D1057" s="170" t="s">
        <v>614</v>
      </c>
      <c r="E1057" s="52">
        <v>20942</v>
      </c>
      <c r="F1057" s="55"/>
      <c r="G1057" s="52">
        <v>10471.02</v>
      </c>
      <c r="H1057" s="241"/>
      <c r="I1057" s="96">
        <f t="shared" si="15"/>
        <v>50.00009550186228</v>
      </c>
    </row>
    <row r="1058" spans="1:9" ht="17.25" customHeight="1">
      <c r="A1058" s="67"/>
      <c r="B1058" s="17"/>
      <c r="C1058" s="8">
        <v>4010</v>
      </c>
      <c r="D1058" s="170" t="s">
        <v>378</v>
      </c>
      <c r="E1058" s="41">
        <v>1173319</v>
      </c>
      <c r="F1058" s="127"/>
      <c r="G1058" s="41">
        <v>741294.06</v>
      </c>
      <c r="H1058" s="241"/>
      <c r="I1058" s="96">
        <f t="shared" si="15"/>
        <v>63.179242814613936</v>
      </c>
    </row>
    <row r="1059" spans="1:9" ht="17.25" customHeight="1">
      <c r="A1059" s="67"/>
      <c r="B1059" s="17"/>
      <c r="C1059" s="8">
        <v>4110</v>
      </c>
      <c r="D1059" s="170" t="s">
        <v>565</v>
      </c>
      <c r="E1059" s="41">
        <v>201681</v>
      </c>
      <c r="F1059" s="127"/>
      <c r="G1059" s="41">
        <v>115680.5</v>
      </c>
      <c r="H1059" s="241"/>
      <c r="I1059" s="96">
        <f t="shared" si="15"/>
        <v>57.358154709665264</v>
      </c>
    </row>
    <row r="1060" spans="1:9" ht="17.25" customHeight="1">
      <c r="A1060" s="67"/>
      <c r="B1060" s="17"/>
      <c r="C1060" s="8">
        <v>4120</v>
      </c>
      <c r="D1060" s="170" t="s">
        <v>566</v>
      </c>
      <c r="E1060" s="41">
        <v>28677</v>
      </c>
      <c r="F1060" s="127"/>
      <c r="G1060" s="41">
        <v>14176.46</v>
      </c>
      <c r="H1060" s="241"/>
      <c r="I1060" s="96">
        <f t="shared" si="15"/>
        <v>49.434947867629106</v>
      </c>
    </row>
    <row r="1061" spans="1:9" ht="17.25" customHeight="1">
      <c r="A1061" s="67"/>
      <c r="B1061" s="17"/>
      <c r="C1061" s="8">
        <v>4170</v>
      </c>
      <c r="D1061" s="170" t="s">
        <v>572</v>
      </c>
      <c r="E1061" s="41">
        <v>8500</v>
      </c>
      <c r="F1061" s="127"/>
      <c r="G1061" s="41">
        <v>8500</v>
      </c>
      <c r="H1061" s="241"/>
      <c r="I1061" s="96">
        <f t="shared" si="15"/>
        <v>100</v>
      </c>
    </row>
    <row r="1062" spans="1:9" ht="17.25" customHeight="1">
      <c r="A1062" s="67"/>
      <c r="B1062" s="17"/>
      <c r="C1062" s="8">
        <v>4410</v>
      </c>
      <c r="D1062" s="170" t="s">
        <v>569</v>
      </c>
      <c r="E1062" s="41">
        <v>2300</v>
      </c>
      <c r="F1062" s="127"/>
      <c r="G1062" s="41">
        <v>2288.3</v>
      </c>
      <c r="H1062" s="241"/>
      <c r="I1062" s="96">
        <f t="shared" si="15"/>
        <v>99.49130434782609</v>
      </c>
    </row>
    <row r="1063" spans="1:9" ht="20.25" customHeight="1">
      <c r="A1063" s="67"/>
      <c r="B1063" s="24">
        <v>80195</v>
      </c>
      <c r="C1063" s="24"/>
      <c r="D1063" s="175" t="s">
        <v>250</v>
      </c>
      <c r="E1063" s="28">
        <f>SUM(E1064:E1094)</f>
        <v>1000894.0599999999</v>
      </c>
      <c r="F1063" s="28"/>
      <c r="G1063" s="28">
        <f>SUM(G1064:G1094)</f>
        <v>554744.48</v>
      </c>
      <c r="H1063" s="241"/>
      <c r="I1063" s="96">
        <f t="shared" si="15"/>
        <v>55.42489481853854</v>
      </c>
    </row>
    <row r="1064" spans="1:9" ht="44.25" customHeight="1">
      <c r="A1064" s="67"/>
      <c r="B1064" s="30"/>
      <c r="C1064" s="8">
        <v>2320</v>
      </c>
      <c r="D1064" s="170" t="s">
        <v>344</v>
      </c>
      <c r="E1064" s="89">
        <v>400</v>
      </c>
      <c r="F1064" s="241"/>
      <c r="G1064" s="52">
        <v>400</v>
      </c>
      <c r="H1064" s="241"/>
      <c r="I1064" s="96">
        <f t="shared" si="15"/>
        <v>100</v>
      </c>
    </row>
    <row r="1065" spans="1:9" ht="16.5" customHeight="1">
      <c r="A1065" s="67"/>
      <c r="B1065" s="30"/>
      <c r="C1065" s="8">
        <v>4011</v>
      </c>
      <c r="D1065" s="170" t="s">
        <v>378</v>
      </c>
      <c r="E1065" s="89">
        <v>5200</v>
      </c>
      <c r="F1065" s="127"/>
      <c r="G1065" s="89">
        <v>0</v>
      </c>
      <c r="H1065" s="241"/>
      <c r="I1065" s="96"/>
    </row>
    <row r="1066" spans="1:9" ht="16.5" customHeight="1">
      <c r="A1066" s="67"/>
      <c r="B1066" s="30"/>
      <c r="C1066" s="8">
        <v>4111</v>
      </c>
      <c r="D1066" s="170" t="s">
        <v>565</v>
      </c>
      <c r="E1066" s="89">
        <v>900</v>
      </c>
      <c r="F1066" s="127"/>
      <c r="G1066" s="89">
        <v>0</v>
      </c>
      <c r="H1066" s="241"/>
      <c r="I1066" s="96"/>
    </row>
    <row r="1067" spans="1:9" ht="16.5" customHeight="1">
      <c r="A1067" s="67"/>
      <c r="B1067" s="30"/>
      <c r="C1067" s="8">
        <v>4117</v>
      </c>
      <c r="D1067" s="170" t="s">
        <v>565</v>
      </c>
      <c r="E1067" s="89">
        <v>806.18</v>
      </c>
      <c r="F1067" s="127"/>
      <c r="G1067" s="89">
        <v>0</v>
      </c>
      <c r="H1067" s="241"/>
      <c r="I1067" s="96"/>
    </row>
    <row r="1068" spans="1:9" ht="16.5" customHeight="1">
      <c r="A1068" s="67"/>
      <c r="B1068" s="30"/>
      <c r="C1068" s="8">
        <v>4119</v>
      </c>
      <c r="D1068" s="170" t="s">
        <v>565</v>
      </c>
      <c r="E1068" s="89">
        <v>48.82</v>
      </c>
      <c r="F1068" s="127"/>
      <c r="G1068" s="89">
        <v>0</v>
      </c>
      <c r="H1068" s="241"/>
      <c r="I1068" s="96"/>
    </row>
    <row r="1069" spans="1:9" ht="16.5" customHeight="1">
      <c r="A1069" s="67"/>
      <c r="B1069" s="30"/>
      <c r="C1069" s="19">
        <v>4121</v>
      </c>
      <c r="D1069" s="205" t="s">
        <v>566</v>
      </c>
      <c r="E1069" s="89">
        <v>130</v>
      </c>
      <c r="F1069" s="127"/>
      <c r="G1069" s="89">
        <v>0</v>
      </c>
      <c r="H1069" s="241"/>
      <c r="I1069" s="96"/>
    </row>
    <row r="1070" spans="1:9" ht="16.5" customHeight="1">
      <c r="A1070" s="67"/>
      <c r="B1070" s="30"/>
      <c r="C1070" s="19">
        <v>4127</v>
      </c>
      <c r="D1070" s="205" t="s">
        <v>566</v>
      </c>
      <c r="E1070" s="89">
        <v>115.98</v>
      </c>
      <c r="F1070" s="127"/>
      <c r="G1070" s="89">
        <v>0</v>
      </c>
      <c r="H1070" s="241"/>
      <c r="I1070" s="96"/>
    </row>
    <row r="1071" spans="1:9" ht="16.5" customHeight="1">
      <c r="A1071" s="67"/>
      <c r="B1071" s="17"/>
      <c r="C1071" s="8">
        <v>4129</v>
      </c>
      <c r="D1071" s="205" t="s">
        <v>566</v>
      </c>
      <c r="E1071" s="41">
        <v>7.02</v>
      </c>
      <c r="F1071" s="127"/>
      <c r="G1071" s="41">
        <v>0</v>
      </c>
      <c r="H1071" s="241"/>
      <c r="I1071" s="96"/>
    </row>
    <row r="1072" spans="1:9" ht="16.5" customHeight="1">
      <c r="A1072" s="67"/>
      <c r="B1072" s="17"/>
      <c r="C1072" s="8">
        <v>4177</v>
      </c>
      <c r="D1072" s="170" t="s">
        <v>572</v>
      </c>
      <c r="E1072" s="41">
        <v>4714.5</v>
      </c>
      <c r="F1072" s="127"/>
      <c r="G1072" s="41">
        <v>0</v>
      </c>
      <c r="H1072" s="241"/>
      <c r="I1072" s="96"/>
    </row>
    <row r="1073" spans="1:9" ht="16.5" customHeight="1">
      <c r="A1073" s="67"/>
      <c r="B1073" s="17"/>
      <c r="C1073" s="8">
        <v>4179</v>
      </c>
      <c r="D1073" s="170" t="s">
        <v>572</v>
      </c>
      <c r="E1073" s="41">
        <v>285.5</v>
      </c>
      <c r="F1073" s="127"/>
      <c r="G1073" s="41">
        <v>0</v>
      </c>
      <c r="H1073" s="241"/>
      <c r="I1073" s="96"/>
    </row>
    <row r="1074" spans="1:9" ht="16.5" customHeight="1">
      <c r="A1074" s="67"/>
      <c r="B1074" s="17"/>
      <c r="C1074" s="2">
        <v>4210</v>
      </c>
      <c r="D1074" s="170" t="s">
        <v>334</v>
      </c>
      <c r="E1074" s="41">
        <v>2800</v>
      </c>
      <c r="F1074" s="88"/>
      <c r="G1074" s="41">
        <v>2800</v>
      </c>
      <c r="H1074" s="128"/>
      <c r="I1074" s="96">
        <f t="shared" si="15"/>
        <v>100</v>
      </c>
    </row>
    <row r="1075" spans="1:9" ht="16.5" customHeight="1">
      <c r="A1075" s="67"/>
      <c r="B1075" s="17"/>
      <c r="C1075" s="19">
        <v>4211</v>
      </c>
      <c r="D1075" s="205" t="s">
        <v>334</v>
      </c>
      <c r="E1075" s="89">
        <v>830</v>
      </c>
      <c r="F1075" s="127"/>
      <c r="G1075" s="89">
        <v>0</v>
      </c>
      <c r="H1075" s="241"/>
      <c r="I1075" s="250"/>
    </row>
    <row r="1076" spans="1:9" ht="16.5" customHeight="1">
      <c r="A1076" s="67"/>
      <c r="B1076" s="17"/>
      <c r="C1076" s="8">
        <v>4217</v>
      </c>
      <c r="D1076" s="170" t="s">
        <v>334</v>
      </c>
      <c r="E1076" s="41">
        <v>7260.33</v>
      </c>
      <c r="F1076" s="127"/>
      <c r="G1076" s="41">
        <v>0</v>
      </c>
      <c r="H1076" s="241"/>
      <c r="I1076" s="96"/>
    </row>
    <row r="1077" spans="1:9" ht="16.5" customHeight="1">
      <c r="A1077" s="67"/>
      <c r="B1077" s="17"/>
      <c r="C1077" s="8">
        <v>4219</v>
      </c>
      <c r="D1077" s="170" t="s">
        <v>334</v>
      </c>
      <c r="E1077" s="41">
        <v>439.67</v>
      </c>
      <c r="F1077" s="127"/>
      <c r="G1077" s="41">
        <v>0</v>
      </c>
      <c r="H1077" s="241"/>
      <c r="I1077" s="96"/>
    </row>
    <row r="1078" spans="1:9" ht="24" customHeight="1">
      <c r="A1078" s="67"/>
      <c r="B1078" s="17"/>
      <c r="C1078" s="8">
        <v>4241</v>
      </c>
      <c r="D1078" s="170" t="s">
        <v>221</v>
      </c>
      <c r="E1078" s="41">
        <v>830</v>
      </c>
      <c r="F1078" s="127"/>
      <c r="G1078" s="41">
        <v>0</v>
      </c>
      <c r="H1078" s="241"/>
      <c r="I1078" s="96"/>
    </row>
    <row r="1079" spans="1:9" ht="24" customHeight="1">
      <c r="A1079" s="67"/>
      <c r="B1079" s="17"/>
      <c r="C1079" s="8">
        <v>4247</v>
      </c>
      <c r="D1079" s="170" t="s">
        <v>221</v>
      </c>
      <c r="E1079" s="87">
        <v>282.87</v>
      </c>
      <c r="F1079" s="127"/>
      <c r="G1079" s="87">
        <v>0</v>
      </c>
      <c r="H1079" s="241"/>
      <c r="I1079" s="96"/>
    </row>
    <row r="1080" spans="1:9" ht="24" customHeight="1">
      <c r="A1080" s="67"/>
      <c r="B1080" s="17"/>
      <c r="C1080" s="8">
        <v>4249</v>
      </c>
      <c r="D1080" s="163" t="s">
        <v>221</v>
      </c>
      <c r="E1080" s="52">
        <v>17.13</v>
      </c>
      <c r="F1080" s="127"/>
      <c r="G1080" s="87">
        <v>0</v>
      </c>
      <c r="H1080" s="241"/>
      <c r="I1080" s="96"/>
    </row>
    <row r="1081" spans="1:9" ht="16.5" customHeight="1">
      <c r="A1081" s="67"/>
      <c r="B1081" s="17"/>
      <c r="C1081" s="8">
        <v>4300</v>
      </c>
      <c r="D1081" s="163" t="s">
        <v>331</v>
      </c>
      <c r="E1081" s="73">
        <v>800</v>
      </c>
      <c r="F1081" s="127"/>
      <c r="G1081" s="87">
        <v>800</v>
      </c>
      <c r="H1081" s="241"/>
      <c r="I1081" s="96">
        <f t="shared" si="15"/>
        <v>100</v>
      </c>
    </row>
    <row r="1082" spans="1:9" ht="16.5" customHeight="1">
      <c r="A1082" s="67"/>
      <c r="B1082" s="17"/>
      <c r="C1082" s="8">
        <v>4301</v>
      </c>
      <c r="D1082" s="163" t="s">
        <v>331</v>
      </c>
      <c r="E1082" s="52">
        <v>99507.17</v>
      </c>
      <c r="F1082" s="127"/>
      <c r="G1082" s="87">
        <v>0</v>
      </c>
      <c r="H1082" s="241"/>
      <c r="I1082" s="96"/>
    </row>
    <row r="1083" spans="1:9" ht="16.5" customHeight="1">
      <c r="A1083" s="67"/>
      <c r="B1083" s="17"/>
      <c r="C1083" s="8">
        <v>4307</v>
      </c>
      <c r="D1083" s="163" t="s">
        <v>331</v>
      </c>
      <c r="E1083" s="73">
        <v>1885.8</v>
      </c>
      <c r="F1083" s="127"/>
      <c r="G1083" s="87">
        <v>0</v>
      </c>
      <c r="H1083" s="241"/>
      <c r="I1083" s="96"/>
    </row>
    <row r="1084" spans="1:9" ht="16.5" customHeight="1">
      <c r="A1084" s="67"/>
      <c r="B1084" s="17"/>
      <c r="C1084" s="8">
        <v>4309</v>
      </c>
      <c r="D1084" s="163" t="s">
        <v>331</v>
      </c>
      <c r="E1084" s="73">
        <v>114.2</v>
      </c>
      <c r="F1084" s="127"/>
      <c r="G1084" s="87">
        <v>0</v>
      </c>
      <c r="H1084" s="241"/>
      <c r="I1084" s="96"/>
    </row>
    <row r="1085" spans="1:9" ht="16.5" customHeight="1">
      <c r="A1085" s="67"/>
      <c r="B1085" s="17"/>
      <c r="C1085" s="8">
        <v>4421</v>
      </c>
      <c r="D1085" s="163" t="s">
        <v>570</v>
      </c>
      <c r="E1085" s="73">
        <v>60240.28</v>
      </c>
      <c r="F1085" s="127"/>
      <c r="G1085" s="87">
        <v>13622.48</v>
      </c>
      <c r="H1085" s="241"/>
      <c r="I1085" s="96">
        <f t="shared" si="15"/>
        <v>22.61357350928648</v>
      </c>
    </row>
    <row r="1086" spans="1:9" ht="16.5" customHeight="1">
      <c r="A1086" s="67"/>
      <c r="B1086" s="17"/>
      <c r="C1086" s="8">
        <v>4427</v>
      </c>
      <c r="D1086" s="163" t="s">
        <v>570</v>
      </c>
      <c r="E1086" s="73">
        <v>54688.2</v>
      </c>
      <c r="F1086" s="127"/>
      <c r="G1086" s="87">
        <v>0</v>
      </c>
      <c r="H1086" s="241"/>
      <c r="I1086" s="96"/>
    </row>
    <row r="1087" spans="1:9" ht="16.5" customHeight="1">
      <c r="A1087" s="67"/>
      <c r="B1087" s="17"/>
      <c r="C1087" s="8">
        <v>4429</v>
      </c>
      <c r="D1087" s="163" t="s">
        <v>570</v>
      </c>
      <c r="E1087" s="73">
        <v>3311.8</v>
      </c>
      <c r="F1087" s="127"/>
      <c r="G1087" s="87">
        <v>0</v>
      </c>
      <c r="H1087" s="241"/>
      <c r="I1087" s="96"/>
    </row>
    <row r="1088" spans="1:9" ht="16.5" customHeight="1">
      <c r="A1088" s="67"/>
      <c r="B1088" s="17"/>
      <c r="C1088" s="8">
        <v>4431</v>
      </c>
      <c r="D1088" s="163" t="s">
        <v>314</v>
      </c>
      <c r="E1088" s="73">
        <v>2100</v>
      </c>
      <c r="F1088" s="127"/>
      <c r="G1088" s="87">
        <v>0</v>
      </c>
      <c r="H1088" s="241"/>
      <c r="I1088" s="96"/>
    </row>
    <row r="1089" spans="1:9" ht="16.5" customHeight="1">
      <c r="A1089" s="67"/>
      <c r="B1089" s="17"/>
      <c r="C1089" s="8">
        <v>4437</v>
      </c>
      <c r="D1089" s="163" t="s">
        <v>314</v>
      </c>
      <c r="E1089" s="73">
        <v>660.03</v>
      </c>
      <c r="F1089" s="127"/>
      <c r="G1089" s="87">
        <v>0</v>
      </c>
      <c r="H1089" s="241"/>
      <c r="I1089" s="96"/>
    </row>
    <row r="1090" spans="1:9" ht="16.5" customHeight="1">
      <c r="A1090" s="67"/>
      <c r="B1090" s="17"/>
      <c r="C1090" s="8">
        <v>4439</v>
      </c>
      <c r="D1090" s="163" t="s">
        <v>314</v>
      </c>
      <c r="E1090" s="73">
        <v>39.97</v>
      </c>
      <c r="F1090" s="127"/>
      <c r="G1090" s="87">
        <v>0</v>
      </c>
      <c r="H1090" s="241"/>
      <c r="I1090" s="96"/>
    </row>
    <row r="1091" spans="1:9" ht="24" customHeight="1">
      <c r="A1091" s="67"/>
      <c r="B1091" s="17"/>
      <c r="C1091" s="8">
        <v>4440</v>
      </c>
      <c r="D1091" s="163" t="s">
        <v>567</v>
      </c>
      <c r="E1091" s="52">
        <v>702247</v>
      </c>
      <c r="F1091" s="127"/>
      <c r="G1091" s="87">
        <v>526690</v>
      </c>
      <c r="H1091" s="241"/>
      <c r="I1091" s="96">
        <f t="shared" si="15"/>
        <v>75.00067640018399</v>
      </c>
    </row>
    <row r="1092" spans="1:9" ht="24" customHeight="1">
      <c r="A1092" s="67"/>
      <c r="B1092" s="17"/>
      <c r="C1092" s="8">
        <v>4701</v>
      </c>
      <c r="D1092" s="163" t="s">
        <v>290</v>
      </c>
      <c r="E1092" s="73">
        <v>20231.61</v>
      </c>
      <c r="F1092" s="127"/>
      <c r="G1092" s="87">
        <v>7017.38</v>
      </c>
      <c r="H1092" s="241"/>
      <c r="I1092" s="96">
        <f t="shared" si="15"/>
        <v>34.68522772038409</v>
      </c>
    </row>
    <row r="1093" spans="1:9" ht="24" customHeight="1">
      <c r="A1093" s="67"/>
      <c r="B1093" s="17"/>
      <c r="C1093" s="8">
        <v>4707</v>
      </c>
      <c r="D1093" s="163" t="s">
        <v>290</v>
      </c>
      <c r="E1093" s="73">
        <v>28287</v>
      </c>
      <c r="F1093" s="127"/>
      <c r="G1093" s="87">
        <v>3219.65</v>
      </c>
      <c r="H1093" s="241"/>
      <c r="I1093" s="96">
        <f t="shared" si="15"/>
        <v>11.382083642662707</v>
      </c>
    </row>
    <row r="1094" spans="1:9" ht="24" customHeight="1">
      <c r="A1094" s="67"/>
      <c r="B1094" s="17"/>
      <c r="C1094" s="8">
        <v>4709</v>
      </c>
      <c r="D1094" s="163" t="s">
        <v>290</v>
      </c>
      <c r="E1094" s="52">
        <v>1713</v>
      </c>
      <c r="F1094" s="127"/>
      <c r="G1094" s="87">
        <v>194.97</v>
      </c>
      <c r="H1094" s="241"/>
      <c r="I1094" s="96">
        <f t="shared" si="15"/>
        <v>11.381786339754816</v>
      </c>
    </row>
    <row r="1095" spans="1:9" ht="24.75" customHeight="1">
      <c r="A1095" s="147" t="s">
        <v>612</v>
      </c>
      <c r="B1095" s="10"/>
      <c r="C1095" s="131"/>
      <c r="D1095" s="171" t="s">
        <v>200</v>
      </c>
      <c r="E1095" s="33">
        <f>E1096</f>
        <v>562</v>
      </c>
      <c r="F1095" s="222"/>
      <c r="G1095" s="33">
        <f>G1096</f>
        <v>280.8</v>
      </c>
      <c r="H1095" s="223"/>
      <c r="I1095" s="132">
        <f t="shared" si="15"/>
        <v>49.9644128113879</v>
      </c>
    </row>
    <row r="1096" spans="1:9" ht="33.75" customHeight="1">
      <c r="A1096" s="143"/>
      <c r="B1096" s="24">
        <v>85156</v>
      </c>
      <c r="C1096" s="148"/>
      <c r="D1096" s="201" t="s">
        <v>374</v>
      </c>
      <c r="E1096" s="91">
        <f>E1097</f>
        <v>562</v>
      </c>
      <c r="F1096" s="233"/>
      <c r="G1096" s="91">
        <f>G1097</f>
        <v>280.8</v>
      </c>
      <c r="H1096" s="551"/>
      <c r="I1096" s="96">
        <f t="shared" si="15"/>
        <v>49.9644128113879</v>
      </c>
    </row>
    <row r="1097" spans="1:9" ht="16.5" customHeight="1">
      <c r="A1097" s="67"/>
      <c r="B1097" s="17"/>
      <c r="C1097" s="8">
        <v>4130</v>
      </c>
      <c r="D1097" s="163" t="s">
        <v>694</v>
      </c>
      <c r="E1097" s="52">
        <v>562</v>
      </c>
      <c r="F1097" s="88"/>
      <c r="G1097" s="52">
        <v>280.8</v>
      </c>
      <c r="H1097" s="128"/>
      <c r="I1097" s="96">
        <f t="shared" si="15"/>
        <v>49.9644128113879</v>
      </c>
    </row>
    <row r="1098" spans="1:9" ht="24" customHeight="1">
      <c r="A1098" s="59">
        <v>852</v>
      </c>
      <c r="B1098" s="58"/>
      <c r="C1098" s="10"/>
      <c r="D1098" s="174" t="s">
        <v>634</v>
      </c>
      <c r="E1098" s="33">
        <f>E1099+E1123+E1146+E1157+E1159+E1167</f>
        <v>9719182</v>
      </c>
      <c r="F1098" s="33">
        <f>F1099+F1123+F1146+F1157+F1159+F1167</f>
        <v>7000</v>
      </c>
      <c r="G1098" s="33">
        <f>G1099+G1123+G1146+G1157+G1159+G1167</f>
        <v>4952808.48</v>
      </c>
      <c r="H1098" s="84">
        <f>H1099+H1123+H1146+H1157+H1159+H1167</f>
        <v>7000</v>
      </c>
      <c r="I1098" s="132">
        <f t="shared" si="15"/>
        <v>50.95910828709659</v>
      </c>
    </row>
    <row r="1099" spans="1:9" ht="20.25" customHeight="1">
      <c r="A1099" s="59"/>
      <c r="B1099" s="23">
        <v>85201</v>
      </c>
      <c r="C1099" s="24"/>
      <c r="D1099" s="175" t="s">
        <v>635</v>
      </c>
      <c r="E1099" s="39">
        <f>SUM(E1100:E1122)</f>
        <v>2230800</v>
      </c>
      <c r="F1099" s="73"/>
      <c r="G1099" s="39">
        <f>SUM(G1100:G1122)</f>
        <v>1056892.27</v>
      </c>
      <c r="H1099" s="129"/>
      <c r="I1099" s="96">
        <f t="shared" si="15"/>
        <v>47.37727586516048</v>
      </c>
    </row>
    <row r="1100" spans="1:9" ht="57" customHeight="1">
      <c r="A1100" s="67"/>
      <c r="B1100" s="17"/>
      <c r="C1100" s="2">
        <v>2360</v>
      </c>
      <c r="D1100" s="170" t="s">
        <v>102</v>
      </c>
      <c r="E1100" s="89">
        <v>200000</v>
      </c>
      <c r="F1100" s="127"/>
      <c r="G1100" s="89">
        <v>101000</v>
      </c>
      <c r="H1100" s="241"/>
      <c r="I1100" s="96">
        <f t="shared" si="15"/>
        <v>50.5</v>
      </c>
    </row>
    <row r="1101" spans="1:9" ht="17.25" customHeight="1">
      <c r="A1101" s="67"/>
      <c r="B1101" s="17"/>
      <c r="C1101" s="8">
        <v>3020</v>
      </c>
      <c r="D1101" s="170" t="s">
        <v>177</v>
      </c>
      <c r="E1101" s="41">
        <v>820</v>
      </c>
      <c r="F1101" s="127"/>
      <c r="G1101" s="41">
        <v>813.01</v>
      </c>
      <c r="H1101" s="241"/>
      <c r="I1101" s="96">
        <f t="shared" si="15"/>
        <v>99.14756097560975</v>
      </c>
    </row>
    <row r="1102" spans="1:9" ht="17.25" customHeight="1">
      <c r="A1102" s="67"/>
      <c r="B1102" s="30"/>
      <c r="C1102" s="2">
        <v>3110</v>
      </c>
      <c r="D1102" s="170" t="s">
        <v>547</v>
      </c>
      <c r="E1102" s="41">
        <v>7500</v>
      </c>
      <c r="F1102" s="127"/>
      <c r="G1102" s="41">
        <v>3322</v>
      </c>
      <c r="H1102" s="241"/>
      <c r="I1102" s="96">
        <f t="shared" si="15"/>
        <v>44.29333333333334</v>
      </c>
    </row>
    <row r="1103" spans="1:9" ht="17.25" customHeight="1">
      <c r="A1103" s="67"/>
      <c r="B1103" s="17"/>
      <c r="C1103" s="2">
        <v>4010</v>
      </c>
      <c r="D1103" s="170" t="s">
        <v>378</v>
      </c>
      <c r="E1103" s="41">
        <v>813000</v>
      </c>
      <c r="F1103" s="127"/>
      <c r="G1103" s="41">
        <v>354242.13</v>
      </c>
      <c r="H1103" s="241"/>
      <c r="I1103" s="96">
        <f t="shared" si="15"/>
        <v>43.57221771217713</v>
      </c>
    </row>
    <row r="1104" spans="1:9" ht="17.25" customHeight="1">
      <c r="A1104" s="67"/>
      <c r="B1104" s="17"/>
      <c r="C1104" s="2">
        <v>4040</v>
      </c>
      <c r="D1104" s="170" t="s">
        <v>379</v>
      </c>
      <c r="E1104" s="41">
        <v>67000</v>
      </c>
      <c r="F1104" s="127"/>
      <c r="G1104" s="41">
        <v>59247.08</v>
      </c>
      <c r="H1104" s="241"/>
      <c r="I1104" s="96">
        <f t="shared" si="15"/>
        <v>88.42847761194031</v>
      </c>
    </row>
    <row r="1105" spans="1:9" ht="17.25" customHeight="1">
      <c r="A1105" s="67"/>
      <c r="B1105" s="17"/>
      <c r="C1105" s="2">
        <v>4110</v>
      </c>
      <c r="D1105" s="170" t="s">
        <v>565</v>
      </c>
      <c r="E1105" s="41">
        <v>150000</v>
      </c>
      <c r="F1105" s="127"/>
      <c r="G1105" s="41">
        <v>68970.55</v>
      </c>
      <c r="H1105" s="241"/>
      <c r="I1105" s="96">
        <f t="shared" si="15"/>
        <v>45.98036666666667</v>
      </c>
    </row>
    <row r="1106" spans="1:9" ht="17.25" customHeight="1">
      <c r="A1106" s="67"/>
      <c r="B1106" s="17"/>
      <c r="C1106" s="2">
        <v>4120</v>
      </c>
      <c r="D1106" s="170" t="s">
        <v>566</v>
      </c>
      <c r="E1106" s="41">
        <v>20000</v>
      </c>
      <c r="F1106" s="127"/>
      <c r="G1106" s="41">
        <v>8670.21</v>
      </c>
      <c r="H1106" s="241"/>
      <c r="I1106" s="96">
        <f t="shared" si="15"/>
        <v>43.351049999999994</v>
      </c>
    </row>
    <row r="1107" spans="1:9" ht="17.25" customHeight="1">
      <c r="A1107" s="67"/>
      <c r="B1107" s="17"/>
      <c r="C1107" s="2">
        <v>4170</v>
      </c>
      <c r="D1107" s="170" t="s">
        <v>572</v>
      </c>
      <c r="E1107" s="41">
        <v>3600</v>
      </c>
      <c r="F1107" s="88"/>
      <c r="G1107" s="41">
        <v>0</v>
      </c>
      <c r="H1107" s="128"/>
      <c r="I1107" s="96"/>
    </row>
    <row r="1108" spans="1:9" ht="17.25" customHeight="1">
      <c r="A1108" s="67"/>
      <c r="B1108" s="17"/>
      <c r="C1108" s="1">
        <v>4210</v>
      </c>
      <c r="D1108" s="205" t="s">
        <v>334</v>
      </c>
      <c r="E1108" s="89">
        <v>25519</v>
      </c>
      <c r="F1108" s="127"/>
      <c r="G1108" s="89">
        <v>10330.26</v>
      </c>
      <c r="H1108" s="241"/>
      <c r="I1108" s="250">
        <f t="shared" si="15"/>
        <v>40.48066146792586</v>
      </c>
    </row>
    <row r="1109" spans="1:9" ht="17.25" customHeight="1">
      <c r="A1109" s="67"/>
      <c r="B1109" s="17"/>
      <c r="C1109" s="2">
        <v>4220</v>
      </c>
      <c r="D1109" s="170" t="s">
        <v>223</v>
      </c>
      <c r="E1109" s="41">
        <v>5000</v>
      </c>
      <c r="F1109" s="127"/>
      <c r="G1109" s="41">
        <v>628.09</v>
      </c>
      <c r="H1109" s="241"/>
      <c r="I1109" s="96">
        <f aca="true" t="shared" si="16" ref="I1109:I1184">G1109/E1109*100</f>
        <v>12.561800000000002</v>
      </c>
    </row>
    <row r="1110" spans="1:9" ht="24" customHeight="1">
      <c r="A1110" s="67"/>
      <c r="B1110" s="17"/>
      <c r="C1110" s="2">
        <v>4240</v>
      </c>
      <c r="D1110" s="170" t="s">
        <v>221</v>
      </c>
      <c r="E1110" s="41">
        <v>7000</v>
      </c>
      <c r="F1110" s="127"/>
      <c r="G1110" s="41">
        <v>330.8</v>
      </c>
      <c r="H1110" s="241"/>
      <c r="I1110" s="96">
        <f t="shared" si="16"/>
        <v>4.725714285714286</v>
      </c>
    </row>
    <row r="1111" spans="1:9" ht="15.75" customHeight="1">
      <c r="A1111" s="67"/>
      <c r="B1111" s="17"/>
      <c r="C1111" s="2">
        <v>4260</v>
      </c>
      <c r="D1111" s="170" t="s">
        <v>579</v>
      </c>
      <c r="E1111" s="41">
        <v>38000</v>
      </c>
      <c r="F1111" s="127"/>
      <c r="G1111" s="41">
        <v>18160.06</v>
      </c>
      <c r="H1111" s="241"/>
      <c r="I1111" s="96">
        <f t="shared" si="16"/>
        <v>47.78963157894737</v>
      </c>
    </row>
    <row r="1112" spans="1:9" ht="15.75" customHeight="1">
      <c r="A1112" s="67"/>
      <c r="B1112" s="17"/>
      <c r="C1112" s="2">
        <v>4270</v>
      </c>
      <c r="D1112" s="170" t="s">
        <v>335</v>
      </c>
      <c r="E1112" s="41">
        <v>20000</v>
      </c>
      <c r="F1112" s="127"/>
      <c r="G1112" s="41">
        <v>3992.87</v>
      </c>
      <c r="H1112" s="241"/>
      <c r="I1112" s="96">
        <f t="shared" si="16"/>
        <v>19.96435</v>
      </c>
    </row>
    <row r="1113" spans="1:9" ht="15.75" customHeight="1">
      <c r="A1113" s="67"/>
      <c r="B1113" s="17"/>
      <c r="C1113" s="2">
        <v>4280</v>
      </c>
      <c r="D1113" s="170" t="s">
        <v>179</v>
      </c>
      <c r="E1113" s="41">
        <v>800</v>
      </c>
      <c r="F1113" s="127"/>
      <c r="G1113" s="41">
        <v>230</v>
      </c>
      <c r="H1113" s="241"/>
      <c r="I1113" s="96">
        <f t="shared" si="16"/>
        <v>28.749999999999996</v>
      </c>
    </row>
    <row r="1114" spans="1:9" ht="15.75" customHeight="1">
      <c r="A1114" s="67"/>
      <c r="B1114" s="17"/>
      <c r="C1114" s="2">
        <v>4300</v>
      </c>
      <c r="D1114" s="170" t="s">
        <v>331</v>
      </c>
      <c r="E1114" s="41">
        <v>96850</v>
      </c>
      <c r="F1114" s="127"/>
      <c r="G1114" s="41">
        <v>40224.08</v>
      </c>
      <c r="H1114" s="241"/>
      <c r="I1114" s="96">
        <f t="shared" si="16"/>
        <v>41.53234899328859</v>
      </c>
    </row>
    <row r="1115" spans="1:9" ht="23.25" customHeight="1">
      <c r="A1115" s="67"/>
      <c r="B1115" s="17"/>
      <c r="C1115" s="8">
        <v>4330</v>
      </c>
      <c r="D1115" s="170" t="s">
        <v>143</v>
      </c>
      <c r="E1115" s="41">
        <v>729000</v>
      </c>
      <c r="F1115" s="127"/>
      <c r="G1115" s="41">
        <v>360403.62</v>
      </c>
      <c r="H1115" s="241"/>
      <c r="I1115" s="96">
        <f t="shared" si="16"/>
        <v>49.438082304526745</v>
      </c>
    </row>
    <row r="1116" spans="1:9" ht="23.25" customHeight="1">
      <c r="A1116" s="67"/>
      <c r="B1116" s="17"/>
      <c r="C1116" s="19">
        <v>4360</v>
      </c>
      <c r="D1116" s="170" t="s">
        <v>693</v>
      </c>
      <c r="E1116" s="41">
        <v>5800</v>
      </c>
      <c r="F1116" s="127"/>
      <c r="G1116" s="41">
        <v>2175.71</v>
      </c>
      <c r="H1116" s="241"/>
      <c r="I1116" s="96">
        <f t="shared" si="16"/>
        <v>37.512241379310346</v>
      </c>
    </row>
    <row r="1117" spans="1:9" ht="15.75" customHeight="1">
      <c r="A1117" s="67"/>
      <c r="B1117" s="17"/>
      <c r="C1117" s="2">
        <v>4410</v>
      </c>
      <c r="D1117" s="170" t="s">
        <v>569</v>
      </c>
      <c r="E1117" s="41">
        <v>9600</v>
      </c>
      <c r="F1117" s="127"/>
      <c r="G1117" s="41">
        <v>3485.74</v>
      </c>
      <c r="H1117" s="241"/>
      <c r="I1117" s="96">
        <f t="shared" si="16"/>
        <v>36.30979166666666</v>
      </c>
    </row>
    <row r="1118" spans="1:9" ht="15.75" customHeight="1">
      <c r="A1118" s="67"/>
      <c r="B1118" s="17"/>
      <c r="C1118" s="2">
        <v>4430</v>
      </c>
      <c r="D1118" s="170" t="s">
        <v>314</v>
      </c>
      <c r="E1118" s="41">
        <v>2000</v>
      </c>
      <c r="F1118" s="127"/>
      <c r="G1118" s="41">
        <v>837</v>
      </c>
      <c r="H1118" s="241"/>
      <c r="I1118" s="96">
        <f t="shared" si="16"/>
        <v>41.85</v>
      </c>
    </row>
    <row r="1119" spans="1:9" ht="24" customHeight="1">
      <c r="A1119" s="67"/>
      <c r="B1119" s="17"/>
      <c r="C1119" s="2">
        <v>4440</v>
      </c>
      <c r="D1119" s="170" t="s">
        <v>567</v>
      </c>
      <c r="E1119" s="41">
        <v>21150</v>
      </c>
      <c r="F1119" s="127"/>
      <c r="G1119" s="41">
        <v>15900</v>
      </c>
      <c r="H1119" s="241"/>
      <c r="I1119" s="96">
        <f t="shared" si="16"/>
        <v>75.177304964539</v>
      </c>
    </row>
    <row r="1120" spans="1:9" ht="16.5" customHeight="1">
      <c r="A1120" s="67"/>
      <c r="B1120" s="17"/>
      <c r="C1120" s="8">
        <v>4480</v>
      </c>
      <c r="D1120" s="170" t="s">
        <v>272</v>
      </c>
      <c r="E1120" s="41">
        <v>3161</v>
      </c>
      <c r="F1120" s="127"/>
      <c r="G1120" s="41">
        <v>3161</v>
      </c>
      <c r="H1120" s="241"/>
      <c r="I1120" s="96">
        <f t="shared" si="16"/>
        <v>100</v>
      </c>
    </row>
    <row r="1121" spans="1:9" ht="24" customHeight="1">
      <c r="A1121" s="67"/>
      <c r="B1121" s="17"/>
      <c r="C1121" s="8">
        <v>4520</v>
      </c>
      <c r="D1121" s="170" t="s">
        <v>289</v>
      </c>
      <c r="E1121" s="41">
        <v>1000</v>
      </c>
      <c r="F1121" s="127"/>
      <c r="G1121" s="41">
        <v>768.06</v>
      </c>
      <c r="H1121" s="241"/>
      <c r="I1121" s="96">
        <f t="shared" si="16"/>
        <v>76.806</v>
      </c>
    </row>
    <row r="1122" spans="1:9" ht="24" customHeight="1">
      <c r="A1122" s="67"/>
      <c r="B1122" s="17"/>
      <c r="C1122" s="8">
        <v>4700</v>
      </c>
      <c r="D1122" s="170" t="s">
        <v>290</v>
      </c>
      <c r="E1122" s="41">
        <v>4000</v>
      </c>
      <c r="F1122" s="127"/>
      <c r="G1122" s="41">
        <v>0</v>
      </c>
      <c r="H1122" s="241"/>
      <c r="I1122" s="96"/>
    </row>
    <row r="1123" spans="1:9" ht="20.25" customHeight="1">
      <c r="A1123" s="67"/>
      <c r="B1123" s="27">
        <v>85202</v>
      </c>
      <c r="C1123" s="24"/>
      <c r="D1123" s="175" t="s">
        <v>93</v>
      </c>
      <c r="E1123" s="38">
        <f>SUM(E1124:E1145)</f>
        <v>5283974.999999999</v>
      </c>
      <c r="F1123" s="127"/>
      <c r="G1123" s="38">
        <f>SUM(G1124:G1145)</f>
        <v>2795765.2100000004</v>
      </c>
      <c r="H1123" s="241"/>
      <c r="I1123" s="96">
        <f t="shared" si="16"/>
        <v>52.91026566174142</v>
      </c>
    </row>
    <row r="1124" spans="1:9" ht="16.5" customHeight="1">
      <c r="A1124" s="67"/>
      <c r="B1124" s="27"/>
      <c r="C1124" s="8">
        <v>3020</v>
      </c>
      <c r="D1124" s="170" t="s">
        <v>177</v>
      </c>
      <c r="E1124" s="89">
        <v>10000</v>
      </c>
      <c r="F1124" s="127"/>
      <c r="G1124" s="89">
        <v>9471.37</v>
      </c>
      <c r="H1124" s="241"/>
      <c r="I1124" s="96">
        <f t="shared" si="16"/>
        <v>94.71370000000002</v>
      </c>
    </row>
    <row r="1125" spans="1:9" ht="16.5" customHeight="1">
      <c r="A1125" s="67"/>
      <c r="B1125" s="17"/>
      <c r="C1125" s="8">
        <v>4010</v>
      </c>
      <c r="D1125" s="170" t="s">
        <v>378</v>
      </c>
      <c r="E1125" s="41">
        <v>3295629</v>
      </c>
      <c r="F1125" s="127"/>
      <c r="G1125" s="41">
        <v>1539273.03</v>
      </c>
      <c r="H1125" s="241"/>
      <c r="I1125" s="96">
        <f t="shared" si="16"/>
        <v>46.70650215785818</v>
      </c>
    </row>
    <row r="1126" spans="1:9" ht="16.5" customHeight="1">
      <c r="A1126" s="67"/>
      <c r="B1126" s="17"/>
      <c r="C1126" s="8">
        <v>4040</v>
      </c>
      <c r="D1126" s="170" t="s">
        <v>379</v>
      </c>
      <c r="E1126" s="41">
        <v>255337.43</v>
      </c>
      <c r="F1126" s="127"/>
      <c r="G1126" s="41">
        <v>255337.43</v>
      </c>
      <c r="H1126" s="241"/>
      <c r="I1126" s="96">
        <f t="shared" si="16"/>
        <v>100</v>
      </c>
    </row>
    <row r="1127" spans="1:9" ht="16.5" customHeight="1">
      <c r="A1127" s="67"/>
      <c r="B1127" s="17"/>
      <c r="C1127" s="8">
        <v>4110</v>
      </c>
      <c r="D1127" s="170" t="s">
        <v>565</v>
      </c>
      <c r="E1127" s="41">
        <v>555254</v>
      </c>
      <c r="F1127" s="127"/>
      <c r="G1127" s="41">
        <v>253777.26</v>
      </c>
      <c r="H1127" s="241"/>
      <c r="I1127" s="96">
        <f t="shared" si="16"/>
        <v>45.70471531947541</v>
      </c>
    </row>
    <row r="1128" spans="1:9" ht="16.5" customHeight="1">
      <c r="A1128" s="67"/>
      <c r="B1128" s="17"/>
      <c r="C1128" s="8">
        <v>4120</v>
      </c>
      <c r="D1128" s="170" t="s">
        <v>566</v>
      </c>
      <c r="E1128" s="41">
        <v>58500</v>
      </c>
      <c r="F1128" s="127"/>
      <c r="G1128" s="41">
        <v>26951.1</v>
      </c>
      <c r="H1128" s="241"/>
      <c r="I1128" s="96">
        <f t="shared" si="16"/>
        <v>46.07025641025641</v>
      </c>
    </row>
    <row r="1129" spans="1:9" ht="16.5" customHeight="1">
      <c r="A1129" s="67"/>
      <c r="B1129" s="17"/>
      <c r="C1129" s="2">
        <v>4170</v>
      </c>
      <c r="D1129" s="170" t="s">
        <v>572</v>
      </c>
      <c r="E1129" s="41">
        <v>1090</v>
      </c>
      <c r="F1129" s="127"/>
      <c r="G1129" s="41">
        <v>0</v>
      </c>
      <c r="H1129" s="241"/>
      <c r="I1129" s="96"/>
    </row>
    <row r="1130" spans="1:9" ht="16.5" customHeight="1">
      <c r="A1130" s="67"/>
      <c r="B1130" s="17"/>
      <c r="C1130" s="8">
        <v>4210</v>
      </c>
      <c r="D1130" s="170" t="s">
        <v>334</v>
      </c>
      <c r="E1130" s="41">
        <v>130178</v>
      </c>
      <c r="F1130" s="127"/>
      <c r="G1130" s="41">
        <v>77955.76</v>
      </c>
      <c r="H1130" s="241"/>
      <c r="I1130" s="96">
        <f t="shared" si="16"/>
        <v>59.88397425064142</v>
      </c>
    </row>
    <row r="1131" spans="1:9" ht="16.5" customHeight="1">
      <c r="A1131" s="67"/>
      <c r="B1131" s="17"/>
      <c r="C1131" s="8">
        <v>4220</v>
      </c>
      <c r="D1131" s="170" t="s">
        <v>223</v>
      </c>
      <c r="E1131" s="41">
        <v>380982</v>
      </c>
      <c r="F1131" s="127"/>
      <c r="G1131" s="41">
        <v>202611.36</v>
      </c>
      <c r="H1131" s="241"/>
      <c r="I1131" s="96">
        <f t="shared" si="16"/>
        <v>53.181347150259064</v>
      </c>
    </row>
    <row r="1132" spans="1:9" ht="24" customHeight="1">
      <c r="A1132" s="67"/>
      <c r="B1132" s="17"/>
      <c r="C1132" s="8">
        <v>4230</v>
      </c>
      <c r="D1132" s="170" t="s">
        <v>182</v>
      </c>
      <c r="E1132" s="41">
        <v>40776.5</v>
      </c>
      <c r="F1132" s="127"/>
      <c r="G1132" s="41">
        <v>20481.2</v>
      </c>
      <c r="H1132" s="241"/>
      <c r="I1132" s="96">
        <f t="shared" si="16"/>
        <v>50.22794992213653</v>
      </c>
    </row>
    <row r="1133" spans="1:9" ht="16.5" customHeight="1">
      <c r="A1133" s="67"/>
      <c r="B1133" s="17"/>
      <c r="C1133" s="8">
        <v>4260</v>
      </c>
      <c r="D1133" s="170" t="s">
        <v>579</v>
      </c>
      <c r="E1133" s="41">
        <v>227421.6</v>
      </c>
      <c r="F1133" s="127"/>
      <c r="G1133" s="41">
        <v>197885.99</v>
      </c>
      <c r="H1133" s="241"/>
      <c r="I1133" s="96">
        <f t="shared" si="16"/>
        <v>87.01283871013132</v>
      </c>
    </row>
    <row r="1134" spans="1:9" ht="16.5" customHeight="1">
      <c r="A1134" s="67"/>
      <c r="B1134" s="17"/>
      <c r="C1134" s="8">
        <v>4270</v>
      </c>
      <c r="D1134" s="170" t="s">
        <v>335</v>
      </c>
      <c r="E1134" s="41">
        <v>53700</v>
      </c>
      <c r="F1134" s="127"/>
      <c r="G1134" s="41">
        <v>17741.72</v>
      </c>
      <c r="H1134" s="241"/>
      <c r="I1134" s="96">
        <f t="shared" si="16"/>
        <v>33.03858472998138</v>
      </c>
    </row>
    <row r="1135" spans="1:9" ht="16.5" customHeight="1">
      <c r="A1135" s="67"/>
      <c r="B1135" s="17"/>
      <c r="C1135" s="8">
        <v>4280</v>
      </c>
      <c r="D1135" s="170" t="s">
        <v>179</v>
      </c>
      <c r="E1135" s="41">
        <v>6698</v>
      </c>
      <c r="F1135" s="127"/>
      <c r="G1135" s="41">
        <v>4862</v>
      </c>
      <c r="H1135" s="241"/>
      <c r="I1135" s="96">
        <f t="shared" si="16"/>
        <v>72.58883248730965</v>
      </c>
    </row>
    <row r="1136" spans="1:9" ht="16.5" customHeight="1">
      <c r="A1136" s="67"/>
      <c r="B1136" s="17"/>
      <c r="C1136" s="8">
        <v>4300</v>
      </c>
      <c r="D1136" s="170" t="s">
        <v>331</v>
      </c>
      <c r="E1136" s="41">
        <v>120338</v>
      </c>
      <c r="F1136" s="127"/>
      <c r="G1136" s="41">
        <v>93787.78</v>
      </c>
      <c r="H1136" s="241"/>
      <c r="I1136" s="96">
        <f t="shared" si="16"/>
        <v>77.93696089348336</v>
      </c>
    </row>
    <row r="1137" spans="1:9" ht="24.75" customHeight="1">
      <c r="A1137" s="67"/>
      <c r="B1137" s="17"/>
      <c r="C1137" s="19">
        <v>4360</v>
      </c>
      <c r="D1137" s="170" t="s">
        <v>90</v>
      </c>
      <c r="E1137" s="41">
        <v>8670</v>
      </c>
      <c r="F1137" s="127"/>
      <c r="G1137" s="41">
        <v>3830.64</v>
      </c>
      <c r="H1137" s="241"/>
      <c r="I1137" s="96">
        <f t="shared" si="16"/>
        <v>44.18269896193772</v>
      </c>
    </row>
    <row r="1138" spans="1:9" ht="15.75" customHeight="1">
      <c r="A1138" s="67"/>
      <c r="B1138" s="17"/>
      <c r="C1138" s="8">
        <v>4410</v>
      </c>
      <c r="D1138" s="170" t="s">
        <v>569</v>
      </c>
      <c r="E1138" s="41">
        <v>542</v>
      </c>
      <c r="F1138" s="127"/>
      <c r="G1138" s="41">
        <v>45.6</v>
      </c>
      <c r="H1138" s="241"/>
      <c r="I1138" s="96">
        <f t="shared" si="16"/>
        <v>8.413284132841328</v>
      </c>
    </row>
    <row r="1139" spans="1:9" ht="15.75" customHeight="1">
      <c r="A1139" s="67"/>
      <c r="B1139" s="17"/>
      <c r="C1139" s="8">
        <v>4430</v>
      </c>
      <c r="D1139" s="170" t="s">
        <v>144</v>
      </c>
      <c r="E1139" s="41">
        <v>7883</v>
      </c>
      <c r="F1139" s="127"/>
      <c r="G1139" s="41">
        <v>4696</v>
      </c>
      <c r="H1139" s="241"/>
      <c r="I1139" s="96">
        <f t="shared" si="16"/>
        <v>59.57122922745148</v>
      </c>
    </row>
    <row r="1140" spans="1:9" ht="24" customHeight="1">
      <c r="A1140" s="67"/>
      <c r="B1140" s="17"/>
      <c r="C1140" s="8">
        <v>4440</v>
      </c>
      <c r="D1140" s="170" t="s">
        <v>567</v>
      </c>
      <c r="E1140" s="41">
        <v>105000</v>
      </c>
      <c r="F1140" s="127"/>
      <c r="G1140" s="41">
        <v>78750</v>
      </c>
      <c r="H1140" s="241"/>
      <c r="I1140" s="96">
        <f t="shared" si="16"/>
        <v>75</v>
      </c>
    </row>
    <row r="1141" spans="1:9" ht="15.75" customHeight="1">
      <c r="A1141" s="67"/>
      <c r="B1141" s="17"/>
      <c r="C1141" s="8">
        <v>4480</v>
      </c>
      <c r="D1141" s="170" t="s">
        <v>272</v>
      </c>
      <c r="E1141" s="41">
        <v>4917</v>
      </c>
      <c r="F1141" s="127"/>
      <c r="G1141" s="41">
        <v>2458.5</v>
      </c>
      <c r="H1141" s="241"/>
      <c r="I1141" s="96">
        <f t="shared" si="16"/>
        <v>50</v>
      </c>
    </row>
    <row r="1142" spans="1:9" ht="24" customHeight="1">
      <c r="A1142" s="67"/>
      <c r="B1142" s="17"/>
      <c r="C1142" s="8">
        <v>4500</v>
      </c>
      <c r="D1142" s="170" t="s">
        <v>624</v>
      </c>
      <c r="E1142" s="41">
        <v>49</v>
      </c>
      <c r="F1142" s="127"/>
      <c r="G1142" s="41">
        <v>49</v>
      </c>
      <c r="H1142" s="241"/>
      <c r="I1142" s="96">
        <f t="shared" si="16"/>
        <v>100</v>
      </c>
    </row>
    <row r="1143" spans="1:9" ht="24" customHeight="1">
      <c r="A1143" s="67"/>
      <c r="B1143" s="17"/>
      <c r="C1143" s="2">
        <v>4520</v>
      </c>
      <c r="D1143" s="170" t="s">
        <v>289</v>
      </c>
      <c r="E1143" s="41">
        <v>9.47</v>
      </c>
      <c r="F1143" s="88"/>
      <c r="G1143" s="41">
        <v>9.47</v>
      </c>
      <c r="H1143" s="128"/>
      <c r="I1143" s="96">
        <f t="shared" si="16"/>
        <v>100</v>
      </c>
    </row>
    <row r="1144" spans="1:9" ht="24" customHeight="1">
      <c r="A1144" s="67"/>
      <c r="B1144" s="17"/>
      <c r="C1144" s="19">
        <v>4700</v>
      </c>
      <c r="D1144" s="205" t="s">
        <v>290</v>
      </c>
      <c r="E1144" s="89">
        <v>6000</v>
      </c>
      <c r="F1144" s="127"/>
      <c r="G1144" s="89">
        <v>590</v>
      </c>
      <c r="H1144" s="241"/>
      <c r="I1144" s="250">
        <f t="shared" si="16"/>
        <v>9.833333333333332</v>
      </c>
    </row>
    <row r="1145" spans="1:9" ht="24" customHeight="1">
      <c r="A1145" s="67"/>
      <c r="B1145" s="17"/>
      <c r="C1145" s="8">
        <v>6060</v>
      </c>
      <c r="D1145" s="170" t="s">
        <v>584</v>
      </c>
      <c r="E1145" s="41">
        <v>15000</v>
      </c>
      <c r="F1145" s="127"/>
      <c r="G1145" s="41">
        <v>5200</v>
      </c>
      <c r="H1145" s="241"/>
      <c r="I1145" s="96">
        <f t="shared" si="16"/>
        <v>34.66666666666667</v>
      </c>
    </row>
    <row r="1146" spans="1:9" ht="20.25" customHeight="1">
      <c r="A1146" s="67"/>
      <c r="B1146" s="24">
        <v>85204</v>
      </c>
      <c r="C1146" s="23"/>
      <c r="D1146" s="175" t="s">
        <v>627</v>
      </c>
      <c r="E1146" s="38">
        <f>SUM(E1147:E1156)</f>
        <v>2105020</v>
      </c>
      <c r="F1146" s="127"/>
      <c r="G1146" s="38">
        <f>SUM(G1147:G1156)</f>
        <v>1050586.62</v>
      </c>
      <c r="H1146" s="241"/>
      <c r="I1146" s="96">
        <f t="shared" si="16"/>
        <v>49.908628896637566</v>
      </c>
    </row>
    <row r="1147" spans="1:9" ht="16.5" customHeight="1">
      <c r="A1147" s="70"/>
      <c r="B1147" s="7"/>
      <c r="C1147" s="8">
        <v>3110</v>
      </c>
      <c r="D1147" s="205" t="s">
        <v>547</v>
      </c>
      <c r="E1147" s="89">
        <v>1390000</v>
      </c>
      <c r="F1147" s="127"/>
      <c r="G1147" s="89">
        <v>719944.35</v>
      </c>
      <c r="H1147" s="241"/>
      <c r="I1147" s="96">
        <f t="shared" si="16"/>
        <v>51.794557553956835</v>
      </c>
    </row>
    <row r="1148" spans="1:9" ht="16.5" customHeight="1">
      <c r="A1148" s="70"/>
      <c r="B1148" s="7"/>
      <c r="C1148" s="8">
        <v>4010</v>
      </c>
      <c r="D1148" s="205" t="s">
        <v>378</v>
      </c>
      <c r="E1148" s="89">
        <v>133130</v>
      </c>
      <c r="F1148" s="127"/>
      <c r="G1148" s="89">
        <v>62896.2</v>
      </c>
      <c r="H1148" s="241"/>
      <c r="I1148" s="96">
        <f t="shared" si="16"/>
        <v>47.24419740103658</v>
      </c>
    </row>
    <row r="1149" spans="1:9" ht="16.5" customHeight="1">
      <c r="A1149" s="70"/>
      <c r="B1149" s="7"/>
      <c r="C1149" s="8">
        <v>4040</v>
      </c>
      <c r="D1149" s="170" t="s">
        <v>379</v>
      </c>
      <c r="E1149" s="89">
        <v>10510</v>
      </c>
      <c r="F1149" s="127"/>
      <c r="G1149" s="89">
        <v>10510</v>
      </c>
      <c r="H1149" s="241"/>
      <c r="I1149" s="96">
        <f t="shared" si="16"/>
        <v>100</v>
      </c>
    </row>
    <row r="1150" spans="1:9" ht="16.5" customHeight="1">
      <c r="A1150" s="70"/>
      <c r="B1150" s="7"/>
      <c r="C1150" s="8">
        <v>4110</v>
      </c>
      <c r="D1150" s="170" t="s">
        <v>565</v>
      </c>
      <c r="E1150" s="41">
        <v>63800</v>
      </c>
      <c r="F1150" s="127"/>
      <c r="G1150" s="41">
        <v>19741.66</v>
      </c>
      <c r="H1150" s="241"/>
      <c r="I1150" s="96">
        <f t="shared" si="16"/>
        <v>30.9430407523511</v>
      </c>
    </row>
    <row r="1151" spans="1:9" ht="16.5" customHeight="1">
      <c r="A1151" s="70"/>
      <c r="B1151" s="7"/>
      <c r="C1151" s="8">
        <v>4120</v>
      </c>
      <c r="D1151" s="170" t="s">
        <v>566</v>
      </c>
      <c r="E1151" s="41">
        <v>6200</v>
      </c>
      <c r="F1151" s="127"/>
      <c r="G1151" s="41">
        <v>1490.81</v>
      </c>
      <c r="H1151" s="241"/>
      <c r="I1151" s="96">
        <f t="shared" si="16"/>
        <v>24.04532258064516</v>
      </c>
    </row>
    <row r="1152" spans="1:9" ht="16.5" customHeight="1">
      <c r="A1152" s="70"/>
      <c r="B1152" s="7"/>
      <c r="C1152" s="15">
        <v>4170</v>
      </c>
      <c r="D1152" s="172" t="s">
        <v>572</v>
      </c>
      <c r="E1152" s="87">
        <v>130000</v>
      </c>
      <c r="F1152" s="127"/>
      <c r="G1152" s="87">
        <v>40754.98</v>
      </c>
      <c r="H1152" s="241"/>
      <c r="I1152" s="96">
        <f t="shared" si="16"/>
        <v>31.349984615384617</v>
      </c>
    </row>
    <row r="1153" spans="1:9" ht="16.5" customHeight="1">
      <c r="A1153" s="70"/>
      <c r="B1153" s="7"/>
      <c r="C1153" s="8">
        <v>4210</v>
      </c>
      <c r="D1153" s="170" t="s">
        <v>334</v>
      </c>
      <c r="E1153" s="87">
        <v>3000</v>
      </c>
      <c r="F1153" s="127"/>
      <c r="G1153" s="87">
        <v>1722.24</v>
      </c>
      <c r="H1153" s="241"/>
      <c r="I1153" s="96">
        <f t="shared" si="16"/>
        <v>57.408</v>
      </c>
    </row>
    <row r="1154" spans="1:9" ht="16.5" customHeight="1">
      <c r="A1154" s="70"/>
      <c r="B1154" s="7"/>
      <c r="C1154" s="8">
        <v>4300</v>
      </c>
      <c r="D1154" s="170" t="s">
        <v>331</v>
      </c>
      <c r="E1154" s="87">
        <v>3000</v>
      </c>
      <c r="F1154" s="127"/>
      <c r="G1154" s="87">
        <v>48</v>
      </c>
      <c r="H1154" s="241"/>
      <c r="I1154" s="96">
        <f t="shared" si="16"/>
        <v>1.6</v>
      </c>
    </row>
    <row r="1155" spans="1:9" ht="33" customHeight="1">
      <c r="A1155" s="70"/>
      <c r="B1155" s="7"/>
      <c r="C1155" s="8">
        <v>4330</v>
      </c>
      <c r="D1155" s="170" t="s">
        <v>143</v>
      </c>
      <c r="E1155" s="87">
        <v>361000</v>
      </c>
      <c r="F1155" s="127"/>
      <c r="G1155" s="87">
        <v>190193.38</v>
      </c>
      <c r="H1155" s="241"/>
      <c r="I1155" s="96">
        <f t="shared" si="16"/>
        <v>52.68514681440444</v>
      </c>
    </row>
    <row r="1156" spans="1:9" ht="24" customHeight="1">
      <c r="A1156" s="70"/>
      <c r="B1156" s="1"/>
      <c r="C1156" s="8">
        <v>4440</v>
      </c>
      <c r="D1156" s="170" t="s">
        <v>567</v>
      </c>
      <c r="E1156" s="52">
        <v>4380</v>
      </c>
      <c r="F1156" s="127"/>
      <c r="G1156" s="52">
        <v>3285</v>
      </c>
      <c r="H1156" s="241"/>
      <c r="I1156" s="96">
        <f t="shared" si="16"/>
        <v>75</v>
      </c>
    </row>
    <row r="1157" spans="1:9" ht="23.25" customHeight="1">
      <c r="A1157" s="70"/>
      <c r="B1157" s="24">
        <v>85205</v>
      </c>
      <c r="C1157" s="24"/>
      <c r="D1157" s="175" t="s">
        <v>193</v>
      </c>
      <c r="E1157" s="52">
        <f>E1158</f>
        <v>7000</v>
      </c>
      <c r="F1157" s="52">
        <f>F1158</f>
        <v>7000</v>
      </c>
      <c r="G1157" s="52">
        <f>G1158</f>
        <v>7000</v>
      </c>
      <c r="H1157" s="26">
        <f>H1158</f>
        <v>7000</v>
      </c>
      <c r="I1157" s="96">
        <f t="shared" si="16"/>
        <v>100</v>
      </c>
    </row>
    <row r="1158" spans="1:9" ht="58.5" customHeight="1">
      <c r="A1158" s="70"/>
      <c r="B1158" s="1"/>
      <c r="C1158" s="2">
        <v>2360</v>
      </c>
      <c r="D1158" s="170" t="s">
        <v>102</v>
      </c>
      <c r="E1158" s="52">
        <v>7000</v>
      </c>
      <c r="F1158" s="52">
        <v>7000</v>
      </c>
      <c r="G1158" s="52">
        <v>7000</v>
      </c>
      <c r="H1158" s="26">
        <v>7000</v>
      </c>
      <c r="I1158" s="96">
        <f t="shared" si="16"/>
        <v>100</v>
      </c>
    </row>
    <row r="1159" spans="1:9" ht="20.25" customHeight="1">
      <c r="A1159" s="67"/>
      <c r="B1159" s="35">
        <v>85218</v>
      </c>
      <c r="C1159" s="24"/>
      <c r="D1159" s="175" t="s">
        <v>145</v>
      </c>
      <c r="E1159" s="121">
        <f>SUM(E1160:E1166)</f>
        <v>89187</v>
      </c>
      <c r="F1159" s="127"/>
      <c r="G1159" s="121">
        <f>SUM(G1160:G1166)</f>
        <v>40164.380000000005</v>
      </c>
      <c r="H1159" s="241"/>
      <c r="I1159" s="96">
        <f t="shared" si="16"/>
        <v>45.03389507439425</v>
      </c>
    </row>
    <row r="1160" spans="1:9" ht="17.25" customHeight="1">
      <c r="A1160" s="67"/>
      <c r="B1160" s="17"/>
      <c r="C1160" s="1">
        <v>4010</v>
      </c>
      <c r="D1160" s="205" t="s">
        <v>378</v>
      </c>
      <c r="E1160" s="89">
        <v>50000</v>
      </c>
      <c r="F1160" s="127"/>
      <c r="G1160" s="89">
        <v>22216.09</v>
      </c>
      <c r="H1160" s="241"/>
      <c r="I1160" s="96">
        <f t="shared" si="16"/>
        <v>44.43218</v>
      </c>
    </row>
    <row r="1161" spans="1:9" ht="17.25" customHeight="1">
      <c r="A1161" s="67"/>
      <c r="B1161" s="17"/>
      <c r="C1161" s="2">
        <v>4040</v>
      </c>
      <c r="D1161" s="170" t="s">
        <v>379</v>
      </c>
      <c r="E1161" s="41">
        <v>5500</v>
      </c>
      <c r="F1161" s="127"/>
      <c r="G1161" s="41">
        <v>5500</v>
      </c>
      <c r="H1161" s="241"/>
      <c r="I1161" s="96">
        <f t="shared" si="16"/>
        <v>100</v>
      </c>
    </row>
    <row r="1162" spans="1:9" ht="17.25" customHeight="1">
      <c r="A1162" s="67"/>
      <c r="B1162" s="17"/>
      <c r="C1162" s="2">
        <v>4110</v>
      </c>
      <c r="D1162" s="170" t="s">
        <v>565</v>
      </c>
      <c r="E1162" s="41">
        <v>10000</v>
      </c>
      <c r="F1162" s="127"/>
      <c r="G1162" s="41">
        <v>5771.17</v>
      </c>
      <c r="H1162" s="241"/>
      <c r="I1162" s="96">
        <f t="shared" si="16"/>
        <v>57.7117</v>
      </c>
    </row>
    <row r="1163" spans="1:9" ht="17.25" customHeight="1">
      <c r="A1163" s="67"/>
      <c r="B1163" s="17"/>
      <c r="C1163" s="2">
        <v>4120</v>
      </c>
      <c r="D1163" s="170" t="s">
        <v>566</v>
      </c>
      <c r="E1163" s="41">
        <v>1100</v>
      </c>
      <c r="F1163" s="127"/>
      <c r="G1163" s="41">
        <v>496.76</v>
      </c>
      <c r="H1163" s="241"/>
      <c r="I1163" s="96">
        <f t="shared" si="16"/>
        <v>45.16</v>
      </c>
    </row>
    <row r="1164" spans="1:9" ht="17.25" customHeight="1">
      <c r="A1164" s="67"/>
      <c r="B1164" s="17"/>
      <c r="C1164" s="8">
        <v>4210</v>
      </c>
      <c r="D1164" s="170" t="s">
        <v>334</v>
      </c>
      <c r="E1164" s="87">
        <v>10187</v>
      </c>
      <c r="F1164" s="127"/>
      <c r="G1164" s="87">
        <v>1189.31</v>
      </c>
      <c r="H1164" s="241"/>
      <c r="I1164" s="96">
        <f t="shared" si="16"/>
        <v>11.674781584372239</v>
      </c>
    </row>
    <row r="1165" spans="1:22" s="57" customFormat="1" ht="17.25" customHeight="1">
      <c r="A1165" s="67"/>
      <c r="B1165" s="17"/>
      <c r="C1165" s="8">
        <v>4300</v>
      </c>
      <c r="D1165" s="170" t="s">
        <v>331</v>
      </c>
      <c r="E1165" s="87">
        <v>10000</v>
      </c>
      <c r="F1165" s="127"/>
      <c r="G1165" s="87">
        <v>3191.05</v>
      </c>
      <c r="H1165" s="241"/>
      <c r="I1165" s="96">
        <f t="shared" si="16"/>
        <v>31.910500000000003</v>
      </c>
      <c r="J1165" s="152"/>
      <c r="K1165" s="152"/>
      <c r="L1165" s="152"/>
      <c r="M1165" s="152"/>
      <c r="N1165" s="152"/>
      <c r="O1165" s="152"/>
      <c r="P1165" s="152"/>
      <c r="Q1165" s="152"/>
      <c r="R1165" s="152"/>
      <c r="S1165" s="152"/>
      <c r="T1165" s="152"/>
      <c r="U1165" s="152"/>
      <c r="V1165" s="152"/>
    </row>
    <row r="1166" spans="1:9" ht="24" customHeight="1">
      <c r="A1166" s="67"/>
      <c r="B1166" s="17"/>
      <c r="C1166" s="13">
        <v>4440</v>
      </c>
      <c r="D1166" s="208" t="s">
        <v>567</v>
      </c>
      <c r="E1166" s="87">
        <v>2400</v>
      </c>
      <c r="F1166" s="127"/>
      <c r="G1166" s="87">
        <v>1800</v>
      </c>
      <c r="H1166" s="241"/>
      <c r="I1166" s="96">
        <f t="shared" si="16"/>
        <v>75</v>
      </c>
    </row>
    <row r="1167" spans="1:9" ht="20.25" customHeight="1">
      <c r="A1167" s="67"/>
      <c r="B1167" s="24">
        <v>85295</v>
      </c>
      <c r="C1167" s="24"/>
      <c r="D1167" s="175" t="s">
        <v>250</v>
      </c>
      <c r="E1167" s="38">
        <f>E1168</f>
        <v>3200</v>
      </c>
      <c r="F1167" s="38"/>
      <c r="G1167" s="38">
        <f>G1168</f>
        <v>2400</v>
      </c>
      <c r="H1167" s="241"/>
      <c r="I1167" s="96">
        <f t="shared" si="16"/>
        <v>75</v>
      </c>
    </row>
    <row r="1168" spans="1:9" ht="23.25" customHeight="1">
      <c r="A1168" s="67"/>
      <c r="B1168" s="30"/>
      <c r="C1168" s="8">
        <v>4440</v>
      </c>
      <c r="D1168" s="170" t="s">
        <v>567</v>
      </c>
      <c r="E1168" s="41">
        <v>3200</v>
      </c>
      <c r="F1168" s="127"/>
      <c r="G1168" s="41">
        <v>2400</v>
      </c>
      <c r="H1168" s="241"/>
      <c r="I1168" s="96">
        <f t="shared" si="16"/>
        <v>75</v>
      </c>
    </row>
    <row r="1169" spans="1:9" ht="24" customHeight="1">
      <c r="A1169" s="58">
        <v>853</v>
      </c>
      <c r="B1169" s="58"/>
      <c r="C1169" s="11"/>
      <c r="D1169" s="174" t="s">
        <v>324</v>
      </c>
      <c r="E1169" s="33">
        <f>E1170+E1172+E1180+E1182</f>
        <v>1824072.78</v>
      </c>
      <c r="F1169" s="154">
        <f>F1170+F1172+F1180+F1182</f>
        <v>169942</v>
      </c>
      <c r="G1169" s="154">
        <f>G1170+G1172+G1180+G1182</f>
        <v>967959.28</v>
      </c>
      <c r="H1169" s="808">
        <f>H1170+H1172+H1180+H1182</f>
        <v>91504</v>
      </c>
      <c r="I1169" s="132">
        <f t="shared" si="16"/>
        <v>53.06582558619179</v>
      </c>
    </row>
    <row r="1170" spans="1:9" ht="24" customHeight="1">
      <c r="A1170" s="80"/>
      <c r="B1170" s="46">
        <v>85311</v>
      </c>
      <c r="C1170" s="36"/>
      <c r="D1170" s="204" t="s">
        <v>268</v>
      </c>
      <c r="E1170" s="38">
        <f>SUM(E1171:E1171)</f>
        <v>310748</v>
      </c>
      <c r="F1170" s="167"/>
      <c r="G1170" s="38">
        <f>SUM(G1171:G1171)</f>
        <v>155374.5</v>
      </c>
      <c r="H1170" s="557"/>
      <c r="I1170" s="96">
        <f t="shared" si="16"/>
        <v>50.000160902081426</v>
      </c>
    </row>
    <row r="1171" spans="1:9" ht="24.75" customHeight="1">
      <c r="A1171" s="80"/>
      <c r="B1171" s="76"/>
      <c r="C1171" s="19">
        <v>2580</v>
      </c>
      <c r="D1171" s="205" t="s">
        <v>269</v>
      </c>
      <c r="E1171" s="87">
        <v>310748</v>
      </c>
      <c r="F1171" s="127"/>
      <c r="G1171" s="87">
        <v>155374.5</v>
      </c>
      <c r="H1171" s="241"/>
      <c r="I1171" s="96">
        <f t="shared" si="16"/>
        <v>50.000160902081426</v>
      </c>
    </row>
    <row r="1172" spans="1:9" ht="24" customHeight="1">
      <c r="A1172" s="98"/>
      <c r="B1172" s="46">
        <v>85321</v>
      </c>
      <c r="C1172" s="35"/>
      <c r="D1172" s="204" t="s">
        <v>636</v>
      </c>
      <c r="E1172" s="91">
        <f>SUM(E1173:E1179)</f>
        <v>467432</v>
      </c>
      <c r="F1172" s="232">
        <f>SUM(F1173:F1179)</f>
        <v>169942</v>
      </c>
      <c r="G1172" s="91">
        <f>SUM(G1173:G1179)</f>
        <v>251692.00000000003</v>
      </c>
      <c r="H1172" s="38">
        <f>SUM(H1173:H1179)</f>
        <v>91504</v>
      </c>
      <c r="I1172" s="96">
        <f t="shared" si="16"/>
        <v>53.84569306337607</v>
      </c>
    </row>
    <row r="1173" spans="1:9" ht="16.5" customHeight="1">
      <c r="A1173" s="80"/>
      <c r="B1173" s="76"/>
      <c r="C1173" s="2">
        <v>4010</v>
      </c>
      <c r="D1173" s="170" t="s">
        <v>378</v>
      </c>
      <c r="E1173" s="52">
        <v>252507.04</v>
      </c>
      <c r="F1173" s="52">
        <v>91746.42</v>
      </c>
      <c r="G1173" s="52">
        <f>83838.38+43384.36</f>
        <v>127222.74</v>
      </c>
      <c r="H1173" s="26">
        <v>43384.36</v>
      </c>
      <c r="I1173" s="96">
        <f t="shared" si="16"/>
        <v>50.38383880306861</v>
      </c>
    </row>
    <row r="1174" spans="1:9" ht="16.5" customHeight="1">
      <c r="A1174" s="80"/>
      <c r="B1174" s="81"/>
      <c r="C1174" s="2">
        <v>4040</v>
      </c>
      <c r="D1174" s="170" t="s">
        <v>379</v>
      </c>
      <c r="E1174" s="52">
        <v>28508.09</v>
      </c>
      <c r="F1174" s="52">
        <v>10365.54</v>
      </c>
      <c r="G1174" s="52">
        <f>18142.55+10365.54</f>
        <v>28508.09</v>
      </c>
      <c r="H1174" s="26">
        <v>10365.54</v>
      </c>
      <c r="I1174" s="96">
        <f t="shared" si="16"/>
        <v>100</v>
      </c>
    </row>
    <row r="1175" spans="1:9" ht="16.5" customHeight="1">
      <c r="A1175" s="80"/>
      <c r="B1175" s="81"/>
      <c r="C1175" s="2">
        <v>4110</v>
      </c>
      <c r="D1175" s="170" t="s">
        <v>565</v>
      </c>
      <c r="E1175" s="52">
        <v>49105</v>
      </c>
      <c r="F1175" s="52">
        <v>17854</v>
      </c>
      <c r="G1175" s="52">
        <f>19225.35+15127.48</f>
        <v>34352.83</v>
      </c>
      <c r="H1175" s="26">
        <v>15127.48</v>
      </c>
      <c r="I1175" s="96">
        <f t="shared" si="16"/>
        <v>69.95790652683026</v>
      </c>
    </row>
    <row r="1176" spans="1:22" s="53" customFormat="1" ht="16.5" customHeight="1">
      <c r="A1176" s="80"/>
      <c r="B1176" s="81"/>
      <c r="C1176" s="2">
        <v>4120</v>
      </c>
      <c r="D1176" s="170" t="s">
        <v>566</v>
      </c>
      <c r="E1176" s="52">
        <v>7001</v>
      </c>
      <c r="F1176" s="52">
        <v>2545</v>
      </c>
      <c r="G1176" s="52">
        <f>2631.81+1799.06</f>
        <v>4430.87</v>
      </c>
      <c r="H1176" s="26">
        <v>1799.06</v>
      </c>
      <c r="I1176" s="96">
        <f t="shared" si="16"/>
        <v>63.289101556920436</v>
      </c>
      <c r="J1176" s="159"/>
      <c r="K1176" s="159"/>
      <c r="L1176" s="159"/>
      <c r="M1176" s="159"/>
      <c r="N1176" s="159"/>
      <c r="O1176" s="159"/>
      <c r="P1176" s="159"/>
      <c r="Q1176" s="159"/>
      <c r="R1176" s="159"/>
      <c r="S1176" s="159"/>
      <c r="T1176" s="159"/>
      <c r="U1176" s="159"/>
      <c r="V1176" s="159"/>
    </row>
    <row r="1177" spans="1:22" s="53" customFormat="1" ht="16.5" customHeight="1">
      <c r="A1177" s="80"/>
      <c r="B1177" s="81"/>
      <c r="C1177" s="2">
        <v>4170</v>
      </c>
      <c r="D1177" s="170" t="s">
        <v>572</v>
      </c>
      <c r="E1177" s="52">
        <v>37398</v>
      </c>
      <c r="F1177" s="52">
        <v>13598</v>
      </c>
      <c r="G1177" s="52">
        <f>9129.04+5216.03</f>
        <v>14345.07</v>
      </c>
      <c r="H1177" s="26">
        <v>5216.03</v>
      </c>
      <c r="I1177" s="96">
        <f t="shared" si="16"/>
        <v>38.35785336114231</v>
      </c>
      <c r="J1177" s="159"/>
      <c r="K1177" s="159"/>
      <c r="L1177" s="159"/>
      <c r="M1177" s="159"/>
      <c r="N1177" s="159"/>
      <c r="O1177" s="159"/>
      <c r="P1177" s="159"/>
      <c r="Q1177" s="159"/>
      <c r="R1177" s="159"/>
      <c r="S1177" s="159"/>
      <c r="T1177" s="159"/>
      <c r="U1177" s="159"/>
      <c r="V1177" s="159"/>
    </row>
    <row r="1178" spans="1:22" s="53" customFormat="1" ht="16.5" customHeight="1">
      <c r="A1178" s="80"/>
      <c r="B1178" s="81"/>
      <c r="C1178" s="2">
        <v>4300</v>
      </c>
      <c r="D1178" s="170" t="s">
        <v>331</v>
      </c>
      <c r="E1178" s="52">
        <v>80515</v>
      </c>
      <c r="F1178" s="52">
        <v>29275</v>
      </c>
      <c r="G1178" s="52">
        <f>21341+12193</f>
        <v>33534</v>
      </c>
      <c r="H1178" s="26">
        <v>12193</v>
      </c>
      <c r="I1178" s="96">
        <f t="shared" si="16"/>
        <v>41.64938210271378</v>
      </c>
      <c r="J1178" s="159"/>
      <c r="K1178" s="159"/>
      <c r="L1178" s="159"/>
      <c r="M1178" s="159"/>
      <c r="N1178" s="159"/>
      <c r="O1178" s="159"/>
      <c r="P1178" s="159"/>
      <c r="Q1178" s="159"/>
      <c r="R1178" s="159"/>
      <c r="S1178" s="159"/>
      <c r="T1178" s="159"/>
      <c r="U1178" s="159"/>
      <c r="V1178" s="159"/>
    </row>
    <row r="1179" spans="1:9" ht="23.25" customHeight="1">
      <c r="A1179" s="80"/>
      <c r="B1179" s="81"/>
      <c r="C1179" s="13">
        <v>4440</v>
      </c>
      <c r="D1179" s="170" t="s">
        <v>567</v>
      </c>
      <c r="E1179" s="73">
        <v>12397.87</v>
      </c>
      <c r="F1179" s="52">
        <v>4558.04</v>
      </c>
      <c r="G1179" s="73">
        <f>5879.87+3418.53</f>
        <v>9298.4</v>
      </c>
      <c r="H1179" s="26">
        <v>3418.53</v>
      </c>
      <c r="I1179" s="96">
        <f t="shared" si="16"/>
        <v>74.9999798352459</v>
      </c>
    </row>
    <row r="1180" spans="1:9" ht="20.25" customHeight="1">
      <c r="A1180" s="80"/>
      <c r="B1180" s="572">
        <v>85333</v>
      </c>
      <c r="C1180" s="2"/>
      <c r="D1180" s="209" t="s">
        <v>628</v>
      </c>
      <c r="E1180" s="91">
        <f>E1181</f>
        <v>970000</v>
      </c>
      <c r="F1180" s="73"/>
      <c r="G1180" s="91">
        <f>G1181</f>
        <v>485000</v>
      </c>
      <c r="H1180" s="129"/>
      <c r="I1180" s="96">
        <f t="shared" si="16"/>
        <v>50</v>
      </c>
    </row>
    <row r="1181" spans="1:9" ht="46.5" customHeight="1">
      <c r="A1181" s="80"/>
      <c r="B1181" s="573"/>
      <c r="C1181" s="2">
        <v>2320</v>
      </c>
      <c r="D1181" s="170" t="s">
        <v>344</v>
      </c>
      <c r="E1181" s="55">
        <v>970000</v>
      </c>
      <c r="F1181" s="127"/>
      <c r="G1181" s="55">
        <v>485000</v>
      </c>
      <c r="H1181" s="241"/>
      <c r="I1181" s="96">
        <f t="shared" si="16"/>
        <v>50</v>
      </c>
    </row>
    <row r="1182" spans="1:9" ht="20.25" customHeight="1">
      <c r="A1182" s="100"/>
      <c r="B1182" s="46">
        <v>85395</v>
      </c>
      <c r="C1182" s="24"/>
      <c r="D1182" s="175" t="s">
        <v>250</v>
      </c>
      <c r="E1182" s="28">
        <f>SUM(E1183:E1183)</f>
        <v>75892.78</v>
      </c>
      <c r="F1182" s="233"/>
      <c r="G1182" s="28">
        <f>SUM(G1183:G1183)</f>
        <v>75892.78</v>
      </c>
      <c r="H1182" s="551"/>
      <c r="I1182" s="96">
        <f t="shared" si="16"/>
        <v>100</v>
      </c>
    </row>
    <row r="1183" spans="1:9" ht="59.25" customHeight="1">
      <c r="A1183" s="100"/>
      <c r="B1183" s="98"/>
      <c r="C1183" s="2">
        <v>2360</v>
      </c>
      <c r="D1183" s="170" t="s">
        <v>102</v>
      </c>
      <c r="E1183" s="26">
        <v>75892.78</v>
      </c>
      <c r="F1183" s="233"/>
      <c r="G1183" s="26">
        <v>75892.78</v>
      </c>
      <c r="H1183" s="551"/>
      <c r="I1183" s="96">
        <f t="shared" si="16"/>
        <v>100</v>
      </c>
    </row>
    <row r="1184" spans="1:9" ht="24" customHeight="1">
      <c r="A1184" s="58">
        <v>854</v>
      </c>
      <c r="B1184" s="58"/>
      <c r="C1184" s="5" t="s">
        <v>201</v>
      </c>
      <c r="D1184" s="174" t="s">
        <v>637</v>
      </c>
      <c r="E1184" s="33">
        <f>E1185+E1209+E1234+E1256+E1278+E1280+E1282+E1301</f>
        <v>8743075</v>
      </c>
      <c r="F1184" s="52"/>
      <c r="G1184" s="33">
        <f>G1185+G1209+G1234+G1256+G1278+G1280+G1282+G1301</f>
        <v>4539101.72</v>
      </c>
      <c r="H1184" s="26"/>
      <c r="I1184" s="132">
        <f t="shared" si="16"/>
        <v>51.91653645885458</v>
      </c>
    </row>
    <row r="1185" spans="1:9" ht="20.25" customHeight="1">
      <c r="A1185" s="67"/>
      <c r="B1185" s="23">
        <v>85401</v>
      </c>
      <c r="C1185" s="24" t="s">
        <v>201</v>
      </c>
      <c r="D1185" s="175" t="s">
        <v>146</v>
      </c>
      <c r="E1185" s="38">
        <f>SUM(E1186:E1208)</f>
        <v>785510</v>
      </c>
      <c r="F1185" s="73"/>
      <c r="G1185" s="38">
        <f>SUM(G1186:G1208)</f>
        <v>381047.0200000001</v>
      </c>
      <c r="H1185" s="129"/>
      <c r="I1185" s="96">
        <f aca="true" t="shared" si="17" ref="I1185:I1248">G1185/E1185*100</f>
        <v>48.50950592608625</v>
      </c>
    </row>
    <row r="1186" spans="1:9" ht="24.75" customHeight="1">
      <c r="A1186" s="67"/>
      <c r="B1186" s="9"/>
      <c r="C1186" s="2">
        <v>3020</v>
      </c>
      <c r="D1186" s="170" t="s">
        <v>147</v>
      </c>
      <c r="E1186" s="89">
        <v>2420</v>
      </c>
      <c r="F1186" s="127"/>
      <c r="G1186" s="89">
        <v>155.73</v>
      </c>
      <c r="H1186" s="241"/>
      <c r="I1186" s="96">
        <f t="shared" si="17"/>
        <v>6.4351239669421485</v>
      </c>
    </row>
    <row r="1187" spans="1:9" ht="16.5" customHeight="1">
      <c r="A1187" s="67"/>
      <c r="B1187" s="9"/>
      <c r="C1187" s="2">
        <v>4010</v>
      </c>
      <c r="D1187" s="170" t="s">
        <v>378</v>
      </c>
      <c r="E1187" s="41">
        <v>487458</v>
      </c>
      <c r="F1187" s="127"/>
      <c r="G1187" s="41">
        <v>214398.58</v>
      </c>
      <c r="H1187" s="241"/>
      <c r="I1187" s="96">
        <f t="shared" si="17"/>
        <v>43.98298520077627</v>
      </c>
    </row>
    <row r="1188" spans="1:9" ht="16.5" customHeight="1">
      <c r="A1188" s="67"/>
      <c r="B1188" s="9"/>
      <c r="C1188" s="2">
        <v>4040</v>
      </c>
      <c r="D1188" s="170" t="s">
        <v>379</v>
      </c>
      <c r="E1188" s="41">
        <v>36663</v>
      </c>
      <c r="F1188" s="127"/>
      <c r="G1188" s="41">
        <v>33079.93</v>
      </c>
      <c r="H1188" s="241"/>
      <c r="I1188" s="96">
        <f t="shared" si="17"/>
        <v>90.22701361045196</v>
      </c>
    </row>
    <row r="1189" spans="1:9" ht="16.5" customHeight="1">
      <c r="A1189" s="67"/>
      <c r="B1189" s="9"/>
      <c r="C1189" s="2">
        <v>4110</v>
      </c>
      <c r="D1189" s="170" t="s">
        <v>565</v>
      </c>
      <c r="E1189" s="41">
        <v>89134</v>
      </c>
      <c r="F1189" s="127"/>
      <c r="G1189" s="41">
        <v>37810.07</v>
      </c>
      <c r="H1189" s="241"/>
      <c r="I1189" s="96">
        <f t="shared" si="17"/>
        <v>42.419357372046576</v>
      </c>
    </row>
    <row r="1190" spans="1:9" ht="16.5" customHeight="1">
      <c r="A1190" s="67"/>
      <c r="B1190" s="9"/>
      <c r="C1190" s="2">
        <v>4120</v>
      </c>
      <c r="D1190" s="170" t="s">
        <v>566</v>
      </c>
      <c r="E1190" s="41">
        <v>12650</v>
      </c>
      <c r="F1190" s="127"/>
      <c r="G1190" s="41">
        <v>4534.37</v>
      </c>
      <c r="H1190" s="241"/>
      <c r="I1190" s="96">
        <f t="shared" si="17"/>
        <v>35.84482213438735</v>
      </c>
    </row>
    <row r="1191" spans="1:9" ht="24" customHeight="1">
      <c r="A1191" s="67"/>
      <c r="B1191" s="9"/>
      <c r="C1191" s="2">
        <v>4140</v>
      </c>
      <c r="D1191" s="170" t="s">
        <v>220</v>
      </c>
      <c r="E1191" s="41">
        <v>10</v>
      </c>
      <c r="F1191" s="127"/>
      <c r="G1191" s="41">
        <v>0</v>
      </c>
      <c r="H1191" s="241"/>
      <c r="I1191" s="96"/>
    </row>
    <row r="1192" spans="1:9" ht="16.5" customHeight="1">
      <c r="A1192" s="67"/>
      <c r="B1192" s="9"/>
      <c r="C1192" s="2">
        <v>4170</v>
      </c>
      <c r="D1192" s="170" t="s">
        <v>572</v>
      </c>
      <c r="E1192" s="41">
        <v>180</v>
      </c>
      <c r="F1192" s="127"/>
      <c r="G1192" s="41">
        <v>92.22</v>
      </c>
      <c r="H1192" s="241"/>
      <c r="I1192" s="96">
        <f t="shared" si="17"/>
        <v>51.233333333333334</v>
      </c>
    </row>
    <row r="1193" spans="1:9" ht="16.5" customHeight="1">
      <c r="A1193" s="67"/>
      <c r="B1193" s="9"/>
      <c r="C1193" s="2">
        <v>4210</v>
      </c>
      <c r="D1193" s="170" t="s">
        <v>334</v>
      </c>
      <c r="E1193" s="41">
        <v>7820</v>
      </c>
      <c r="F1193" s="127"/>
      <c r="G1193" s="41">
        <v>3125.37</v>
      </c>
      <c r="H1193" s="241"/>
      <c r="I1193" s="96">
        <f t="shared" si="17"/>
        <v>39.96636828644501</v>
      </c>
    </row>
    <row r="1194" spans="1:9" ht="16.5" customHeight="1">
      <c r="A1194" s="67"/>
      <c r="B1194" s="9"/>
      <c r="C1194" s="2">
        <v>4220</v>
      </c>
      <c r="D1194" s="170" t="s">
        <v>223</v>
      </c>
      <c r="E1194" s="41">
        <v>67240</v>
      </c>
      <c r="F1194" s="127"/>
      <c r="G1194" s="41">
        <v>33387.63</v>
      </c>
      <c r="H1194" s="241"/>
      <c r="I1194" s="96">
        <f t="shared" si="17"/>
        <v>49.65441701368233</v>
      </c>
    </row>
    <row r="1195" spans="1:9" ht="24" customHeight="1">
      <c r="A1195" s="67"/>
      <c r="B1195" s="9"/>
      <c r="C1195" s="2">
        <v>4240</v>
      </c>
      <c r="D1195" s="170" t="s">
        <v>221</v>
      </c>
      <c r="E1195" s="41">
        <v>590</v>
      </c>
      <c r="F1195" s="127"/>
      <c r="G1195" s="41">
        <v>190.3</v>
      </c>
      <c r="H1195" s="241"/>
      <c r="I1195" s="96">
        <f t="shared" si="17"/>
        <v>32.2542372881356</v>
      </c>
    </row>
    <row r="1196" spans="1:9" ht="16.5" customHeight="1">
      <c r="A1196" s="67"/>
      <c r="B1196" s="9"/>
      <c r="C1196" s="2">
        <v>4260</v>
      </c>
      <c r="D1196" s="170" t="s">
        <v>579</v>
      </c>
      <c r="E1196" s="41">
        <v>32183</v>
      </c>
      <c r="F1196" s="127"/>
      <c r="G1196" s="41">
        <v>17925.76</v>
      </c>
      <c r="H1196" s="241"/>
      <c r="I1196" s="96">
        <f t="shared" si="17"/>
        <v>55.69946866358014</v>
      </c>
    </row>
    <row r="1197" spans="1:9" ht="16.5" customHeight="1">
      <c r="A1197" s="67"/>
      <c r="B1197" s="9"/>
      <c r="C1197" s="2">
        <v>4270</v>
      </c>
      <c r="D1197" s="170" t="s">
        <v>335</v>
      </c>
      <c r="E1197" s="41">
        <v>10441</v>
      </c>
      <c r="F1197" s="127"/>
      <c r="G1197" s="41">
        <v>8810.03</v>
      </c>
      <c r="H1197" s="241"/>
      <c r="I1197" s="96">
        <f t="shared" si="17"/>
        <v>84.37917823963222</v>
      </c>
    </row>
    <row r="1198" spans="1:9" ht="16.5" customHeight="1">
      <c r="A1198" s="67"/>
      <c r="B1198" s="9"/>
      <c r="C1198" s="2">
        <v>4280</v>
      </c>
      <c r="D1198" s="170" t="s">
        <v>179</v>
      </c>
      <c r="E1198" s="41">
        <v>305</v>
      </c>
      <c r="F1198" s="127"/>
      <c r="G1198" s="41">
        <v>14.06</v>
      </c>
      <c r="H1198" s="241"/>
      <c r="I1198" s="96">
        <f t="shared" si="17"/>
        <v>4.609836065573771</v>
      </c>
    </row>
    <row r="1199" spans="1:9" ht="16.5" customHeight="1">
      <c r="A1199" s="67"/>
      <c r="B1199" s="9"/>
      <c r="C1199" s="2">
        <v>4300</v>
      </c>
      <c r="D1199" s="170" t="s">
        <v>331</v>
      </c>
      <c r="E1199" s="41">
        <v>5335</v>
      </c>
      <c r="F1199" s="127"/>
      <c r="G1199" s="41">
        <v>2310.52</v>
      </c>
      <c r="H1199" s="241"/>
      <c r="I1199" s="96">
        <f t="shared" si="17"/>
        <v>43.3087160262418</v>
      </c>
    </row>
    <row r="1200" spans="1:9" ht="24" customHeight="1">
      <c r="A1200" s="67"/>
      <c r="B1200" s="9"/>
      <c r="C1200" s="1">
        <v>4360</v>
      </c>
      <c r="D1200" s="170" t="s">
        <v>89</v>
      </c>
      <c r="E1200" s="41">
        <v>715</v>
      </c>
      <c r="F1200" s="127"/>
      <c r="G1200" s="41">
        <v>216.83</v>
      </c>
      <c r="H1200" s="241"/>
      <c r="I1200" s="96">
        <f t="shared" si="17"/>
        <v>30.325874125874126</v>
      </c>
    </row>
    <row r="1201" spans="1:9" ht="24" customHeight="1">
      <c r="A1201" s="67"/>
      <c r="B1201" s="9"/>
      <c r="C1201" s="1">
        <v>4390</v>
      </c>
      <c r="D1201" s="205" t="s">
        <v>261</v>
      </c>
      <c r="E1201" s="41">
        <v>90</v>
      </c>
      <c r="F1201" s="127"/>
      <c r="G1201" s="41">
        <v>0</v>
      </c>
      <c r="H1201" s="241"/>
      <c r="I1201" s="96"/>
    </row>
    <row r="1202" spans="1:9" ht="16.5" customHeight="1">
      <c r="A1202" s="67"/>
      <c r="B1202" s="9"/>
      <c r="C1202" s="2">
        <v>4410</v>
      </c>
      <c r="D1202" s="170" t="s">
        <v>569</v>
      </c>
      <c r="E1202" s="41">
        <v>70</v>
      </c>
      <c r="F1202" s="127"/>
      <c r="G1202" s="41">
        <v>29.46</v>
      </c>
      <c r="H1202" s="241"/>
      <c r="I1202" s="96">
        <f t="shared" si="17"/>
        <v>42.08571428571429</v>
      </c>
    </row>
    <row r="1203" spans="1:9" ht="16.5" customHeight="1">
      <c r="A1203" s="67"/>
      <c r="B1203" s="9"/>
      <c r="C1203" s="2">
        <v>4420</v>
      </c>
      <c r="D1203" s="170" t="s">
        <v>570</v>
      </c>
      <c r="E1203" s="41">
        <v>10</v>
      </c>
      <c r="F1203" s="127"/>
      <c r="G1203" s="41">
        <v>2.29</v>
      </c>
      <c r="H1203" s="241"/>
      <c r="I1203" s="96">
        <f t="shared" si="17"/>
        <v>22.900000000000002</v>
      </c>
    </row>
    <row r="1204" spans="1:9" ht="16.5" customHeight="1">
      <c r="A1204" s="67"/>
      <c r="B1204" s="9"/>
      <c r="C1204" s="2">
        <v>4430</v>
      </c>
      <c r="D1204" s="170" t="s">
        <v>314</v>
      </c>
      <c r="E1204" s="41">
        <v>410</v>
      </c>
      <c r="F1204" s="127"/>
      <c r="G1204" s="41">
        <v>311.64</v>
      </c>
      <c r="H1204" s="241"/>
      <c r="I1204" s="96">
        <f t="shared" si="17"/>
        <v>76.00975609756098</v>
      </c>
    </row>
    <row r="1205" spans="1:9" ht="24" customHeight="1">
      <c r="A1205" s="67"/>
      <c r="B1205" s="9"/>
      <c r="C1205" s="2">
        <v>4440</v>
      </c>
      <c r="D1205" s="170" t="s">
        <v>567</v>
      </c>
      <c r="E1205" s="41">
        <v>30986</v>
      </c>
      <c r="F1205" s="127"/>
      <c r="G1205" s="41">
        <v>24219.01</v>
      </c>
      <c r="H1205" s="241"/>
      <c r="I1205" s="96">
        <f t="shared" si="17"/>
        <v>78.16113728780739</v>
      </c>
    </row>
    <row r="1206" spans="1:9" ht="16.5" customHeight="1">
      <c r="A1206" s="67"/>
      <c r="B1206" s="9"/>
      <c r="C1206" s="2">
        <v>4480</v>
      </c>
      <c r="D1206" s="170" t="s">
        <v>272</v>
      </c>
      <c r="E1206" s="41">
        <v>30</v>
      </c>
      <c r="F1206" s="127"/>
      <c r="G1206" s="41">
        <v>30</v>
      </c>
      <c r="H1206" s="241"/>
      <c r="I1206" s="96">
        <f t="shared" si="17"/>
        <v>100</v>
      </c>
    </row>
    <row r="1207" spans="1:9" ht="24" customHeight="1">
      <c r="A1207" s="67"/>
      <c r="B1207" s="9"/>
      <c r="C1207" s="2">
        <v>4520</v>
      </c>
      <c r="D1207" s="170" t="s">
        <v>289</v>
      </c>
      <c r="E1207" s="41">
        <v>730</v>
      </c>
      <c r="F1207" s="88"/>
      <c r="G1207" s="41">
        <v>364.02</v>
      </c>
      <c r="H1207" s="128"/>
      <c r="I1207" s="96">
        <f t="shared" si="17"/>
        <v>49.865753424657534</v>
      </c>
    </row>
    <row r="1208" spans="1:9" ht="24" customHeight="1">
      <c r="A1208" s="67"/>
      <c r="B1208" s="9"/>
      <c r="C1208" s="1">
        <v>4700</v>
      </c>
      <c r="D1208" s="205" t="s">
        <v>290</v>
      </c>
      <c r="E1208" s="89">
        <v>40</v>
      </c>
      <c r="F1208" s="127"/>
      <c r="G1208" s="89">
        <v>39.2</v>
      </c>
      <c r="H1208" s="241"/>
      <c r="I1208" s="250">
        <f t="shared" si="17"/>
        <v>98.00000000000001</v>
      </c>
    </row>
    <row r="1209" spans="1:9" ht="20.25" customHeight="1">
      <c r="A1209" s="67"/>
      <c r="B1209" s="23">
        <v>85403</v>
      </c>
      <c r="C1209" s="24"/>
      <c r="D1209" s="175" t="s">
        <v>638</v>
      </c>
      <c r="E1209" s="38">
        <f>SUM(E1210:E1233)</f>
        <v>3795328</v>
      </c>
      <c r="F1209" s="127"/>
      <c r="G1209" s="38">
        <f>SUM(G1210:G1233)</f>
        <v>1943418.2899999998</v>
      </c>
      <c r="H1209" s="241"/>
      <c r="I1209" s="96">
        <f t="shared" si="17"/>
        <v>51.205542445870286</v>
      </c>
    </row>
    <row r="1210" spans="1:9" ht="24" customHeight="1">
      <c r="A1210" s="67"/>
      <c r="B1210" s="29"/>
      <c r="C1210" s="2">
        <v>2540</v>
      </c>
      <c r="D1210" s="170" t="s">
        <v>181</v>
      </c>
      <c r="E1210" s="89">
        <v>1500000</v>
      </c>
      <c r="F1210" s="127"/>
      <c r="G1210" s="89">
        <v>753305.22</v>
      </c>
      <c r="H1210" s="241"/>
      <c r="I1210" s="96">
        <f t="shared" si="17"/>
        <v>50.220348</v>
      </c>
    </row>
    <row r="1211" spans="1:9" ht="16.5" customHeight="1">
      <c r="A1211" s="67"/>
      <c r="B1211" s="9"/>
      <c r="C1211" s="2">
        <v>3020</v>
      </c>
      <c r="D1211" s="170" t="s">
        <v>177</v>
      </c>
      <c r="E1211" s="41">
        <v>4910</v>
      </c>
      <c r="F1211" s="127"/>
      <c r="G1211" s="41">
        <v>1326.76</v>
      </c>
      <c r="H1211" s="241"/>
      <c r="I1211" s="96">
        <f t="shared" si="17"/>
        <v>27.02158859470468</v>
      </c>
    </row>
    <row r="1212" spans="1:9" ht="16.5" customHeight="1">
      <c r="A1212" s="67"/>
      <c r="B1212" s="9"/>
      <c r="C1212" s="2">
        <v>3110</v>
      </c>
      <c r="D1212" s="170" t="s">
        <v>547</v>
      </c>
      <c r="E1212" s="41">
        <v>1600</v>
      </c>
      <c r="F1212" s="127"/>
      <c r="G1212" s="41">
        <v>425.94</v>
      </c>
      <c r="H1212" s="241"/>
      <c r="I1212" s="96">
        <f t="shared" si="17"/>
        <v>26.621250000000003</v>
      </c>
    </row>
    <row r="1213" spans="1:9" ht="16.5" customHeight="1">
      <c r="A1213" s="67"/>
      <c r="B1213" s="9"/>
      <c r="C1213" s="2">
        <v>4010</v>
      </c>
      <c r="D1213" s="170" t="s">
        <v>378</v>
      </c>
      <c r="E1213" s="41">
        <v>1530505</v>
      </c>
      <c r="F1213" s="127"/>
      <c r="G1213" s="41">
        <v>755540.28</v>
      </c>
      <c r="H1213" s="241"/>
      <c r="I1213" s="96">
        <f t="shared" si="17"/>
        <v>49.3654238306964</v>
      </c>
    </row>
    <row r="1214" spans="1:9" ht="16.5" customHeight="1">
      <c r="A1214" s="67"/>
      <c r="B1214" s="9"/>
      <c r="C1214" s="2">
        <v>4040</v>
      </c>
      <c r="D1214" s="170" t="s">
        <v>379</v>
      </c>
      <c r="E1214" s="41">
        <v>118511</v>
      </c>
      <c r="F1214" s="127"/>
      <c r="G1214" s="41">
        <v>118510.63</v>
      </c>
      <c r="H1214" s="241"/>
      <c r="I1214" s="96">
        <f t="shared" si="17"/>
        <v>99.99968779269436</v>
      </c>
    </row>
    <row r="1215" spans="1:9" ht="16.5" customHeight="1">
      <c r="A1215" s="67"/>
      <c r="B1215" s="9"/>
      <c r="C1215" s="2">
        <v>4110</v>
      </c>
      <c r="D1215" s="170" t="s">
        <v>565</v>
      </c>
      <c r="E1215" s="41">
        <v>248010</v>
      </c>
      <c r="F1215" s="127"/>
      <c r="G1215" s="41">
        <v>146004.11</v>
      </c>
      <c r="H1215" s="241"/>
      <c r="I1215" s="96">
        <f t="shared" si="17"/>
        <v>58.8702511995484</v>
      </c>
    </row>
    <row r="1216" spans="1:9" ht="16.5" customHeight="1">
      <c r="A1216" s="67"/>
      <c r="B1216" s="9"/>
      <c r="C1216" s="2">
        <v>4120</v>
      </c>
      <c r="D1216" s="170" t="s">
        <v>566</v>
      </c>
      <c r="E1216" s="41">
        <v>34620</v>
      </c>
      <c r="F1216" s="127"/>
      <c r="G1216" s="41">
        <v>14816.76</v>
      </c>
      <c r="H1216" s="241"/>
      <c r="I1216" s="96">
        <f t="shared" si="17"/>
        <v>42.79826689774697</v>
      </c>
    </row>
    <row r="1217" spans="1:9" ht="16.5" customHeight="1">
      <c r="A1217" s="67"/>
      <c r="B1217" s="9"/>
      <c r="C1217" s="2">
        <v>4170</v>
      </c>
      <c r="D1217" s="170" t="s">
        <v>572</v>
      </c>
      <c r="E1217" s="41">
        <v>500</v>
      </c>
      <c r="F1217" s="127"/>
      <c r="G1217" s="41">
        <v>0</v>
      </c>
      <c r="H1217" s="241"/>
      <c r="I1217" s="96"/>
    </row>
    <row r="1218" spans="1:9" ht="16.5" customHeight="1">
      <c r="A1218" s="67"/>
      <c r="B1218" s="9"/>
      <c r="C1218" s="2">
        <v>4210</v>
      </c>
      <c r="D1218" s="170" t="s">
        <v>334</v>
      </c>
      <c r="E1218" s="41">
        <v>39611</v>
      </c>
      <c r="F1218" s="127"/>
      <c r="G1218" s="41">
        <v>9096.69</v>
      </c>
      <c r="H1218" s="241"/>
      <c r="I1218" s="96">
        <f t="shared" si="17"/>
        <v>22.965060210547577</v>
      </c>
    </row>
    <row r="1219" spans="1:9" ht="16.5" customHeight="1">
      <c r="A1219" s="67"/>
      <c r="B1219" s="9"/>
      <c r="C1219" s="2">
        <v>4220</v>
      </c>
      <c r="D1219" s="170" t="s">
        <v>223</v>
      </c>
      <c r="E1219" s="41">
        <v>80960</v>
      </c>
      <c r="F1219" s="127"/>
      <c r="G1219" s="41">
        <v>15680.38</v>
      </c>
      <c r="H1219" s="241"/>
      <c r="I1219" s="96">
        <f t="shared" si="17"/>
        <v>19.368058300395255</v>
      </c>
    </row>
    <row r="1220" spans="1:9" ht="24" customHeight="1">
      <c r="A1220" s="67"/>
      <c r="B1220" s="9"/>
      <c r="C1220" s="2">
        <v>4240</v>
      </c>
      <c r="D1220" s="170" t="s">
        <v>221</v>
      </c>
      <c r="E1220" s="41">
        <v>40</v>
      </c>
      <c r="F1220" s="127"/>
      <c r="G1220" s="41">
        <v>20</v>
      </c>
      <c r="H1220" s="241"/>
      <c r="I1220" s="96">
        <f t="shared" si="17"/>
        <v>50</v>
      </c>
    </row>
    <row r="1221" spans="1:9" ht="17.25" customHeight="1">
      <c r="A1221" s="67"/>
      <c r="B1221" s="9"/>
      <c r="C1221" s="2">
        <v>4260</v>
      </c>
      <c r="D1221" s="170" t="s">
        <v>579</v>
      </c>
      <c r="E1221" s="41">
        <v>88503</v>
      </c>
      <c r="F1221" s="127"/>
      <c r="G1221" s="41">
        <v>45920.3</v>
      </c>
      <c r="H1221" s="241"/>
      <c r="I1221" s="96">
        <f t="shared" si="17"/>
        <v>51.88558579935144</v>
      </c>
    </row>
    <row r="1222" spans="1:9" ht="17.25" customHeight="1">
      <c r="A1222" s="67"/>
      <c r="B1222" s="9"/>
      <c r="C1222" s="2">
        <v>4270</v>
      </c>
      <c r="D1222" s="170" t="s">
        <v>335</v>
      </c>
      <c r="E1222" s="41">
        <v>19980</v>
      </c>
      <c r="F1222" s="127"/>
      <c r="G1222" s="41">
        <v>5043.35</v>
      </c>
      <c r="H1222" s="241"/>
      <c r="I1222" s="96">
        <f t="shared" si="17"/>
        <v>25.24199199199199</v>
      </c>
    </row>
    <row r="1223" spans="1:9" ht="17.25" customHeight="1">
      <c r="A1223" s="67"/>
      <c r="B1223" s="9"/>
      <c r="C1223" s="2">
        <v>4280</v>
      </c>
      <c r="D1223" s="170" t="s">
        <v>179</v>
      </c>
      <c r="E1223" s="41">
        <v>3120</v>
      </c>
      <c r="F1223" s="127"/>
      <c r="G1223" s="41">
        <v>330</v>
      </c>
      <c r="H1223" s="241"/>
      <c r="I1223" s="96">
        <f t="shared" si="17"/>
        <v>10.576923076923077</v>
      </c>
    </row>
    <row r="1224" spans="1:9" ht="17.25" customHeight="1">
      <c r="A1224" s="67"/>
      <c r="B1224" s="9"/>
      <c r="C1224" s="2">
        <v>4300</v>
      </c>
      <c r="D1224" s="170" t="s">
        <v>331</v>
      </c>
      <c r="E1224" s="41">
        <v>18660</v>
      </c>
      <c r="F1224" s="127"/>
      <c r="G1224" s="41">
        <v>8958.2</v>
      </c>
      <c r="H1224" s="241"/>
      <c r="I1224" s="96">
        <f t="shared" si="17"/>
        <v>48.00750267952841</v>
      </c>
    </row>
    <row r="1225" spans="1:9" ht="27.75" customHeight="1">
      <c r="A1225" s="67"/>
      <c r="B1225" s="9"/>
      <c r="C1225" s="2">
        <v>4360</v>
      </c>
      <c r="D1225" s="170" t="s">
        <v>693</v>
      </c>
      <c r="E1225" s="41">
        <v>2310</v>
      </c>
      <c r="F1225" s="127"/>
      <c r="G1225" s="41">
        <v>1045.76</v>
      </c>
      <c r="H1225" s="241"/>
      <c r="I1225" s="96">
        <f t="shared" si="17"/>
        <v>45.270995670995674</v>
      </c>
    </row>
    <row r="1226" spans="1:9" ht="24" customHeight="1">
      <c r="A1226" s="67"/>
      <c r="B1226" s="9"/>
      <c r="C1226" s="2">
        <v>4390</v>
      </c>
      <c r="D1226" s="205" t="s">
        <v>261</v>
      </c>
      <c r="E1226" s="41">
        <v>5264</v>
      </c>
      <c r="F1226" s="127"/>
      <c r="G1226" s="41">
        <v>0</v>
      </c>
      <c r="H1226" s="241"/>
      <c r="I1226" s="96"/>
    </row>
    <row r="1227" spans="1:9" ht="16.5" customHeight="1">
      <c r="A1227" s="67"/>
      <c r="B1227" s="9"/>
      <c r="C1227" s="2">
        <v>4410</v>
      </c>
      <c r="D1227" s="170" t="s">
        <v>569</v>
      </c>
      <c r="E1227" s="41">
        <v>250</v>
      </c>
      <c r="F1227" s="127"/>
      <c r="G1227" s="41">
        <v>0</v>
      </c>
      <c r="H1227" s="241"/>
      <c r="I1227" s="96"/>
    </row>
    <row r="1228" spans="1:9" ht="16.5" customHeight="1">
      <c r="A1228" s="67"/>
      <c r="B1228" s="9"/>
      <c r="C1228" s="2">
        <v>4430</v>
      </c>
      <c r="D1228" s="170" t="s">
        <v>314</v>
      </c>
      <c r="E1228" s="41">
        <v>6190</v>
      </c>
      <c r="F1228" s="127"/>
      <c r="G1228" s="41">
        <v>3444</v>
      </c>
      <c r="H1228" s="241"/>
      <c r="I1228" s="96">
        <f t="shared" si="17"/>
        <v>55.63812600969305</v>
      </c>
    </row>
    <row r="1229" spans="1:9" ht="28.5" customHeight="1">
      <c r="A1229" s="67"/>
      <c r="B1229" s="9"/>
      <c r="C1229" s="2">
        <v>4440</v>
      </c>
      <c r="D1229" s="170" t="s">
        <v>567</v>
      </c>
      <c r="E1229" s="41">
        <v>74580</v>
      </c>
      <c r="F1229" s="127"/>
      <c r="G1229" s="41">
        <v>56881.01</v>
      </c>
      <c r="H1229" s="241"/>
      <c r="I1229" s="96">
        <f t="shared" si="17"/>
        <v>76.26844998659158</v>
      </c>
    </row>
    <row r="1230" spans="1:9" ht="15.75" customHeight="1">
      <c r="A1230" s="67"/>
      <c r="B1230" s="9"/>
      <c r="C1230" s="2">
        <v>4480</v>
      </c>
      <c r="D1230" s="170" t="s">
        <v>272</v>
      </c>
      <c r="E1230" s="41">
        <v>277</v>
      </c>
      <c r="F1230" s="127"/>
      <c r="G1230" s="41">
        <v>88</v>
      </c>
      <c r="H1230" s="241"/>
      <c r="I1230" s="96">
        <f t="shared" si="17"/>
        <v>31.768953068592058</v>
      </c>
    </row>
    <row r="1231" spans="1:9" ht="24" customHeight="1">
      <c r="A1231" s="67"/>
      <c r="B1231" s="9"/>
      <c r="C1231" s="2">
        <v>4520</v>
      </c>
      <c r="D1231" s="170" t="s">
        <v>289</v>
      </c>
      <c r="E1231" s="41">
        <v>2507</v>
      </c>
      <c r="F1231" s="127"/>
      <c r="G1231" s="41">
        <v>1200.9</v>
      </c>
      <c r="H1231" s="241"/>
      <c r="I1231" s="96">
        <f t="shared" si="17"/>
        <v>47.90187475069805</v>
      </c>
    </row>
    <row r="1232" spans="1:9" ht="24" customHeight="1">
      <c r="A1232" s="67"/>
      <c r="B1232" s="9"/>
      <c r="C1232" s="2">
        <v>4700</v>
      </c>
      <c r="D1232" s="170" t="s">
        <v>290</v>
      </c>
      <c r="E1232" s="41">
        <v>1420</v>
      </c>
      <c r="F1232" s="127"/>
      <c r="G1232" s="41">
        <v>800</v>
      </c>
      <c r="H1232" s="241"/>
      <c r="I1232" s="96">
        <f t="shared" si="17"/>
        <v>56.33802816901409</v>
      </c>
    </row>
    <row r="1233" spans="1:9" ht="24" customHeight="1">
      <c r="A1233" s="67"/>
      <c r="B1233" s="9"/>
      <c r="C1233" s="2">
        <v>6060</v>
      </c>
      <c r="D1233" s="170" t="s">
        <v>584</v>
      </c>
      <c r="E1233" s="41">
        <v>13000</v>
      </c>
      <c r="F1233" s="127"/>
      <c r="G1233" s="41">
        <v>4980</v>
      </c>
      <c r="H1233" s="241"/>
      <c r="I1233" s="96">
        <f t="shared" si="17"/>
        <v>38.30769230769231</v>
      </c>
    </row>
    <row r="1234" spans="1:9" ht="31.5" customHeight="1">
      <c r="A1234" s="67"/>
      <c r="B1234" s="23">
        <v>85406</v>
      </c>
      <c r="C1234" s="24"/>
      <c r="D1234" s="175" t="s">
        <v>148</v>
      </c>
      <c r="E1234" s="91">
        <f>SUM(E1235:E1255)</f>
        <v>1628335</v>
      </c>
      <c r="F1234" s="233"/>
      <c r="G1234" s="91">
        <f>SUM(G1235:G1255)</f>
        <v>814960.4699999999</v>
      </c>
      <c r="H1234" s="241"/>
      <c r="I1234" s="96">
        <f t="shared" si="17"/>
        <v>50.04869821013488</v>
      </c>
    </row>
    <row r="1235" spans="1:9" ht="16.5" customHeight="1">
      <c r="A1235" s="67"/>
      <c r="B1235" s="9"/>
      <c r="C1235" s="2">
        <v>3020</v>
      </c>
      <c r="D1235" s="170" t="s">
        <v>177</v>
      </c>
      <c r="E1235" s="89">
        <v>5741</v>
      </c>
      <c r="F1235" s="127"/>
      <c r="G1235" s="89">
        <v>1800</v>
      </c>
      <c r="H1235" s="241"/>
      <c r="I1235" s="96">
        <f t="shared" si="17"/>
        <v>31.35342274865006</v>
      </c>
    </row>
    <row r="1236" spans="1:9" ht="16.5" customHeight="1">
      <c r="A1236" s="67"/>
      <c r="B1236" s="9"/>
      <c r="C1236" s="2">
        <v>4010</v>
      </c>
      <c r="D1236" s="170" t="s">
        <v>378</v>
      </c>
      <c r="E1236" s="41">
        <v>1087308</v>
      </c>
      <c r="F1236" s="127"/>
      <c r="G1236" s="41">
        <v>536042</v>
      </c>
      <c r="H1236" s="241"/>
      <c r="I1236" s="96">
        <f t="shared" si="17"/>
        <v>49.29992237710014</v>
      </c>
    </row>
    <row r="1237" spans="1:9" ht="16.5" customHeight="1">
      <c r="A1237" s="67"/>
      <c r="B1237" s="9"/>
      <c r="C1237" s="2">
        <v>4040</v>
      </c>
      <c r="D1237" s="170" t="s">
        <v>379</v>
      </c>
      <c r="E1237" s="41">
        <v>91239</v>
      </c>
      <c r="F1237" s="127"/>
      <c r="G1237" s="41">
        <v>90119.63</v>
      </c>
      <c r="H1237" s="241"/>
      <c r="I1237" s="96">
        <f t="shared" si="17"/>
        <v>98.77314525586647</v>
      </c>
    </row>
    <row r="1238" spans="1:9" ht="16.5" customHeight="1">
      <c r="A1238" s="67"/>
      <c r="B1238" s="9"/>
      <c r="C1238" s="2">
        <v>4110</v>
      </c>
      <c r="D1238" s="170" t="s">
        <v>565</v>
      </c>
      <c r="E1238" s="41">
        <v>190335</v>
      </c>
      <c r="F1238" s="127"/>
      <c r="G1238" s="41">
        <v>93544.73</v>
      </c>
      <c r="H1238" s="241"/>
      <c r="I1238" s="96">
        <f t="shared" si="17"/>
        <v>49.14741377045735</v>
      </c>
    </row>
    <row r="1239" spans="1:9" ht="16.5" customHeight="1">
      <c r="A1239" s="67"/>
      <c r="B1239" s="9"/>
      <c r="C1239" s="2">
        <v>4120</v>
      </c>
      <c r="D1239" s="170" t="s">
        <v>566</v>
      </c>
      <c r="E1239" s="41">
        <v>31569</v>
      </c>
      <c r="F1239" s="127"/>
      <c r="G1239" s="41">
        <v>9287.12</v>
      </c>
      <c r="H1239" s="241"/>
      <c r="I1239" s="96">
        <f t="shared" si="17"/>
        <v>29.418480154582028</v>
      </c>
    </row>
    <row r="1240" spans="1:9" ht="24" customHeight="1">
      <c r="A1240" s="67"/>
      <c r="B1240" s="9"/>
      <c r="C1240" s="2">
        <v>4140</v>
      </c>
      <c r="D1240" s="170" t="s">
        <v>220</v>
      </c>
      <c r="E1240" s="41">
        <v>10806</v>
      </c>
      <c r="F1240" s="127"/>
      <c r="G1240" s="41">
        <v>0</v>
      </c>
      <c r="H1240" s="241"/>
      <c r="I1240" s="96"/>
    </row>
    <row r="1241" spans="1:9" ht="16.5" customHeight="1">
      <c r="A1241" s="67"/>
      <c r="B1241" s="9"/>
      <c r="C1241" s="2">
        <v>4170</v>
      </c>
      <c r="D1241" s="170" t="s">
        <v>572</v>
      </c>
      <c r="E1241" s="41">
        <v>6000</v>
      </c>
      <c r="F1241" s="127"/>
      <c r="G1241" s="41">
        <v>2672</v>
      </c>
      <c r="H1241" s="241"/>
      <c r="I1241" s="96">
        <f t="shared" si="17"/>
        <v>44.53333333333334</v>
      </c>
    </row>
    <row r="1242" spans="1:9" ht="16.5" customHeight="1">
      <c r="A1242" s="67"/>
      <c r="B1242" s="9"/>
      <c r="C1242" s="2">
        <v>4210</v>
      </c>
      <c r="D1242" s="170" t="s">
        <v>334</v>
      </c>
      <c r="E1242" s="41">
        <v>31000</v>
      </c>
      <c r="F1242" s="88"/>
      <c r="G1242" s="41">
        <v>4477.92</v>
      </c>
      <c r="H1242" s="128"/>
      <c r="I1242" s="96">
        <f t="shared" si="17"/>
        <v>14.444903225806453</v>
      </c>
    </row>
    <row r="1243" spans="1:9" ht="24" customHeight="1">
      <c r="A1243" s="67"/>
      <c r="B1243" s="9"/>
      <c r="C1243" s="1">
        <v>4240</v>
      </c>
      <c r="D1243" s="205" t="s">
        <v>221</v>
      </c>
      <c r="E1243" s="89">
        <v>11163</v>
      </c>
      <c r="F1243" s="127"/>
      <c r="G1243" s="89">
        <v>1565.32</v>
      </c>
      <c r="H1243" s="241"/>
      <c r="I1243" s="250">
        <f t="shared" si="17"/>
        <v>14.02239541341933</v>
      </c>
    </row>
    <row r="1244" spans="1:9" ht="16.5" customHeight="1">
      <c r="A1244" s="67"/>
      <c r="B1244" s="9"/>
      <c r="C1244" s="2">
        <v>4260</v>
      </c>
      <c r="D1244" s="170" t="s">
        <v>579</v>
      </c>
      <c r="E1244" s="41">
        <v>22500</v>
      </c>
      <c r="F1244" s="127"/>
      <c r="G1244" s="41">
        <v>10011.21</v>
      </c>
      <c r="H1244" s="241"/>
      <c r="I1244" s="96">
        <f t="shared" si="17"/>
        <v>44.49426666666667</v>
      </c>
    </row>
    <row r="1245" spans="1:9" ht="16.5" customHeight="1">
      <c r="A1245" s="67"/>
      <c r="B1245" s="9"/>
      <c r="C1245" s="2">
        <v>4270</v>
      </c>
      <c r="D1245" s="170" t="s">
        <v>335</v>
      </c>
      <c r="E1245" s="41">
        <v>33000</v>
      </c>
      <c r="F1245" s="127"/>
      <c r="G1245" s="41">
        <v>3031.95</v>
      </c>
      <c r="H1245" s="241"/>
      <c r="I1245" s="96">
        <f t="shared" si="17"/>
        <v>9.187727272727273</v>
      </c>
    </row>
    <row r="1246" spans="1:9" ht="16.5" customHeight="1">
      <c r="A1246" s="67"/>
      <c r="B1246" s="9"/>
      <c r="C1246" s="2">
        <v>4280</v>
      </c>
      <c r="D1246" s="170" t="s">
        <v>179</v>
      </c>
      <c r="E1246" s="41">
        <v>1500</v>
      </c>
      <c r="F1246" s="127"/>
      <c r="G1246" s="41">
        <v>35</v>
      </c>
      <c r="H1246" s="241"/>
      <c r="I1246" s="96">
        <f t="shared" si="17"/>
        <v>2.3333333333333335</v>
      </c>
    </row>
    <row r="1247" spans="1:9" ht="16.5" customHeight="1">
      <c r="A1247" s="67"/>
      <c r="B1247" s="9"/>
      <c r="C1247" s="2">
        <v>4300</v>
      </c>
      <c r="D1247" s="170" t="s">
        <v>331</v>
      </c>
      <c r="E1247" s="41">
        <v>14500</v>
      </c>
      <c r="F1247" s="127"/>
      <c r="G1247" s="41">
        <v>8475.46</v>
      </c>
      <c r="H1247" s="241"/>
      <c r="I1247" s="96">
        <f t="shared" si="17"/>
        <v>58.45144827586206</v>
      </c>
    </row>
    <row r="1248" spans="1:9" ht="24" customHeight="1">
      <c r="A1248" s="67"/>
      <c r="B1248" s="9"/>
      <c r="C1248" s="2">
        <v>4360</v>
      </c>
      <c r="D1248" s="170" t="s">
        <v>693</v>
      </c>
      <c r="E1248" s="41">
        <v>6900</v>
      </c>
      <c r="F1248" s="127"/>
      <c r="G1248" s="41">
        <v>2068.83</v>
      </c>
      <c r="H1248" s="241"/>
      <c r="I1248" s="96">
        <f t="shared" si="17"/>
        <v>29.983043478260868</v>
      </c>
    </row>
    <row r="1249" spans="1:9" ht="24" customHeight="1">
      <c r="A1249" s="67"/>
      <c r="B1249" s="9"/>
      <c r="C1249" s="2">
        <v>4390</v>
      </c>
      <c r="D1249" s="205" t="s">
        <v>261</v>
      </c>
      <c r="E1249" s="41">
        <v>500</v>
      </c>
      <c r="F1249" s="127"/>
      <c r="G1249" s="41">
        <v>0</v>
      </c>
      <c r="H1249" s="241"/>
      <c r="I1249" s="96"/>
    </row>
    <row r="1250" spans="1:9" ht="16.5" customHeight="1">
      <c r="A1250" s="67"/>
      <c r="B1250" s="9"/>
      <c r="C1250" s="2">
        <v>4410</v>
      </c>
      <c r="D1250" s="170" t="s">
        <v>569</v>
      </c>
      <c r="E1250" s="41">
        <v>1000</v>
      </c>
      <c r="F1250" s="127"/>
      <c r="G1250" s="41">
        <v>38</v>
      </c>
      <c r="H1250" s="241"/>
      <c r="I1250" s="96">
        <f aca="true" t="shared" si="18" ref="I1250:I1309">G1250/E1250*100</f>
        <v>3.8</v>
      </c>
    </row>
    <row r="1251" spans="1:9" ht="16.5" customHeight="1">
      <c r="A1251" s="67"/>
      <c r="B1251" s="9"/>
      <c r="C1251" s="2">
        <v>4430</v>
      </c>
      <c r="D1251" s="170" t="s">
        <v>314</v>
      </c>
      <c r="E1251" s="41">
        <v>1000</v>
      </c>
      <c r="F1251" s="127"/>
      <c r="G1251" s="41">
        <v>996</v>
      </c>
      <c r="H1251" s="241"/>
      <c r="I1251" s="96">
        <f t="shared" si="18"/>
        <v>99.6</v>
      </c>
    </row>
    <row r="1252" spans="1:9" ht="24" customHeight="1">
      <c r="A1252" s="67"/>
      <c r="B1252" s="9"/>
      <c r="C1252" s="2">
        <v>4440</v>
      </c>
      <c r="D1252" s="170" t="s">
        <v>567</v>
      </c>
      <c r="E1252" s="41">
        <v>65674</v>
      </c>
      <c r="F1252" s="127"/>
      <c r="G1252" s="41">
        <v>49255.5</v>
      </c>
      <c r="H1252" s="241"/>
      <c r="I1252" s="96">
        <f t="shared" si="18"/>
        <v>75</v>
      </c>
    </row>
    <row r="1253" spans="1:9" ht="24" customHeight="1">
      <c r="A1253" s="67"/>
      <c r="B1253" s="9"/>
      <c r="C1253" s="2">
        <v>4520</v>
      </c>
      <c r="D1253" s="170" t="s">
        <v>289</v>
      </c>
      <c r="E1253" s="41">
        <v>1600</v>
      </c>
      <c r="F1253" s="127"/>
      <c r="G1253" s="41">
        <v>754.8</v>
      </c>
      <c r="H1253" s="241"/>
      <c r="I1253" s="96">
        <f t="shared" si="18"/>
        <v>47.175</v>
      </c>
    </row>
    <row r="1254" spans="1:9" ht="27.75" customHeight="1">
      <c r="A1254" s="67"/>
      <c r="B1254" s="9"/>
      <c r="C1254" s="2">
        <v>4700</v>
      </c>
      <c r="D1254" s="170" t="s">
        <v>290</v>
      </c>
      <c r="E1254" s="41">
        <v>1000</v>
      </c>
      <c r="F1254" s="127"/>
      <c r="G1254" s="41">
        <v>785</v>
      </c>
      <c r="H1254" s="241"/>
      <c r="I1254" s="96">
        <f t="shared" si="18"/>
        <v>78.5</v>
      </c>
    </row>
    <row r="1255" spans="1:9" ht="27" customHeight="1">
      <c r="A1255" s="67"/>
      <c r="B1255" s="9"/>
      <c r="C1255" s="2">
        <v>6060</v>
      </c>
      <c r="D1255" s="170" t="s">
        <v>584</v>
      </c>
      <c r="E1255" s="41">
        <v>14000</v>
      </c>
      <c r="F1255" s="127"/>
      <c r="G1255" s="41">
        <v>0</v>
      </c>
      <c r="H1255" s="241"/>
      <c r="I1255" s="96"/>
    </row>
    <row r="1256" spans="1:9" ht="24" customHeight="1">
      <c r="A1256" s="67"/>
      <c r="B1256" s="23">
        <v>85410</v>
      </c>
      <c r="C1256" s="24"/>
      <c r="D1256" s="175" t="s">
        <v>345</v>
      </c>
      <c r="E1256" s="38">
        <f>SUM(E1257:E1277)</f>
        <v>1945260</v>
      </c>
      <c r="F1256" s="127"/>
      <c r="G1256" s="38">
        <f>SUM(G1257:G1277)</f>
        <v>1042817.0200000001</v>
      </c>
      <c r="H1256" s="241"/>
      <c r="I1256" s="96">
        <f t="shared" si="18"/>
        <v>53.60810482917451</v>
      </c>
    </row>
    <row r="1257" spans="1:9" ht="16.5" customHeight="1">
      <c r="A1257" s="67"/>
      <c r="B1257" s="9"/>
      <c r="C1257" s="2">
        <v>3020</v>
      </c>
      <c r="D1257" s="170" t="s">
        <v>177</v>
      </c>
      <c r="E1257" s="89">
        <v>4500</v>
      </c>
      <c r="F1257" s="127"/>
      <c r="G1257" s="89">
        <v>742.07</v>
      </c>
      <c r="H1257" s="241"/>
      <c r="I1257" s="96">
        <f t="shared" si="18"/>
        <v>16.490444444444446</v>
      </c>
    </row>
    <row r="1258" spans="1:9" ht="16.5" customHeight="1">
      <c r="A1258" s="67"/>
      <c r="B1258" s="9"/>
      <c r="C1258" s="2">
        <v>4010</v>
      </c>
      <c r="D1258" s="170" t="s">
        <v>378</v>
      </c>
      <c r="E1258" s="41">
        <v>984300</v>
      </c>
      <c r="F1258" s="127"/>
      <c r="G1258" s="41">
        <v>506462.19</v>
      </c>
      <c r="H1258" s="241"/>
      <c r="I1258" s="96">
        <f t="shared" si="18"/>
        <v>51.45404754647973</v>
      </c>
    </row>
    <row r="1259" spans="1:9" ht="16.5" customHeight="1">
      <c r="A1259" s="67"/>
      <c r="B1259" s="9"/>
      <c r="C1259" s="2">
        <v>4040</v>
      </c>
      <c r="D1259" s="170" t="s">
        <v>379</v>
      </c>
      <c r="E1259" s="41">
        <v>87300</v>
      </c>
      <c r="F1259" s="127"/>
      <c r="G1259" s="41">
        <v>74305.32</v>
      </c>
      <c r="H1259" s="241"/>
      <c r="I1259" s="96">
        <f t="shared" si="18"/>
        <v>85.11491408934708</v>
      </c>
    </row>
    <row r="1260" spans="1:9" ht="16.5" customHeight="1">
      <c r="A1260" s="67"/>
      <c r="B1260" s="9"/>
      <c r="C1260" s="2">
        <v>4110</v>
      </c>
      <c r="D1260" s="170" t="s">
        <v>565</v>
      </c>
      <c r="E1260" s="41">
        <v>160500</v>
      </c>
      <c r="F1260" s="127"/>
      <c r="G1260" s="41">
        <v>113428.61</v>
      </c>
      <c r="H1260" s="241"/>
      <c r="I1260" s="96">
        <f t="shared" si="18"/>
        <v>70.67203115264797</v>
      </c>
    </row>
    <row r="1261" spans="1:9" ht="16.5" customHeight="1">
      <c r="A1261" s="67"/>
      <c r="B1261" s="9"/>
      <c r="C1261" s="2">
        <v>4120</v>
      </c>
      <c r="D1261" s="170" t="s">
        <v>566</v>
      </c>
      <c r="E1261" s="41">
        <v>27300</v>
      </c>
      <c r="F1261" s="127"/>
      <c r="G1261" s="41">
        <v>8509.4</v>
      </c>
      <c r="H1261" s="241"/>
      <c r="I1261" s="96">
        <f t="shared" si="18"/>
        <v>31.169963369963366</v>
      </c>
    </row>
    <row r="1262" spans="1:9" ht="24" customHeight="1">
      <c r="A1262" s="67"/>
      <c r="B1262" s="9"/>
      <c r="C1262" s="2">
        <v>4140</v>
      </c>
      <c r="D1262" s="170" t="s">
        <v>220</v>
      </c>
      <c r="E1262" s="41">
        <v>11000</v>
      </c>
      <c r="F1262" s="127"/>
      <c r="G1262" s="41">
        <v>5145</v>
      </c>
      <c r="H1262" s="241"/>
      <c r="I1262" s="96">
        <f t="shared" si="18"/>
        <v>46.77272727272727</v>
      </c>
    </row>
    <row r="1263" spans="1:9" ht="16.5" customHeight="1">
      <c r="A1263" s="67"/>
      <c r="B1263" s="9"/>
      <c r="C1263" s="2">
        <v>4170</v>
      </c>
      <c r="D1263" s="170" t="s">
        <v>572</v>
      </c>
      <c r="E1263" s="41">
        <v>6300</v>
      </c>
      <c r="F1263" s="127"/>
      <c r="G1263" s="41">
        <v>3600</v>
      </c>
      <c r="H1263" s="241"/>
      <c r="I1263" s="96">
        <f t="shared" si="18"/>
        <v>57.14285714285714</v>
      </c>
    </row>
    <row r="1264" spans="1:9" ht="16.5" customHeight="1">
      <c r="A1264" s="67"/>
      <c r="B1264" s="9"/>
      <c r="C1264" s="2">
        <v>4210</v>
      </c>
      <c r="D1264" s="170" t="s">
        <v>334</v>
      </c>
      <c r="E1264" s="41">
        <v>64000</v>
      </c>
      <c r="F1264" s="127"/>
      <c r="G1264" s="41">
        <v>22112.36</v>
      </c>
      <c r="H1264" s="241"/>
      <c r="I1264" s="96">
        <f t="shared" si="18"/>
        <v>34.5505625</v>
      </c>
    </row>
    <row r="1265" spans="1:9" ht="16.5" customHeight="1">
      <c r="A1265" s="67"/>
      <c r="B1265" s="9"/>
      <c r="C1265" s="2">
        <v>4220</v>
      </c>
      <c r="D1265" s="170" t="s">
        <v>223</v>
      </c>
      <c r="E1265" s="41">
        <v>340000</v>
      </c>
      <c r="F1265" s="127"/>
      <c r="G1265" s="41">
        <v>161785.15</v>
      </c>
      <c r="H1265" s="241"/>
      <c r="I1265" s="96">
        <f t="shared" si="18"/>
        <v>47.58386764705882</v>
      </c>
    </row>
    <row r="1266" spans="1:9" ht="16.5" customHeight="1">
      <c r="A1266" s="67"/>
      <c r="B1266" s="9"/>
      <c r="C1266" s="2">
        <v>4260</v>
      </c>
      <c r="D1266" s="170" t="s">
        <v>579</v>
      </c>
      <c r="E1266" s="41">
        <v>112000</v>
      </c>
      <c r="F1266" s="127"/>
      <c r="G1266" s="41">
        <v>63352.11</v>
      </c>
      <c r="H1266" s="241"/>
      <c r="I1266" s="96">
        <f t="shared" si="18"/>
        <v>56.564383928571424</v>
      </c>
    </row>
    <row r="1267" spans="1:9" ht="16.5" customHeight="1">
      <c r="A1267" s="67"/>
      <c r="B1267" s="9"/>
      <c r="C1267" s="2">
        <v>4270</v>
      </c>
      <c r="D1267" s="170" t="s">
        <v>335</v>
      </c>
      <c r="E1267" s="41">
        <v>14000</v>
      </c>
      <c r="F1267" s="127"/>
      <c r="G1267" s="41">
        <v>1111</v>
      </c>
      <c r="H1267" s="241"/>
      <c r="I1267" s="96">
        <f t="shared" si="18"/>
        <v>7.935714285714286</v>
      </c>
    </row>
    <row r="1268" spans="1:9" ht="16.5" customHeight="1">
      <c r="A1268" s="67"/>
      <c r="B1268" s="9"/>
      <c r="C1268" s="2">
        <v>4280</v>
      </c>
      <c r="D1268" s="170" t="s">
        <v>179</v>
      </c>
      <c r="E1268" s="41">
        <v>1000</v>
      </c>
      <c r="F1268" s="127"/>
      <c r="G1268" s="41">
        <v>176</v>
      </c>
      <c r="H1268" s="241"/>
      <c r="I1268" s="96">
        <f t="shared" si="18"/>
        <v>17.599999999999998</v>
      </c>
    </row>
    <row r="1269" spans="1:9" ht="16.5" customHeight="1">
      <c r="A1269" s="67"/>
      <c r="B1269" s="9"/>
      <c r="C1269" s="2">
        <v>4300</v>
      </c>
      <c r="D1269" s="170" t="s">
        <v>331</v>
      </c>
      <c r="E1269" s="41">
        <v>55000</v>
      </c>
      <c r="F1269" s="127"/>
      <c r="G1269" s="41">
        <v>30919.12</v>
      </c>
      <c r="H1269" s="241"/>
      <c r="I1269" s="96">
        <f t="shared" si="18"/>
        <v>56.21658181818182</v>
      </c>
    </row>
    <row r="1270" spans="1:9" ht="24" customHeight="1">
      <c r="A1270" s="67"/>
      <c r="B1270" s="9"/>
      <c r="C1270" s="2">
        <v>4360</v>
      </c>
      <c r="D1270" s="170" t="s">
        <v>90</v>
      </c>
      <c r="E1270" s="41">
        <v>4700</v>
      </c>
      <c r="F1270" s="127"/>
      <c r="G1270" s="41">
        <v>2016.89</v>
      </c>
      <c r="H1270" s="241"/>
      <c r="I1270" s="96">
        <f t="shared" si="18"/>
        <v>42.912553191489366</v>
      </c>
    </row>
    <row r="1271" spans="1:9" ht="24" customHeight="1">
      <c r="A1271" s="67"/>
      <c r="B1271" s="9"/>
      <c r="C1271" s="2">
        <v>4390</v>
      </c>
      <c r="D1271" s="170" t="s">
        <v>261</v>
      </c>
      <c r="E1271" s="41">
        <v>1000</v>
      </c>
      <c r="F1271" s="127"/>
      <c r="G1271" s="41">
        <v>0</v>
      </c>
      <c r="H1271" s="241"/>
      <c r="I1271" s="96"/>
    </row>
    <row r="1272" spans="1:9" ht="16.5" customHeight="1">
      <c r="A1272" s="67"/>
      <c r="B1272" s="9"/>
      <c r="C1272" s="2">
        <v>4410</v>
      </c>
      <c r="D1272" s="170" t="s">
        <v>569</v>
      </c>
      <c r="E1272" s="41">
        <v>300</v>
      </c>
      <c r="F1272" s="127"/>
      <c r="G1272" s="41">
        <v>0</v>
      </c>
      <c r="H1272" s="241"/>
      <c r="I1272" s="96"/>
    </row>
    <row r="1273" spans="1:9" ht="16.5" customHeight="1">
      <c r="A1273" s="67"/>
      <c r="B1273" s="9"/>
      <c r="C1273" s="2">
        <v>4430</v>
      </c>
      <c r="D1273" s="170" t="s">
        <v>314</v>
      </c>
      <c r="E1273" s="41">
        <v>2960</v>
      </c>
      <c r="F1273" s="127"/>
      <c r="G1273" s="41">
        <v>2697</v>
      </c>
      <c r="H1273" s="241"/>
      <c r="I1273" s="96">
        <f t="shared" si="18"/>
        <v>91.11486486486487</v>
      </c>
    </row>
    <row r="1274" spans="1:9" ht="24" customHeight="1">
      <c r="A1274" s="67"/>
      <c r="B1274" s="9"/>
      <c r="C1274" s="2">
        <v>4440</v>
      </c>
      <c r="D1274" s="170" t="s">
        <v>567</v>
      </c>
      <c r="E1274" s="41">
        <v>56500</v>
      </c>
      <c r="F1274" s="127"/>
      <c r="G1274" s="41">
        <v>42500</v>
      </c>
      <c r="H1274" s="241"/>
      <c r="I1274" s="96">
        <f t="shared" si="18"/>
        <v>75.22123893805309</v>
      </c>
    </row>
    <row r="1275" spans="1:9" ht="16.5" customHeight="1">
      <c r="A1275" s="67"/>
      <c r="B1275" s="9"/>
      <c r="C1275" s="2">
        <v>4480</v>
      </c>
      <c r="D1275" s="170" t="s">
        <v>272</v>
      </c>
      <c r="E1275" s="41">
        <v>2100</v>
      </c>
      <c r="F1275" s="127"/>
      <c r="G1275" s="41">
        <v>1023</v>
      </c>
      <c r="H1275" s="241"/>
      <c r="I1275" s="96">
        <f t="shared" si="18"/>
        <v>48.714285714285715</v>
      </c>
    </row>
    <row r="1276" spans="1:22" s="53" customFormat="1" ht="24" customHeight="1">
      <c r="A1276" s="67"/>
      <c r="B1276" s="9"/>
      <c r="C1276" s="2">
        <v>4520</v>
      </c>
      <c r="D1276" s="170" t="s">
        <v>289</v>
      </c>
      <c r="E1276" s="41">
        <v>9700</v>
      </c>
      <c r="F1276" s="127"/>
      <c r="G1276" s="41">
        <v>2401.8</v>
      </c>
      <c r="H1276" s="241"/>
      <c r="I1276" s="96">
        <f t="shared" si="18"/>
        <v>24.760824742268042</v>
      </c>
      <c r="J1276" s="159"/>
      <c r="K1276" s="159"/>
      <c r="L1276" s="159"/>
      <c r="M1276" s="159"/>
      <c r="N1276" s="159"/>
      <c r="O1276" s="159"/>
      <c r="P1276" s="159"/>
      <c r="Q1276" s="159"/>
      <c r="R1276" s="159"/>
      <c r="S1276" s="159"/>
      <c r="T1276" s="159"/>
      <c r="U1276" s="159"/>
      <c r="V1276" s="159"/>
    </row>
    <row r="1277" spans="1:9" ht="24" customHeight="1">
      <c r="A1277" s="67"/>
      <c r="B1277" s="9"/>
      <c r="C1277" s="2">
        <v>4700</v>
      </c>
      <c r="D1277" s="170" t="s">
        <v>290</v>
      </c>
      <c r="E1277" s="41">
        <v>800</v>
      </c>
      <c r="F1277" s="88"/>
      <c r="G1277" s="41">
        <v>530</v>
      </c>
      <c r="H1277" s="128"/>
      <c r="I1277" s="96">
        <f t="shared" si="18"/>
        <v>66.25</v>
      </c>
    </row>
    <row r="1278" spans="1:9" ht="38.25" customHeight="1">
      <c r="A1278" s="83"/>
      <c r="B1278" s="24">
        <v>85412</v>
      </c>
      <c r="C1278" s="35"/>
      <c r="D1278" s="204" t="s">
        <v>245</v>
      </c>
      <c r="E1278" s="151">
        <f>E1279</f>
        <v>96000</v>
      </c>
      <c r="F1278" s="233"/>
      <c r="G1278" s="151">
        <f>G1279</f>
        <v>90000</v>
      </c>
      <c r="H1278" s="551"/>
      <c r="I1278" s="250">
        <f t="shared" si="18"/>
        <v>93.75</v>
      </c>
    </row>
    <row r="1279" spans="1:9" ht="21" customHeight="1">
      <c r="A1279" s="67"/>
      <c r="B1279" s="9"/>
      <c r="C1279" s="2">
        <v>4300</v>
      </c>
      <c r="D1279" s="170" t="s">
        <v>331</v>
      </c>
      <c r="E1279" s="55">
        <v>96000</v>
      </c>
      <c r="F1279" s="127"/>
      <c r="G1279" s="55">
        <v>90000</v>
      </c>
      <c r="H1279" s="241"/>
      <c r="I1279" s="96">
        <f t="shared" si="18"/>
        <v>93.75</v>
      </c>
    </row>
    <row r="1280" spans="1:9" ht="20.25" customHeight="1">
      <c r="A1280" s="67"/>
      <c r="B1280" s="24">
        <v>85415</v>
      </c>
      <c r="C1280" s="24"/>
      <c r="D1280" s="175" t="s">
        <v>103</v>
      </c>
      <c r="E1280" s="38">
        <f>SUM(E1281:E1281)</f>
        <v>50000</v>
      </c>
      <c r="F1280" s="127"/>
      <c r="G1280" s="38">
        <f>SUM(G1281:G1281)</f>
        <v>29470</v>
      </c>
      <c r="H1280" s="241"/>
      <c r="I1280" s="96">
        <f t="shared" si="18"/>
        <v>58.940000000000005</v>
      </c>
    </row>
    <row r="1281" spans="1:9" ht="21" customHeight="1">
      <c r="A1281" s="67"/>
      <c r="B1281" s="9"/>
      <c r="C1281" s="2">
        <v>3240</v>
      </c>
      <c r="D1281" s="170" t="s">
        <v>104</v>
      </c>
      <c r="E1281" s="55">
        <v>50000</v>
      </c>
      <c r="F1281" s="127"/>
      <c r="G1281" s="55">
        <v>29470</v>
      </c>
      <c r="H1281" s="241"/>
      <c r="I1281" s="96">
        <f t="shared" si="18"/>
        <v>58.940000000000005</v>
      </c>
    </row>
    <row r="1282" spans="1:9" ht="20.25" customHeight="1">
      <c r="A1282" s="67"/>
      <c r="B1282" s="23">
        <v>85417</v>
      </c>
      <c r="C1282" s="24"/>
      <c r="D1282" s="175" t="s">
        <v>346</v>
      </c>
      <c r="E1282" s="38">
        <f>SUM(E1283:E1300)</f>
        <v>417157</v>
      </c>
      <c r="F1282" s="127"/>
      <c r="G1282" s="38">
        <f>SUM(G1283:G1300)</f>
        <v>227960.92</v>
      </c>
      <c r="H1282" s="241"/>
      <c r="I1282" s="96">
        <f t="shared" si="18"/>
        <v>54.64631301883943</v>
      </c>
    </row>
    <row r="1283" spans="1:9" ht="24" customHeight="1">
      <c r="A1283" s="67"/>
      <c r="B1283" s="9"/>
      <c r="C1283" s="2">
        <v>3020</v>
      </c>
      <c r="D1283" s="170" t="s">
        <v>177</v>
      </c>
      <c r="E1283" s="89">
        <v>700</v>
      </c>
      <c r="F1283" s="127"/>
      <c r="G1283" s="89">
        <v>0</v>
      </c>
      <c r="H1283" s="241"/>
      <c r="I1283" s="96"/>
    </row>
    <row r="1284" spans="1:9" ht="16.5" customHeight="1">
      <c r="A1284" s="67"/>
      <c r="B1284" s="9"/>
      <c r="C1284" s="2">
        <v>4010</v>
      </c>
      <c r="D1284" s="170" t="s">
        <v>378</v>
      </c>
      <c r="E1284" s="41">
        <v>201341</v>
      </c>
      <c r="F1284" s="127"/>
      <c r="G1284" s="41">
        <v>104874.82</v>
      </c>
      <c r="H1284" s="241"/>
      <c r="I1284" s="96">
        <f t="shared" si="18"/>
        <v>52.08815889461164</v>
      </c>
    </row>
    <row r="1285" spans="1:9" ht="16.5" customHeight="1">
      <c r="A1285" s="67"/>
      <c r="B1285" s="9"/>
      <c r="C1285" s="2">
        <v>4040</v>
      </c>
      <c r="D1285" s="170" t="s">
        <v>379</v>
      </c>
      <c r="E1285" s="41">
        <v>15931</v>
      </c>
      <c r="F1285" s="127"/>
      <c r="G1285" s="41">
        <v>15930.29</v>
      </c>
      <c r="H1285" s="241"/>
      <c r="I1285" s="96">
        <f t="shared" si="18"/>
        <v>99.99554328039672</v>
      </c>
    </row>
    <row r="1286" spans="1:9" ht="16.5" customHeight="1">
      <c r="A1286" s="67"/>
      <c r="B1286" s="9"/>
      <c r="C1286" s="2">
        <v>4110</v>
      </c>
      <c r="D1286" s="170" t="s">
        <v>565</v>
      </c>
      <c r="E1286" s="41">
        <v>36145</v>
      </c>
      <c r="F1286" s="127"/>
      <c r="G1286" s="41">
        <v>23701.72</v>
      </c>
      <c r="H1286" s="241"/>
      <c r="I1286" s="96">
        <f t="shared" si="18"/>
        <v>65.57399363674091</v>
      </c>
    </row>
    <row r="1287" spans="1:9" ht="16.5" customHeight="1">
      <c r="A1287" s="67"/>
      <c r="B1287" s="9"/>
      <c r="C1287" s="2">
        <v>4120</v>
      </c>
      <c r="D1287" s="170" t="s">
        <v>566</v>
      </c>
      <c r="E1287" s="41">
        <v>3600</v>
      </c>
      <c r="F1287" s="127"/>
      <c r="G1287" s="41">
        <v>2206.44</v>
      </c>
      <c r="H1287" s="241"/>
      <c r="I1287" s="96">
        <f t="shared" si="18"/>
        <v>61.29</v>
      </c>
    </row>
    <row r="1288" spans="1:9" ht="16.5" customHeight="1">
      <c r="A1288" s="67"/>
      <c r="B1288" s="9"/>
      <c r="C1288" s="2">
        <v>4170</v>
      </c>
      <c r="D1288" s="170" t="s">
        <v>572</v>
      </c>
      <c r="E1288" s="41">
        <v>15000</v>
      </c>
      <c r="F1288" s="127"/>
      <c r="G1288" s="41">
        <v>7455</v>
      </c>
      <c r="H1288" s="241"/>
      <c r="I1288" s="96">
        <f t="shared" si="18"/>
        <v>49.7</v>
      </c>
    </row>
    <row r="1289" spans="1:9" ht="16.5" customHeight="1">
      <c r="A1289" s="67"/>
      <c r="B1289" s="9"/>
      <c r="C1289" s="2">
        <v>4210</v>
      </c>
      <c r="D1289" s="170" t="s">
        <v>334</v>
      </c>
      <c r="E1289" s="41">
        <v>17000</v>
      </c>
      <c r="F1289" s="127"/>
      <c r="G1289" s="41">
        <v>11420.34</v>
      </c>
      <c r="H1289" s="241"/>
      <c r="I1289" s="96">
        <f t="shared" si="18"/>
        <v>67.1784705882353</v>
      </c>
    </row>
    <row r="1290" spans="1:9" ht="16.5" customHeight="1">
      <c r="A1290" s="67"/>
      <c r="B1290" s="9"/>
      <c r="C1290" s="2">
        <v>4260</v>
      </c>
      <c r="D1290" s="170" t="s">
        <v>579</v>
      </c>
      <c r="E1290" s="41">
        <v>20000</v>
      </c>
      <c r="F1290" s="127"/>
      <c r="G1290" s="41">
        <v>9290.75</v>
      </c>
      <c r="H1290" s="241"/>
      <c r="I1290" s="96">
        <f t="shared" si="18"/>
        <v>46.45375</v>
      </c>
    </row>
    <row r="1291" spans="1:9" ht="16.5" customHeight="1">
      <c r="A1291" s="67"/>
      <c r="B1291" s="9"/>
      <c r="C1291" s="2">
        <v>4270</v>
      </c>
      <c r="D1291" s="170" t="s">
        <v>335</v>
      </c>
      <c r="E1291" s="41">
        <v>22000</v>
      </c>
      <c r="F1291" s="127"/>
      <c r="G1291" s="41">
        <v>9399.9</v>
      </c>
      <c r="H1291" s="241"/>
      <c r="I1291" s="96">
        <f t="shared" si="18"/>
        <v>42.72681818181818</v>
      </c>
    </row>
    <row r="1292" spans="1:9" ht="16.5" customHeight="1">
      <c r="A1292" s="67"/>
      <c r="B1292" s="9"/>
      <c r="C1292" s="2">
        <v>4280</v>
      </c>
      <c r="D1292" s="170" t="s">
        <v>179</v>
      </c>
      <c r="E1292" s="41">
        <v>100</v>
      </c>
      <c r="F1292" s="127"/>
      <c r="G1292" s="41">
        <v>0</v>
      </c>
      <c r="H1292" s="241"/>
      <c r="I1292" s="96"/>
    </row>
    <row r="1293" spans="1:9" ht="16.5" customHeight="1">
      <c r="A1293" s="67"/>
      <c r="B1293" s="9"/>
      <c r="C1293" s="2">
        <v>4300</v>
      </c>
      <c r="D1293" s="170" t="s">
        <v>331</v>
      </c>
      <c r="E1293" s="41">
        <v>56020</v>
      </c>
      <c r="F1293" s="127"/>
      <c r="G1293" s="41">
        <v>26963.76</v>
      </c>
      <c r="H1293" s="241"/>
      <c r="I1293" s="96">
        <f t="shared" si="18"/>
        <v>48.13238129239557</v>
      </c>
    </row>
    <row r="1294" spans="1:9" ht="24" customHeight="1">
      <c r="A1294" s="67"/>
      <c r="B1294" s="9"/>
      <c r="C1294" s="2">
        <v>4360</v>
      </c>
      <c r="D1294" s="170" t="s">
        <v>90</v>
      </c>
      <c r="E1294" s="41">
        <v>2558</v>
      </c>
      <c r="F1294" s="127"/>
      <c r="G1294" s="41">
        <v>1451.96</v>
      </c>
      <c r="H1294" s="241"/>
      <c r="I1294" s="96">
        <f t="shared" si="18"/>
        <v>56.7615324472244</v>
      </c>
    </row>
    <row r="1295" spans="1:9" ht="16.5" customHeight="1">
      <c r="A1295" s="67"/>
      <c r="B1295" s="9"/>
      <c r="C1295" s="2">
        <v>4410</v>
      </c>
      <c r="D1295" s="170" t="s">
        <v>569</v>
      </c>
      <c r="E1295" s="41">
        <v>2400</v>
      </c>
      <c r="F1295" s="127"/>
      <c r="G1295" s="41">
        <v>1038.06</v>
      </c>
      <c r="H1295" s="241"/>
      <c r="I1295" s="96">
        <f t="shared" si="18"/>
        <v>43.2525</v>
      </c>
    </row>
    <row r="1296" spans="1:9" ht="16.5" customHeight="1">
      <c r="A1296" s="67"/>
      <c r="B1296" s="9"/>
      <c r="C1296" s="2">
        <v>4430</v>
      </c>
      <c r="D1296" s="170" t="s">
        <v>314</v>
      </c>
      <c r="E1296" s="41">
        <v>1000</v>
      </c>
      <c r="F1296" s="127"/>
      <c r="G1296" s="41">
        <v>658</v>
      </c>
      <c r="H1296" s="241"/>
      <c r="I1296" s="96">
        <f t="shared" si="18"/>
        <v>65.8</v>
      </c>
    </row>
    <row r="1297" spans="1:9" ht="24" customHeight="1">
      <c r="A1297" s="67"/>
      <c r="B1297" s="9"/>
      <c r="C1297" s="2">
        <v>4440</v>
      </c>
      <c r="D1297" s="170" t="s">
        <v>567</v>
      </c>
      <c r="E1297" s="41">
        <v>6382</v>
      </c>
      <c r="F1297" s="127"/>
      <c r="G1297" s="41">
        <v>6000</v>
      </c>
      <c r="H1297" s="241"/>
      <c r="I1297" s="96">
        <f t="shared" si="18"/>
        <v>94.0144155437167</v>
      </c>
    </row>
    <row r="1298" spans="1:9" ht="24" customHeight="1">
      <c r="A1298" s="67"/>
      <c r="B1298" s="9"/>
      <c r="C1298" s="2">
        <v>4520</v>
      </c>
      <c r="D1298" s="170" t="s">
        <v>289</v>
      </c>
      <c r="E1298" s="41">
        <v>980</v>
      </c>
      <c r="F1298" s="127"/>
      <c r="G1298" s="41">
        <v>489.6</v>
      </c>
      <c r="H1298" s="241"/>
      <c r="I1298" s="96">
        <f t="shared" si="18"/>
        <v>49.95918367346939</v>
      </c>
    </row>
    <row r="1299" spans="1:9" ht="15.75" customHeight="1">
      <c r="A1299" s="67"/>
      <c r="B1299" s="9"/>
      <c r="C1299" s="2">
        <v>4530</v>
      </c>
      <c r="D1299" s="170" t="s">
        <v>105</v>
      </c>
      <c r="E1299" s="41">
        <v>15000</v>
      </c>
      <c r="F1299" s="127"/>
      <c r="G1299" s="41">
        <v>6340.28</v>
      </c>
      <c r="H1299" s="241"/>
      <c r="I1299" s="96">
        <f t="shared" si="18"/>
        <v>42.26853333333333</v>
      </c>
    </row>
    <row r="1300" spans="1:9" ht="23.25" customHeight="1">
      <c r="A1300" s="67"/>
      <c r="B1300" s="9"/>
      <c r="C1300" s="2">
        <v>4700</v>
      </c>
      <c r="D1300" s="170" t="s">
        <v>290</v>
      </c>
      <c r="E1300" s="41">
        <v>1000</v>
      </c>
      <c r="F1300" s="127"/>
      <c r="G1300" s="41">
        <v>740</v>
      </c>
      <c r="H1300" s="241"/>
      <c r="I1300" s="96">
        <f t="shared" si="18"/>
        <v>74</v>
      </c>
    </row>
    <row r="1301" spans="1:9" ht="20.25" customHeight="1">
      <c r="A1301" s="67"/>
      <c r="B1301" s="24">
        <v>85446</v>
      </c>
      <c r="C1301" s="24"/>
      <c r="D1301" s="175" t="s">
        <v>137</v>
      </c>
      <c r="E1301" s="38">
        <f>SUM(E1302:E1304)</f>
        <v>25485</v>
      </c>
      <c r="F1301" s="127"/>
      <c r="G1301" s="38">
        <f>SUM(G1302:G1304)</f>
        <v>9428</v>
      </c>
      <c r="H1301" s="241"/>
      <c r="I1301" s="96">
        <f t="shared" si="18"/>
        <v>36.99431037865411</v>
      </c>
    </row>
    <row r="1302" spans="1:9" ht="16.5" customHeight="1">
      <c r="A1302" s="70"/>
      <c r="B1302" s="7"/>
      <c r="C1302" s="8">
        <v>4300</v>
      </c>
      <c r="D1302" s="170" t="s">
        <v>331</v>
      </c>
      <c r="E1302" s="41">
        <v>7620</v>
      </c>
      <c r="F1302" s="127"/>
      <c r="G1302" s="41">
        <v>4800</v>
      </c>
      <c r="H1302" s="241"/>
      <c r="I1302" s="96">
        <f t="shared" si="18"/>
        <v>62.99212598425197</v>
      </c>
    </row>
    <row r="1303" spans="1:9" ht="16.5" customHeight="1">
      <c r="A1303" s="70"/>
      <c r="B1303" s="7"/>
      <c r="C1303" s="8">
        <v>4410</v>
      </c>
      <c r="D1303" s="170" t="s">
        <v>569</v>
      </c>
      <c r="E1303" s="41">
        <v>1109</v>
      </c>
      <c r="F1303" s="127"/>
      <c r="G1303" s="41">
        <v>118</v>
      </c>
      <c r="H1303" s="241"/>
      <c r="I1303" s="96">
        <f t="shared" si="18"/>
        <v>10.640216411181244</v>
      </c>
    </row>
    <row r="1304" spans="1:9" ht="23.25" customHeight="1">
      <c r="A1304" s="70"/>
      <c r="B1304" s="1"/>
      <c r="C1304" s="8">
        <v>4700</v>
      </c>
      <c r="D1304" s="170" t="s">
        <v>290</v>
      </c>
      <c r="E1304" s="41">
        <v>16756</v>
      </c>
      <c r="F1304" s="88"/>
      <c r="G1304" s="41">
        <v>4510</v>
      </c>
      <c r="H1304" s="128"/>
      <c r="I1304" s="96">
        <f t="shared" si="18"/>
        <v>26.915731678204825</v>
      </c>
    </row>
    <row r="1305" spans="1:9" ht="24" customHeight="1">
      <c r="A1305" s="59">
        <v>921</v>
      </c>
      <c r="B1305" s="68"/>
      <c r="C1305" s="10"/>
      <c r="D1305" s="174" t="s">
        <v>639</v>
      </c>
      <c r="E1305" s="33">
        <f>E1306</f>
        <v>2554000</v>
      </c>
      <c r="F1305" s="127"/>
      <c r="G1305" s="33">
        <f>G1306</f>
        <v>1335000</v>
      </c>
      <c r="H1305" s="241"/>
      <c r="I1305" s="132">
        <f t="shared" si="18"/>
        <v>52.27094753328113</v>
      </c>
    </row>
    <row r="1306" spans="1:9" ht="20.25" customHeight="1">
      <c r="A1306" s="97"/>
      <c r="B1306" s="97">
        <v>92116</v>
      </c>
      <c r="C1306" s="24"/>
      <c r="D1306" s="175" t="s">
        <v>325</v>
      </c>
      <c r="E1306" s="38">
        <f>E1307</f>
        <v>2554000</v>
      </c>
      <c r="F1306" s="73"/>
      <c r="G1306" s="38">
        <f>G1307</f>
        <v>1335000</v>
      </c>
      <c r="H1306" s="129"/>
      <c r="I1306" s="96">
        <f t="shared" si="18"/>
        <v>52.27094753328113</v>
      </c>
    </row>
    <row r="1307" spans="1:9" ht="23.25" customHeight="1">
      <c r="A1307" s="80"/>
      <c r="B1307" s="76"/>
      <c r="C1307" s="15">
        <v>2480</v>
      </c>
      <c r="D1307" s="172" t="s">
        <v>640</v>
      </c>
      <c r="E1307" s="89">
        <v>2554000</v>
      </c>
      <c r="F1307" s="127"/>
      <c r="G1307" s="89">
        <v>1335000</v>
      </c>
      <c r="H1307" s="241"/>
      <c r="I1307" s="96">
        <f t="shared" si="18"/>
        <v>52.27094753328113</v>
      </c>
    </row>
    <row r="1308" spans="1:9" ht="25.5" customHeight="1">
      <c r="A1308" s="49" t="s">
        <v>641</v>
      </c>
      <c r="B1308" s="79"/>
      <c r="C1308" s="4"/>
      <c r="D1308" s="199"/>
      <c r="E1308" s="74">
        <f>E710+E719+E731+E741+E767+E793+E830+E839+E1095+E1098+E1169+E1305+E1184</f>
        <v>122173869.61000001</v>
      </c>
      <c r="F1308" s="74">
        <f>F710+F719+F731+F741+F767+F793+F830+F839+F1095+F1098+F1169+F1305+F1184</f>
        <v>11488007</v>
      </c>
      <c r="G1308" s="74">
        <f>G710+G719+G731+G741+G767+G793+G830+G839+G1095+G1098+G1169+G1305+G1184</f>
        <v>56233809.94</v>
      </c>
      <c r="H1308" s="556">
        <f>H710+H719+H731+H741+H767+H793+H830+H839+H1095+H1098+H1169+H1305+H1184</f>
        <v>5752873.24</v>
      </c>
      <c r="I1308" s="132">
        <f t="shared" si="18"/>
        <v>46.02768997945959</v>
      </c>
    </row>
    <row r="1309" spans="1:9" ht="23.25" customHeight="1">
      <c r="A1309" s="120" t="s">
        <v>260</v>
      </c>
      <c r="B1309" s="79"/>
      <c r="C1309" s="4"/>
      <c r="D1309" s="199"/>
      <c r="E1309" s="33">
        <f>E708+E1308</f>
        <v>418228993.16</v>
      </c>
      <c r="F1309" s="33">
        <f>F708+F1308</f>
        <v>33532578.81</v>
      </c>
      <c r="G1309" s="33">
        <f>G708+G1308</f>
        <v>203881514.57</v>
      </c>
      <c r="H1309" s="84">
        <f>H708+H1308</f>
        <v>17701028.939999998</v>
      </c>
      <c r="I1309" s="132">
        <f t="shared" si="18"/>
        <v>48.748775886994025</v>
      </c>
    </row>
    <row r="1310" spans="1:8" ht="12.75">
      <c r="A1310" s="157"/>
      <c r="B1310" s="157"/>
      <c r="C1310" s="160"/>
      <c r="D1310" s="152"/>
      <c r="E1310" s="55"/>
      <c r="F1310" s="55"/>
      <c r="G1310" s="55"/>
      <c r="H1310" s="55"/>
    </row>
    <row r="1311" spans="1:8" ht="12.75">
      <c r="A1311" s="157"/>
      <c r="B1311" s="157"/>
      <c r="C1311" s="160"/>
      <c r="D1311" s="152"/>
      <c r="E1311" s="55"/>
      <c r="F1311" s="55"/>
      <c r="G1311" s="55"/>
      <c r="H1311" s="55"/>
    </row>
    <row r="1312" spans="1:8" ht="12.75">
      <c r="A1312" s="157"/>
      <c r="B1312" s="157"/>
      <c r="C1312" s="160"/>
      <c r="D1312" s="152"/>
      <c r="E1312" s="55"/>
      <c r="F1312" s="55"/>
      <c r="G1312" s="55"/>
      <c r="H1312" s="55"/>
    </row>
    <row r="1313" spans="1:8" ht="12.75">
      <c r="A1313" s="157"/>
      <c r="B1313" s="157"/>
      <c r="C1313" s="160"/>
      <c r="D1313" s="152"/>
      <c r="E1313" s="55"/>
      <c r="F1313" s="55"/>
      <c r="G1313" s="55"/>
      <c r="H1313" s="55"/>
    </row>
    <row r="1314" spans="1:8" ht="12.75">
      <c r="A1314" s="157"/>
      <c r="B1314" s="157"/>
      <c r="C1314" s="160"/>
      <c r="D1314" s="152"/>
      <c r="E1314" s="55"/>
      <c r="F1314" s="55"/>
      <c r="G1314" s="55"/>
      <c r="H1314" s="55"/>
    </row>
    <row r="1315" spans="1:8" ht="12.75">
      <c r="A1315" s="157"/>
      <c r="B1315" s="157"/>
      <c r="C1315" s="160"/>
      <c r="D1315" s="152"/>
      <c r="E1315" s="55"/>
      <c r="F1315" s="55"/>
      <c r="G1315" s="55"/>
      <c r="H1315" s="55"/>
    </row>
    <row r="1316" spans="1:8" ht="12.75">
      <c r="A1316" s="157"/>
      <c r="B1316" s="157"/>
      <c r="C1316" s="160"/>
      <c r="D1316" s="152"/>
      <c r="E1316" s="55"/>
      <c r="F1316" s="55"/>
      <c r="G1316" s="55"/>
      <c r="H1316" s="55"/>
    </row>
    <row r="1317" spans="1:8" ht="12.75">
      <c r="A1317" s="157"/>
      <c r="B1317" s="157"/>
      <c r="C1317" s="160"/>
      <c r="D1317" s="152"/>
      <c r="E1317" s="55"/>
      <c r="F1317" s="55"/>
      <c r="G1317" s="55"/>
      <c r="H1317" s="55"/>
    </row>
    <row r="1318" spans="1:8" ht="12.75">
      <c r="A1318" s="157"/>
      <c r="B1318" s="157"/>
      <c r="C1318" s="160"/>
      <c r="D1318" s="152"/>
      <c r="E1318" s="55"/>
      <c r="F1318" s="55"/>
      <c r="G1318" s="55"/>
      <c r="H1318" s="55"/>
    </row>
    <row r="1319" spans="1:8" ht="12.75">
      <c r="A1319" s="157"/>
      <c r="B1319" s="157"/>
      <c r="C1319" s="160"/>
      <c r="D1319" s="152"/>
      <c r="E1319" s="55"/>
      <c r="F1319" s="55"/>
      <c r="G1319" s="55"/>
      <c r="H1319" s="55"/>
    </row>
    <row r="1320" spans="1:8" ht="12.75">
      <c r="A1320" s="157"/>
      <c r="B1320" s="157"/>
      <c r="C1320" s="160"/>
      <c r="D1320" s="152"/>
      <c r="E1320" s="55"/>
      <c r="F1320" s="55"/>
      <c r="G1320" s="55"/>
      <c r="H1320" s="55"/>
    </row>
    <row r="1321" spans="1:8" ht="12.75">
      <c r="A1321" s="157"/>
      <c r="B1321" s="157"/>
      <c r="C1321" s="160"/>
      <c r="D1321" s="152"/>
      <c r="E1321" s="55"/>
      <c r="F1321" s="55"/>
      <c r="G1321" s="55"/>
      <c r="H1321" s="55"/>
    </row>
    <row r="1322" spans="1:8" ht="12.75">
      <c r="A1322" s="157"/>
      <c r="B1322" s="157"/>
      <c r="C1322" s="160"/>
      <c r="D1322" s="152"/>
      <c r="E1322" s="55"/>
      <c r="F1322" s="55"/>
      <c r="G1322" s="55"/>
      <c r="H1322" s="55"/>
    </row>
    <row r="1323" spans="1:8" ht="12.75">
      <c r="A1323" s="157"/>
      <c r="B1323" s="157"/>
      <c r="C1323" s="160"/>
      <c r="D1323" s="152"/>
      <c r="E1323" s="55"/>
      <c r="F1323" s="55"/>
      <c r="G1323" s="55"/>
      <c r="H1323" s="55"/>
    </row>
    <row r="1324" spans="1:8" ht="12.75">
      <c r="A1324" s="157"/>
      <c r="B1324" s="157"/>
      <c r="C1324" s="160"/>
      <c r="D1324" s="152"/>
      <c r="E1324" s="55"/>
      <c r="F1324" s="55"/>
      <c r="G1324" s="55"/>
      <c r="H1324" s="55"/>
    </row>
    <row r="1325" spans="1:8" ht="12.75">
      <c r="A1325" s="157"/>
      <c r="B1325" s="157"/>
      <c r="C1325" s="160"/>
      <c r="D1325" s="152"/>
      <c r="E1325" s="55"/>
      <c r="F1325" s="55"/>
      <c r="G1325" s="55"/>
      <c r="H1325" s="55"/>
    </row>
    <row r="1326" spans="1:8" ht="12.75">
      <c r="A1326" s="157"/>
      <c r="B1326" s="157"/>
      <c r="C1326" s="160"/>
      <c r="D1326" s="152"/>
      <c r="E1326" s="55"/>
      <c r="F1326" s="55"/>
      <c r="G1326" s="55"/>
      <c r="H1326" s="55"/>
    </row>
    <row r="1327" spans="1:8" ht="12.75">
      <c r="A1327" s="157"/>
      <c r="B1327" s="157"/>
      <c r="C1327" s="160"/>
      <c r="D1327" s="152"/>
      <c r="E1327" s="55"/>
      <c r="F1327" s="55"/>
      <c r="G1327" s="55"/>
      <c r="H1327" s="55"/>
    </row>
    <row r="1328" spans="1:8" ht="12.75">
      <c r="A1328" s="157"/>
      <c r="B1328" s="157"/>
      <c r="C1328" s="160"/>
      <c r="D1328" s="152"/>
      <c r="E1328" s="55"/>
      <c r="F1328" s="55"/>
      <c r="G1328" s="55"/>
      <c r="H1328" s="55"/>
    </row>
    <row r="1329" spans="1:8" ht="12.75">
      <c r="A1329" s="157"/>
      <c r="B1329" s="157"/>
      <c r="C1329" s="160"/>
      <c r="D1329" s="152"/>
      <c r="E1329" s="55"/>
      <c r="F1329" s="55"/>
      <c r="G1329" s="55"/>
      <c r="H1329" s="55"/>
    </row>
    <row r="1330" spans="1:8" ht="12.75">
      <c r="A1330" s="157"/>
      <c r="B1330" s="157"/>
      <c r="C1330" s="160"/>
      <c r="D1330" s="152"/>
      <c r="E1330" s="55"/>
      <c r="F1330" s="55"/>
      <c r="G1330" s="55"/>
      <c r="H1330" s="55"/>
    </row>
    <row r="1331" spans="1:8" ht="12.75">
      <c r="A1331" s="157"/>
      <c r="B1331" s="157"/>
      <c r="C1331" s="160"/>
      <c r="D1331" s="152"/>
      <c r="E1331" s="55"/>
      <c r="F1331" s="55"/>
      <c r="G1331" s="55"/>
      <c r="H1331" s="55"/>
    </row>
    <row r="1332" spans="1:8" ht="12.75">
      <c r="A1332" s="157"/>
      <c r="B1332" s="157"/>
      <c r="C1332" s="160"/>
      <c r="D1332" s="152"/>
      <c r="E1332" s="55"/>
      <c r="F1332" s="55"/>
      <c r="G1332" s="55"/>
      <c r="H1332" s="55"/>
    </row>
    <row r="1333" spans="1:8" ht="12.75">
      <c r="A1333" s="157"/>
      <c r="B1333" s="157"/>
      <c r="C1333" s="160"/>
      <c r="D1333" s="152"/>
      <c r="E1333" s="55"/>
      <c r="F1333" s="55"/>
      <c r="G1333" s="55"/>
      <c r="H1333" s="55"/>
    </row>
    <row r="1334" spans="1:8" ht="12.75">
      <c r="A1334" s="157"/>
      <c r="B1334" s="157"/>
      <c r="C1334" s="160"/>
      <c r="D1334" s="152"/>
      <c r="E1334" s="55"/>
      <c r="F1334" s="55"/>
      <c r="G1334" s="55"/>
      <c r="H1334" s="55"/>
    </row>
    <row r="1335" spans="1:8" ht="12.75">
      <c r="A1335" s="157"/>
      <c r="B1335" s="157"/>
      <c r="C1335" s="160"/>
      <c r="D1335" s="152"/>
      <c r="E1335" s="55"/>
      <c r="F1335" s="55"/>
      <c r="G1335" s="55"/>
      <c r="H1335" s="55"/>
    </row>
    <row r="1336" spans="1:8" ht="12.75">
      <c r="A1336" s="157"/>
      <c r="B1336" s="157"/>
      <c r="C1336" s="160"/>
      <c r="D1336" s="152"/>
      <c r="E1336" s="55"/>
      <c r="F1336" s="55"/>
      <c r="G1336" s="55"/>
      <c r="H1336" s="55"/>
    </row>
    <row r="1337" spans="1:8" ht="12.75">
      <c r="A1337" s="157"/>
      <c r="B1337" s="157"/>
      <c r="C1337" s="160"/>
      <c r="D1337" s="152"/>
      <c r="E1337" s="55"/>
      <c r="F1337" s="55"/>
      <c r="G1337" s="55"/>
      <c r="H1337" s="55"/>
    </row>
    <row r="1338" spans="1:8" ht="12.75">
      <c r="A1338" s="157"/>
      <c r="B1338" s="157"/>
      <c r="C1338" s="160"/>
      <c r="D1338" s="152"/>
      <c r="E1338" s="55"/>
      <c r="F1338" s="55"/>
      <c r="G1338" s="55"/>
      <c r="H1338" s="55"/>
    </row>
    <row r="1339" spans="1:8" ht="12.75">
      <c r="A1339" s="157"/>
      <c r="B1339" s="157"/>
      <c r="C1339" s="160"/>
      <c r="D1339" s="152"/>
      <c r="E1339" s="55"/>
      <c r="F1339" s="55"/>
      <c r="G1339" s="55"/>
      <c r="H1339" s="55"/>
    </row>
    <row r="1340" spans="1:8" ht="12.75">
      <c r="A1340" s="157"/>
      <c r="B1340" s="157"/>
      <c r="C1340" s="160"/>
      <c r="D1340" s="152"/>
      <c r="E1340" s="55"/>
      <c r="F1340" s="55"/>
      <c r="G1340" s="55"/>
      <c r="H1340" s="55"/>
    </row>
    <row r="1341" spans="1:8" ht="12.75">
      <c r="A1341" s="157"/>
      <c r="B1341" s="157"/>
      <c r="C1341" s="160"/>
      <c r="D1341" s="152"/>
      <c r="E1341" s="55"/>
      <c r="F1341" s="55"/>
      <c r="G1341" s="55"/>
      <c r="H1341" s="55"/>
    </row>
    <row r="1342" spans="1:8" ht="12.75">
      <c r="A1342" s="157"/>
      <c r="B1342" s="157"/>
      <c r="C1342" s="160"/>
      <c r="D1342" s="152"/>
      <c r="E1342" s="55"/>
      <c r="F1342" s="55"/>
      <c r="G1342" s="55"/>
      <c r="H1342" s="55"/>
    </row>
    <row r="1343" spans="1:8" ht="12.75">
      <c r="A1343" s="157"/>
      <c r="B1343" s="157"/>
      <c r="C1343" s="160"/>
      <c r="D1343" s="152"/>
      <c r="E1343" s="55"/>
      <c r="F1343" s="55"/>
      <c r="G1343" s="55"/>
      <c r="H1343" s="55"/>
    </row>
    <row r="1344" spans="1:8" ht="12.75">
      <c r="A1344" s="157"/>
      <c r="B1344" s="157"/>
      <c r="C1344" s="160"/>
      <c r="D1344" s="152"/>
      <c r="E1344" s="55"/>
      <c r="F1344" s="55"/>
      <c r="G1344" s="55"/>
      <c r="H1344" s="55"/>
    </row>
    <row r="1345" spans="1:8" ht="12.75">
      <c r="A1345" s="157"/>
      <c r="B1345" s="157"/>
      <c r="C1345" s="160"/>
      <c r="D1345" s="152"/>
      <c r="E1345" s="55"/>
      <c r="F1345" s="55"/>
      <c r="G1345" s="55"/>
      <c r="H1345" s="55"/>
    </row>
    <row r="1346" spans="1:8" ht="12.75">
      <c r="A1346" s="157"/>
      <c r="B1346" s="157"/>
      <c r="C1346" s="160"/>
      <c r="D1346" s="152"/>
      <c r="E1346" s="55"/>
      <c r="F1346" s="55"/>
      <c r="G1346" s="55"/>
      <c r="H1346" s="55"/>
    </row>
    <row r="1347" spans="1:8" ht="12.75">
      <c r="A1347" s="157"/>
      <c r="B1347" s="157"/>
      <c r="C1347" s="160"/>
      <c r="D1347" s="152"/>
      <c r="E1347" s="55"/>
      <c r="F1347" s="55"/>
      <c r="G1347" s="55"/>
      <c r="H1347" s="55"/>
    </row>
    <row r="1348" spans="1:8" ht="12.75">
      <c r="A1348" s="157"/>
      <c r="B1348" s="157"/>
      <c r="C1348" s="160"/>
      <c r="D1348" s="152"/>
      <c r="E1348" s="55"/>
      <c r="F1348" s="55"/>
      <c r="G1348" s="55"/>
      <c r="H1348" s="55"/>
    </row>
    <row r="1349" spans="1:8" ht="12.75">
      <c r="A1349" s="157"/>
      <c r="B1349" s="157"/>
      <c r="C1349" s="160"/>
      <c r="D1349" s="152"/>
      <c r="E1349" s="55"/>
      <c r="F1349" s="55"/>
      <c r="G1349" s="55"/>
      <c r="H1349" s="55"/>
    </row>
    <row r="1350" spans="1:8" ht="12.75">
      <c r="A1350" s="157"/>
      <c r="B1350" s="157"/>
      <c r="C1350" s="160"/>
      <c r="D1350" s="152"/>
      <c r="E1350" s="55"/>
      <c r="F1350" s="55"/>
      <c r="G1350" s="55"/>
      <c r="H1350" s="55"/>
    </row>
    <row r="1351" spans="1:8" ht="12.75">
      <c r="A1351" s="157"/>
      <c r="B1351" s="157"/>
      <c r="C1351" s="160"/>
      <c r="D1351" s="152"/>
      <c r="E1351" s="55"/>
      <c r="F1351" s="55"/>
      <c r="G1351" s="55"/>
      <c r="H1351" s="55"/>
    </row>
    <row r="1352" spans="1:8" ht="12.75">
      <c r="A1352" s="157"/>
      <c r="B1352" s="157"/>
      <c r="C1352" s="160"/>
      <c r="D1352" s="152"/>
      <c r="E1352" s="55"/>
      <c r="F1352" s="55"/>
      <c r="G1352" s="55"/>
      <c r="H1352" s="55"/>
    </row>
    <row r="1353" spans="1:8" ht="12.75">
      <c r="A1353" s="157"/>
      <c r="B1353" s="157"/>
      <c r="C1353" s="160"/>
      <c r="D1353" s="152"/>
      <c r="E1353" s="55"/>
      <c r="F1353" s="55"/>
      <c r="G1353" s="55"/>
      <c r="H1353" s="55"/>
    </row>
    <row r="1354" spans="1:8" ht="12.75">
      <c r="A1354" s="157"/>
      <c r="B1354" s="157"/>
      <c r="C1354" s="160"/>
      <c r="D1354" s="152"/>
      <c r="E1354" s="55"/>
      <c r="F1354" s="55"/>
      <c r="G1354" s="55"/>
      <c r="H1354" s="55"/>
    </row>
    <row r="1355" spans="1:8" ht="12.75">
      <c r="A1355" s="157"/>
      <c r="B1355" s="157"/>
      <c r="C1355" s="160"/>
      <c r="D1355" s="152"/>
      <c r="E1355" s="55"/>
      <c r="F1355" s="55"/>
      <c r="G1355" s="55"/>
      <c r="H1355" s="55"/>
    </row>
    <row r="1356" spans="1:8" ht="12.75">
      <c r="A1356" s="157"/>
      <c r="B1356" s="157"/>
      <c r="C1356" s="160"/>
      <c r="D1356" s="152"/>
      <c r="E1356" s="55"/>
      <c r="F1356" s="55"/>
      <c r="G1356" s="55"/>
      <c r="H1356" s="55"/>
    </row>
    <row r="1357" spans="1:9" ht="12.75">
      <c r="A1357" s="157"/>
      <c r="B1357" s="157"/>
      <c r="C1357" s="160"/>
      <c r="D1357" s="152"/>
      <c r="E1357" s="55"/>
      <c r="F1357" s="56"/>
      <c r="G1357" s="55"/>
      <c r="H1357" s="56"/>
      <c r="I1357" s="56"/>
    </row>
    <row r="1358" spans="1:9" ht="12.75">
      <c r="A1358" s="157"/>
      <c r="B1358" s="157"/>
      <c r="C1358" s="160"/>
      <c r="D1358" s="152"/>
      <c r="E1358" s="55"/>
      <c r="F1358" s="56"/>
      <c r="G1358" s="55"/>
      <c r="H1358" s="56"/>
      <c r="I1358" s="56"/>
    </row>
    <row r="1359" spans="1:9" ht="12.75">
      <c r="A1359" s="157"/>
      <c r="B1359" s="157"/>
      <c r="C1359" s="160"/>
      <c r="D1359" s="152"/>
      <c r="E1359" s="55"/>
      <c r="F1359" s="56"/>
      <c r="G1359" s="55"/>
      <c r="H1359" s="56"/>
      <c r="I1359" s="56"/>
    </row>
    <row r="1360" spans="1:9" ht="12.75">
      <c r="A1360" s="157"/>
      <c r="B1360" s="157"/>
      <c r="C1360" s="160"/>
      <c r="D1360" s="152"/>
      <c r="E1360" s="55"/>
      <c r="F1360" s="56"/>
      <c r="G1360" s="55"/>
      <c r="H1360" s="56"/>
      <c r="I1360" s="56"/>
    </row>
    <row r="1361" spans="1:9" ht="12.75">
      <c r="A1361" s="157"/>
      <c r="B1361" s="157"/>
      <c r="C1361" s="160"/>
      <c r="D1361" s="152"/>
      <c r="E1361" s="55"/>
      <c r="F1361" s="56"/>
      <c r="G1361" s="55"/>
      <c r="H1361" s="56"/>
      <c r="I1361" s="56"/>
    </row>
    <row r="1362" spans="1:9" ht="12.75">
      <c r="A1362" s="157"/>
      <c r="B1362" s="157"/>
      <c r="C1362" s="160"/>
      <c r="D1362" s="152"/>
      <c r="E1362" s="55"/>
      <c r="F1362" s="56"/>
      <c r="G1362" s="55"/>
      <c r="H1362" s="56"/>
      <c r="I1362" s="56"/>
    </row>
    <row r="1363" spans="1:9" ht="12.75">
      <c r="A1363" s="157"/>
      <c r="B1363" s="157"/>
      <c r="C1363" s="160"/>
      <c r="D1363" s="152"/>
      <c r="E1363" s="55"/>
      <c r="F1363" s="56"/>
      <c r="G1363" s="55"/>
      <c r="H1363" s="56"/>
      <c r="I1363" s="56"/>
    </row>
    <row r="1364" spans="1:9" ht="12.75">
      <c r="A1364" s="157"/>
      <c r="B1364" s="157"/>
      <c r="C1364" s="160"/>
      <c r="D1364" s="152"/>
      <c r="E1364" s="55"/>
      <c r="F1364" s="56"/>
      <c r="G1364" s="55"/>
      <c r="H1364" s="56"/>
      <c r="I1364" s="56"/>
    </row>
    <row r="1365" spans="1:9" ht="12.75">
      <c r="A1365" s="157"/>
      <c r="B1365" s="157"/>
      <c r="C1365" s="160"/>
      <c r="D1365" s="152"/>
      <c r="E1365" s="55"/>
      <c r="F1365" s="56"/>
      <c r="G1365" s="55"/>
      <c r="H1365" s="56"/>
      <c r="I1365" s="56"/>
    </row>
    <row r="1366" spans="1:9" ht="12.75">
      <c r="A1366" s="157"/>
      <c r="B1366" s="157"/>
      <c r="C1366" s="160"/>
      <c r="D1366" s="152"/>
      <c r="E1366" s="55"/>
      <c r="F1366" s="56"/>
      <c r="G1366" s="55"/>
      <c r="H1366" s="56"/>
      <c r="I1366" s="56"/>
    </row>
    <row r="1367" spans="1:9" ht="12.75">
      <c r="A1367" s="157"/>
      <c r="B1367" s="157"/>
      <c r="C1367" s="160"/>
      <c r="D1367" s="152"/>
      <c r="E1367" s="55"/>
      <c r="F1367" s="555"/>
      <c r="G1367" s="55"/>
      <c r="H1367" s="555"/>
      <c r="I1367" s="575"/>
    </row>
    <row r="1368" spans="1:9" ht="12.75">
      <c r="A1368" s="157"/>
      <c r="B1368" s="157"/>
      <c r="C1368" s="160"/>
      <c r="D1368" s="152"/>
      <c r="E1368" s="55"/>
      <c r="F1368" s="56"/>
      <c r="G1368" s="55"/>
      <c r="H1368" s="56"/>
      <c r="I1368" s="56"/>
    </row>
    <row r="1369" spans="1:9" ht="12.75">
      <c r="A1369" s="157"/>
      <c r="B1369" s="157"/>
      <c r="C1369" s="160"/>
      <c r="D1369" s="152"/>
      <c r="E1369" s="55"/>
      <c r="F1369" s="56"/>
      <c r="G1369" s="55"/>
      <c r="H1369" s="56"/>
      <c r="I1369" s="56"/>
    </row>
    <row r="1370" spans="1:9" ht="12.75">
      <c r="A1370" s="157"/>
      <c r="B1370" s="157"/>
      <c r="C1370" s="160"/>
      <c r="D1370" s="152"/>
      <c r="E1370" s="55"/>
      <c r="F1370" s="56"/>
      <c r="G1370" s="55"/>
      <c r="H1370" s="56"/>
      <c r="I1370" s="56"/>
    </row>
    <row r="1371" spans="1:9" ht="12.75">
      <c r="A1371" s="157"/>
      <c r="B1371" s="157"/>
      <c r="C1371" s="160"/>
      <c r="D1371" s="152"/>
      <c r="E1371" s="55"/>
      <c r="F1371" s="56"/>
      <c r="G1371" s="55"/>
      <c r="H1371" s="56"/>
      <c r="I1371" s="56"/>
    </row>
    <row r="1372" spans="1:9" ht="12.75">
      <c r="A1372" s="157"/>
      <c r="B1372" s="157"/>
      <c r="C1372" s="160"/>
      <c r="D1372" s="152"/>
      <c r="E1372" s="55"/>
      <c r="F1372" s="56"/>
      <c r="G1372" s="55"/>
      <c r="H1372" s="56"/>
      <c r="I1372" s="56"/>
    </row>
    <row r="1373" spans="1:9" ht="12.75">
      <c r="A1373" s="157"/>
      <c r="B1373" s="157"/>
      <c r="C1373" s="160"/>
      <c r="D1373" s="152"/>
      <c r="E1373" s="55"/>
      <c r="F1373" s="56"/>
      <c r="G1373" s="55"/>
      <c r="H1373" s="56"/>
      <c r="I1373" s="56"/>
    </row>
    <row r="1374" spans="1:9" ht="12.75">
      <c r="A1374" s="157"/>
      <c r="B1374" s="157"/>
      <c r="C1374" s="160"/>
      <c r="D1374" s="152"/>
      <c r="E1374" s="55"/>
      <c r="F1374" s="56"/>
      <c r="G1374" s="55"/>
      <c r="H1374" s="56"/>
      <c r="I1374" s="56"/>
    </row>
    <row r="1375" spans="1:9" ht="12.75">
      <c r="A1375" s="157"/>
      <c r="B1375" s="157"/>
      <c r="C1375" s="160"/>
      <c r="D1375" s="152"/>
      <c r="E1375" s="55"/>
      <c r="F1375" s="56"/>
      <c r="G1375" s="55"/>
      <c r="H1375" s="56"/>
      <c r="I1375" s="56"/>
    </row>
    <row r="1376" spans="1:9" ht="12.75">
      <c r="A1376" s="157"/>
      <c r="B1376" s="157"/>
      <c r="C1376" s="160"/>
      <c r="D1376" s="152"/>
      <c r="E1376" s="55"/>
      <c r="F1376" s="56"/>
      <c r="G1376" s="55"/>
      <c r="H1376" s="56"/>
      <c r="I1376" s="56"/>
    </row>
    <row r="1377" spans="1:9" ht="12.75">
      <c r="A1377" s="157"/>
      <c r="B1377" s="157"/>
      <c r="C1377" s="160"/>
      <c r="D1377" s="152"/>
      <c r="E1377" s="55"/>
      <c r="F1377" s="56"/>
      <c r="G1377" s="55"/>
      <c r="H1377" s="56"/>
      <c r="I1377" s="56"/>
    </row>
    <row r="1378" spans="1:9" ht="12.75">
      <c r="A1378" s="157"/>
      <c r="B1378" s="157"/>
      <c r="C1378" s="160"/>
      <c r="D1378" s="152"/>
      <c r="E1378" s="55"/>
      <c r="F1378" s="56"/>
      <c r="G1378" s="55"/>
      <c r="H1378" s="56"/>
      <c r="I1378" s="56"/>
    </row>
    <row r="1379" spans="1:9" ht="12.75">
      <c r="A1379" s="157"/>
      <c r="B1379" s="157"/>
      <c r="C1379" s="160"/>
      <c r="D1379" s="152"/>
      <c r="E1379" s="55"/>
      <c r="F1379" s="56"/>
      <c r="G1379" s="55"/>
      <c r="H1379" s="56"/>
      <c r="I1379" s="56"/>
    </row>
    <row r="1380" spans="1:9" ht="12.75">
      <c r="A1380" s="157"/>
      <c r="B1380" s="157"/>
      <c r="C1380" s="160"/>
      <c r="D1380" s="152"/>
      <c r="E1380" s="55"/>
      <c r="F1380" s="56"/>
      <c r="G1380" s="55"/>
      <c r="H1380" s="56"/>
      <c r="I1380" s="56"/>
    </row>
    <row r="1381" spans="1:9" ht="12.75">
      <c r="A1381" s="157"/>
      <c r="B1381" s="157"/>
      <c r="C1381" s="160"/>
      <c r="D1381" s="152"/>
      <c r="E1381" s="574"/>
      <c r="F1381" s="56"/>
      <c r="G1381" s="574"/>
      <c r="H1381" s="56"/>
      <c r="I1381" s="56"/>
    </row>
    <row r="1382" spans="1:9" ht="12.75">
      <c r="A1382" s="157"/>
      <c r="B1382" s="157"/>
      <c r="C1382" s="160"/>
      <c r="D1382" s="152"/>
      <c r="E1382" s="55"/>
      <c r="F1382" s="56"/>
      <c r="G1382" s="55"/>
      <c r="H1382" s="56"/>
      <c r="I1382" s="56"/>
    </row>
    <row r="1383" spans="1:9" ht="12.75">
      <c r="A1383" s="157"/>
      <c r="B1383" s="157"/>
      <c r="C1383" s="160"/>
      <c r="D1383" s="152"/>
      <c r="E1383" s="55"/>
      <c r="F1383" s="56"/>
      <c r="G1383" s="55"/>
      <c r="H1383" s="56"/>
      <c r="I1383" s="56"/>
    </row>
    <row r="1384" spans="1:9" ht="12.75">
      <c r="A1384" s="157"/>
      <c r="B1384" s="157"/>
      <c r="C1384" s="160"/>
      <c r="D1384" s="152"/>
      <c r="E1384" s="55"/>
      <c r="F1384" s="56"/>
      <c r="G1384" s="55"/>
      <c r="H1384" s="56"/>
      <c r="I1384" s="56"/>
    </row>
    <row r="1385" spans="1:9" ht="12.75">
      <c r="A1385" s="157"/>
      <c r="B1385" s="157"/>
      <c r="C1385" s="160"/>
      <c r="D1385" s="152"/>
      <c r="E1385" s="55"/>
      <c r="F1385" s="56"/>
      <c r="G1385" s="55"/>
      <c r="H1385" s="56"/>
      <c r="I1385" s="56"/>
    </row>
    <row r="1386" spans="1:9" ht="12.75">
      <c r="A1386" s="157"/>
      <c r="B1386" s="157"/>
      <c r="C1386" s="160"/>
      <c r="D1386" s="152"/>
      <c r="E1386" s="55"/>
      <c r="F1386" s="56"/>
      <c r="G1386" s="55"/>
      <c r="H1386" s="56"/>
      <c r="I1386" s="56"/>
    </row>
    <row r="1387" spans="1:9" ht="12.75">
      <c r="A1387" s="157"/>
      <c r="B1387" s="157"/>
      <c r="C1387" s="160"/>
      <c r="D1387" s="152"/>
      <c r="E1387" s="55"/>
      <c r="F1387" s="56"/>
      <c r="G1387" s="55"/>
      <c r="H1387" s="56"/>
      <c r="I1387" s="56"/>
    </row>
    <row r="1388" spans="1:9" ht="12.75">
      <c r="A1388" s="157"/>
      <c r="B1388" s="157"/>
      <c r="C1388" s="160"/>
      <c r="D1388" s="152"/>
      <c r="E1388" s="55"/>
      <c r="F1388" s="56"/>
      <c r="G1388" s="55"/>
      <c r="H1388" s="56"/>
      <c r="I1388" s="56"/>
    </row>
    <row r="1389" spans="1:9" ht="12.75">
      <c r="A1389" s="157"/>
      <c r="B1389" s="157"/>
      <c r="C1389" s="160"/>
      <c r="D1389" s="152"/>
      <c r="E1389" s="55"/>
      <c r="F1389" s="56"/>
      <c r="G1389" s="55"/>
      <c r="H1389" s="56"/>
      <c r="I1389" s="56"/>
    </row>
    <row r="1390" spans="1:9" ht="12.75">
      <c r="A1390" s="157"/>
      <c r="B1390" s="157"/>
      <c r="C1390" s="160"/>
      <c r="D1390" s="152"/>
      <c r="E1390" s="55"/>
      <c r="F1390" s="56"/>
      <c r="G1390" s="55"/>
      <c r="H1390" s="56"/>
      <c r="I1390" s="56"/>
    </row>
    <row r="1391" spans="1:9" ht="12.75">
      <c r="A1391" s="157"/>
      <c r="B1391" s="157"/>
      <c r="C1391" s="160"/>
      <c r="D1391" s="152"/>
      <c r="E1391" s="55"/>
      <c r="F1391" s="56"/>
      <c r="G1391" s="55"/>
      <c r="H1391" s="56"/>
      <c r="I1391" s="56"/>
    </row>
    <row r="1392" spans="1:9" ht="12.75">
      <c r="A1392" s="157"/>
      <c r="B1392" s="157"/>
      <c r="C1392" s="160"/>
      <c r="D1392" s="152"/>
      <c r="E1392" s="55"/>
      <c r="F1392" s="56"/>
      <c r="G1392" s="55"/>
      <c r="H1392" s="56"/>
      <c r="I1392" s="56"/>
    </row>
    <row r="1393" spans="3:9" s="157" customFormat="1" ht="12.75">
      <c r="C1393" s="160"/>
      <c r="D1393" s="152"/>
      <c r="E1393" s="55"/>
      <c r="F1393" s="56"/>
      <c r="G1393" s="55"/>
      <c r="H1393" s="56"/>
      <c r="I1393" s="56"/>
    </row>
    <row r="1394" spans="3:9" s="157" customFormat="1" ht="12.75">
      <c r="C1394" s="160"/>
      <c r="D1394" s="152"/>
      <c r="E1394" s="55"/>
      <c r="F1394" s="56"/>
      <c r="G1394" s="55"/>
      <c r="H1394" s="56"/>
      <c r="I1394" s="56"/>
    </row>
    <row r="1395" spans="3:9" s="157" customFormat="1" ht="12.75">
      <c r="C1395" s="160"/>
      <c r="D1395" s="152"/>
      <c r="E1395" s="55"/>
      <c r="F1395" s="56"/>
      <c r="G1395" s="55"/>
      <c r="H1395" s="56"/>
      <c r="I1395" s="56"/>
    </row>
    <row r="1396" spans="3:9" s="157" customFormat="1" ht="12.75">
      <c r="C1396" s="160"/>
      <c r="D1396" s="152"/>
      <c r="E1396" s="55"/>
      <c r="F1396" s="56"/>
      <c r="G1396" s="55"/>
      <c r="H1396" s="56"/>
      <c r="I1396" s="56"/>
    </row>
    <row r="1397" spans="3:9" s="157" customFormat="1" ht="12.75">
      <c r="C1397" s="160"/>
      <c r="D1397" s="152"/>
      <c r="E1397" s="55"/>
      <c r="F1397" s="56"/>
      <c r="G1397" s="55"/>
      <c r="H1397" s="56"/>
      <c r="I1397" s="56"/>
    </row>
    <row r="1398" spans="3:9" s="157" customFormat="1" ht="12.75">
      <c r="C1398" s="160"/>
      <c r="D1398" s="152"/>
      <c r="E1398" s="55"/>
      <c r="F1398" s="56"/>
      <c r="G1398" s="55"/>
      <c r="H1398" s="56"/>
      <c r="I1398" s="56"/>
    </row>
    <row r="1399" spans="3:9" s="157" customFormat="1" ht="12.75">
      <c r="C1399" s="160"/>
      <c r="D1399" s="152"/>
      <c r="E1399" s="55"/>
      <c r="F1399" s="56"/>
      <c r="G1399" s="55"/>
      <c r="H1399" s="56"/>
      <c r="I1399" s="56"/>
    </row>
    <row r="1400" spans="3:9" s="157" customFormat="1" ht="12.75">
      <c r="C1400" s="160"/>
      <c r="D1400" s="152"/>
      <c r="E1400" s="55"/>
      <c r="F1400" s="56"/>
      <c r="G1400" s="55"/>
      <c r="H1400" s="56"/>
      <c r="I1400" s="56"/>
    </row>
    <row r="1401" spans="3:9" s="157" customFormat="1" ht="12.75">
      <c r="C1401" s="160"/>
      <c r="D1401" s="152"/>
      <c r="E1401" s="55"/>
      <c r="F1401" s="56"/>
      <c r="G1401" s="55"/>
      <c r="H1401" s="56"/>
      <c r="I1401" s="56"/>
    </row>
    <row r="1402" spans="3:9" s="157" customFormat="1" ht="12.75">
      <c r="C1402" s="160"/>
      <c r="D1402" s="152"/>
      <c r="E1402" s="55"/>
      <c r="F1402" s="56"/>
      <c r="G1402" s="55"/>
      <c r="H1402" s="56"/>
      <c r="I1402" s="56"/>
    </row>
    <row r="1403" spans="3:9" s="157" customFormat="1" ht="12.75">
      <c r="C1403" s="160"/>
      <c r="D1403" s="152"/>
      <c r="E1403" s="55"/>
      <c r="F1403" s="56"/>
      <c r="G1403" s="55"/>
      <c r="H1403" s="56"/>
      <c r="I1403" s="56"/>
    </row>
    <row r="1404" spans="3:9" s="157" customFormat="1" ht="12.75">
      <c r="C1404" s="160"/>
      <c r="D1404" s="152"/>
      <c r="E1404" s="55"/>
      <c r="F1404" s="56"/>
      <c r="G1404" s="55"/>
      <c r="H1404" s="56"/>
      <c r="I1404" s="56"/>
    </row>
    <row r="1405" spans="3:9" s="157" customFormat="1" ht="12.75">
      <c r="C1405" s="160"/>
      <c r="D1405" s="152"/>
      <c r="E1405" s="55"/>
      <c r="F1405" s="55"/>
      <c r="G1405" s="55"/>
      <c r="H1405" s="55"/>
      <c r="I1405" s="545"/>
    </row>
    <row r="1406" spans="3:9" s="157" customFormat="1" ht="12.75">
      <c r="C1406" s="160"/>
      <c r="D1406" s="152"/>
      <c r="E1406" s="55"/>
      <c r="F1406" s="55"/>
      <c r="G1406" s="55"/>
      <c r="H1406" s="55"/>
      <c r="I1406" s="545"/>
    </row>
    <row r="1407" spans="3:9" s="157" customFormat="1" ht="12.75">
      <c r="C1407" s="160"/>
      <c r="D1407" s="152"/>
      <c r="E1407" s="55"/>
      <c r="F1407" s="55"/>
      <c r="G1407" s="55"/>
      <c r="H1407" s="55"/>
      <c r="I1407" s="545"/>
    </row>
    <row r="1408" spans="3:9" s="157" customFormat="1" ht="12.75">
      <c r="C1408" s="160"/>
      <c r="D1408" s="152"/>
      <c r="E1408" s="55"/>
      <c r="F1408" s="55"/>
      <c r="G1408" s="55"/>
      <c r="H1408" s="55"/>
      <c r="I1408" s="545"/>
    </row>
    <row r="1409" spans="3:9" s="157" customFormat="1" ht="12.75">
      <c r="C1409" s="160"/>
      <c r="D1409" s="152"/>
      <c r="E1409" s="55"/>
      <c r="F1409" s="55"/>
      <c r="G1409" s="55"/>
      <c r="H1409" s="55"/>
      <c r="I1409" s="545"/>
    </row>
    <row r="1410" spans="3:9" s="157" customFormat="1" ht="12.75">
      <c r="C1410" s="160"/>
      <c r="D1410" s="152"/>
      <c r="E1410" s="55"/>
      <c r="F1410" s="55"/>
      <c r="G1410" s="55"/>
      <c r="H1410" s="55"/>
      <c r="I1410" s="545"/>
    </row>
    <row r="1411" spans="3:9" s="157" customFormat="1" ht="12.75">
      <c r="C1411" s="160"/>
      <c r="D1411" s="152"/>
      <c r="E1411" s="55"/>
      <c r="F1411" s="55"/>
      <c r="G1411" s="55"/>
      <c r="H1411" s="55"/>
      <c r="I1411" s="545"/>
    </row>
    <row r="1412" spans="3:9" s="157" customFormat="1" ht="12.75">
      <c r="C1412" s="160"/>
      <c r="D1412" s="152"/>
      <c r="E1412" s="55"/>
      <c r="F1412" s="55"/>
      <c r="G1412" s="55"/>
      <c r="H1412" s="55"/>
      <c r="I1412" s="545"/>
    </row>
    <row r="1413" spans="3:9" s="157" customFormat="1" ht="12.75">
      <c r="C1413" s="160"/>
      <c r="D1413" s="152"/>
      <c r="E1413" s="55"/>
      <c r="F1413" s="55"/>
      <c r="G1413" s="55"/>
      <c r="H1413" s="55"/>
      <c r="I1413" s="545"/>
    </row>
    <row r="1414" spans="3:9" s="157" customFormat="1" ht="12.75">
      <c r="C1414" s="160"/>
      <c r="D1414" s="152"/>
      <c r="E1414" s="55"/>
      <c r="F1414" s="55"/>
      <c r="G1414" s="55"/>
      <c r="H1414" s="55"/>
      <c r="I1414" s="545"/>
    </row>
    <row r="1415" spans="3:9" s="157" customFormat="1" ht="12.75">
      <c r="C1415" s="160"/>
      <c r="D1415" s="152"/>
      <c r="E1415" s="55"/>
      <c r="F1415" s="55"/>
      <c r="G1415" s="55"/>
      <c r="H1415" s="55"/>
      <c r="I1415" s="545"/>
    </row>
    <row r="1416" spans="3:9" s="157" customFormat="1" ht="12.75">
      <c r="C1416" s="160"/>
      <c r="D1416" s="152"/>
      <c r="E1416" s="55"/>
      <c r="F1416" s="55"/>
      <c r="G1416" s="55"/>
      <c r="H1416" s="55"/>
      <c r="I1416" s="545"/>
    </row>
    <row r="1417" spans="3:9" s="157" customFormat="1" ht="12.75">
      <c r="C1417" s="160"/>
      <c r="D1417" s="152"/>
      <c r="E1417" s="55"/>
      <c r="F1417" s="55"/>
      <c r="G1417" s="55"/>
      <c r="H1417" s="55"/>
      <c r="I1417" s="545"/>
    </row>
    <row r="1418" spans="3:9" s="157" customFormat="1" ht="12.75">
      <c r="C1418" s="160"/>
      <c r="D1418" s="152"/>
      <c r="E1418" s="55"/>
      <c r="F1418" s="55"/>
      <c r="G1418" s="55"/>
      <c r="H1418" s="55"/>
      <c r="I1418" s="545"/>
    </row>
    <row r="1419" spans="3:9" s="157" customFormat="1" ht="12.75">
      <c r="C1419" s="160"/>
      <c r="D1419" s="152"/>
      <c r="E1419" s="55"/>
      <c r="F1419" s="55"/>
      <c r="G1419" s="55"/>
      <c r="H1419" s="55"/>
      <c r="I1419" s="545"/>
    </row>
    <row r="1420" spans="3:9" s="157" customFormat="1" ht="12.75">
      <c r="C1420" s="160"/>
      <c r="D1420" s="152"/>
      <c r="E1420" s="55"/>
      <c r="F1420" s="55"/>
      <c r="G1420" s="55"/>
      <c r="H1420" s="55"/>
      <c r="I1420" s="545"/>
    </row>
    <row r="1421" spans="3:9" s="157" customFormat="1" ht="12.75">
      <c r="C1421" s="160"/>
      <c r="D1421" s="152"/>
      <c r="E1421" s="55"/>
      <c r="F1421" s="55"/>
      <c r="G1421" s="55"/>
      <c r="H1421" s="55"/>
      <c r="I1421" s="545"/>
    </row>
    <row r="1422" spans="3:9" s="157" customFormat="1" ht="12.75">
      <c r="C1422" s="160"/>
      <c r="D1422" s="152"/>
      <c r="E1422" s="55"/>
      <c r="F1422" s="55"/>
      <c r="G1422" s="55"/>
      <c r="H1422" s="55"/>
      <c r="I1422" s="545"/>
    </row>
    <row r="1423" spans="3:9" s="157" customFormat="1" ht="12.75">
      <c r="C1423" s="160"/>
      <c r="D1423" s="152"/>
      <c r="E1423" s="55"/>
      <c r="F1423" s="55"/>
      <c r="G1423" s="55"/>
      <c r="H1423" s="55"/>
      <c r="I1423" s="545"/>
    </row>
    <row r="1424" spans="3:9" s="157" customFormat="1" ht="12.75">
      <c r="C1424" s="160"/>
      <c r="D1424" s="152"/>
      <c r="E1424" s="55"/>
      <c r="F1424" s="55"/>
      <c r="G1424" s="55"/>
      <c r="H1424" s="55"/>
      <c r="I1424" s="545"/>
    </row>
    <row r="1425" spans="3:9" s="157" customFormat="1" ht="12.75">
      <c r="C1425" s="160"/>
      <c r="D1425" s="152"/>
      <c r="E1425" s="55"/>
      <c r="F1425" s="55"/>
      <c r="G1425" s="55"/>
      <c r="H1425" s="55"/>
      <c r="I1425" s="545"/>
    </row>
    <row r="1426" spans="3:9" s="157" customFormat="1" ht="12.75">
      <c r="C1426" s="160"/>
      <c r="D1426" s="152"/>
      <c r="E1426" s="55"/>
      <c r="F1426" s="55"/>
      <c r="G1426" s="55"/>
      <c r="H1426" s="55"/>
      <c r="I1426" s="545"/>
    </row>
    <row r="1427" spans="3:9" s="157" customFormat="1" ht="12.75">
      <c r="C1427" s="160"/>
      <c r="D1427" s="152"/>
      <c r="E1427" s="55"/>
      <c r="F1427" s="55"/>
      <c r="G1427" s="55"/>
      <c r="H1427" s="55"/>
      <c r="I1427" s="545"/>
    </row>
    <row r="1428" spans="3:9" s="157" customFormat="1" ht="12.75">
      <c r="C1428" s="160"/>
      <c r="D1428" s="152"/>
      <c r="E1428" s="55"/>
      <c r="F1428" s="55"/>
      <c r="G1428" s="55"/>
      <c r="H1428" s="55"/>
      <c r="I1428" s="545"/>
    </row>
    <row r="1429" spans="3:9" s="157" customFormat="1" ht="12.75">
      <c r="C1429" s="160"/>
      <c r="D1429" s="152"/>
      <c r="E1429" s="55"/>
      <c r="F1429" s="55"/>
      <c r="G1429" s="55"/>
      <c r="H1429" s="55"/>
      <c r="I1429" s="545"/>
    </row>
    <row r="1430" spans="3:9" s="157" customFormat="1" ht="12.75">
      <c r="C1430" s="160"/>
      <c r="D1430" s="152"/>
      <c r="E1430" s="55"/>
      <c r="F1430" s="55"/>
      <c r="G1430" s="55"/>
      <c r="H1430" s="55"/>
      <c r="I1430" s="545"/>
    </row>
    <row r="1431" spans="3:9" s="157" customFormat="1" ht="12.75">
      <c r="C1431" s="160"/>
      <c r="D1431" s="152"/>
      <c r="E1431" s="55"/>
      <c r="F1431" s="55"/>
      <c r="G1431" s="55"/>
      <c r="H1431" s="55"/>
      <c r="I1431" s="545"/>
    </row>
    <row r="1432" spans="3:9" s="157" customFormat="1" ht="12.75">
      <c r="C1432" s="160"/>
      <c r="D1432" s="152"/>
      <c r="E1432" s="55"/>
      <c r="F1432" s="55"/>
      <c r="G1432" s="55"/>
      <c r="H1432" s="55"/>
      <c r="I1432" s="545"/>
    </row>
    <row r="1433" spans="3:9" s="157" customFormat="1" ht="12.75">
      <c r="C1433" s="160"/>
      <c r="D1433" s="152"/>
      <c r="E1433" s="55"/>
      <c r="F1433" s="55"/>
      <c r="G1433" s="55"/>
      <c r="H1433" s="55"/>
      <c r="I1433" s="545"/>
    </row>
    <row r="1434" spans="3:9" s="157" customFormat="1" ht="12.75">
      <c r="C1434" s="160"/>
      <c r="D1434" s="152"/>
      <c r="E1434" s="55"/>
      <c r="F1434" s="55"/>
      <c r="G1434" s="55"/>
      <c r="H1434" s="55"/>
      <c r="I1434" s="545"/>
    </row>
    <row r="1435" spans="3:9" s="157" customFormat="1" ht="12.75">
      <c r="C1435" s="160"/>
      <c r="D1435" s="152"/>
      <c r="E1435" s="55"/>
      <c r="F1435" s="55"/>
      <c r="G1435" s="55"/>
      <c r="H1435" s="55"/>
      <c r="I1435" s="545"/>
    </row>
    <row r="1436" spans="3:9" s="157" customFormat="1" ht="12.75">
      <c r="C1436" s="160"/>
      <c r="D1436" s="152"/>
      <c r="E1436" s="55"/>
      <c r="F1436" s="55"/>
      <c r="G1436" s="55"/>
      <c r="H1436" s="55"/>
      <c r="I1436" s="545"/>
    </row>
    <row r="1437" spans="3:9" s="157" customFormat="1" ht="12.75">
      <c r="C1437" s="160"/>
      <c r="D1437" s="152"/>
      <c r="E1437" s="55"/>
      <c r="F1437" s="55"/>
      <c r="G1437" s="55"/>
      <c r="H1437" s="55"/>
      <c r="I1437" s="545"/>
    </row>
    <row r="1438" spans="3:9" s="157" customFormat="1" ht="12.75">
      <c r="C1438" s="160"/>
      <c r="D1438" s="152"/>
      <c r="E1438" s="55"/>
      <c r="F1438" s="55"/>
      <c r="G1438" s="55"/>
      <c r="H1438" s="55"/>
      <c r="I1438" s="545"/>
    </row>
    <row r="1439" spans="3:9" s="157" customFormat="1" ht="12.75">
      <c r="C1439" s="160"/>
      <c r="D1439" s="152"/>
      <c r="E1439" s="55"/>
      <c r="F1439" s="55"/>
      <c r="G1439" s="55"/>
      <c r="H1439" s="55"/>
      <c r="I1439" s="545"/>
    </row>
    <row r="1440" spans="3:9" s="157" customFormat="1" ht="12.75">
      <c r="C1440" s="160"/>
      <c r="D1440" s="152"/>
      <c r="E1440" s="55"/>
      <c r="F1440" s="55"/>
      <c r="G1440" s="55"/>
      <c r="H1440" s="55"/>
      <c r="I1440" s="545"/>
    </row>
    <row r="1441" spans="3:9" s="157" customFormat="1" ht="12.75">
      <c r="C1441" s="160"/>
      <c r="D1441" s="152"/>
      <c r="E1441" s="55"/>
      <c r="F1441" s="55"/>
      <c r="G1441" s="55"/>
      <c r="H1441" s="55"/>
      <c r="I1441" s="545"/>
    </row>
    <row r="1442" spans="3:9" s="157" customFormat="1" ht="12.75">
      <c r="C1442" s="160"/>
      <c r="D1442" s="152"/>
      <c r="E1442" s="55"/>
      <c r="F1442" s="55"/>
      <c r="G1442" s="55"/>
      <c r="H1442" s="55"/>
      <c r="I1442" s="545"/>
    </row>
    <row r="1443" spans="3:9" s="157" customFormat="1" ht="12.75">
      <c r="C1443" s="160"/>
      <c r="D1443" s="152"/>
      <c r="E1443" s="55"/>
      <c r="F1443" s="55"/>
      <c r="G1443" s="55"/>
      <c r="H1443" s="55"/>
      <c r="I1443" s="545"/>
    </row>
    <row r="1444" spans="3:9" s="157" customFormat="1" ht="12.75">
      <c r="C1444" s="160"/>
      <c r="D1444" s="152"/>
      <c r="E1444" s="55"/>
      <c r="F1444" s="55"/>
      <c r="G1444" s="55"/>
      <c r="H1444" s="55"/>
      <c r="I1444" s="545"/>
    </row>
    <row r="1445" spans="3:9" s="157" customFormat="1" ht="12.75">
      <c r="C1445" s="160"/>
      <c r="D1445" s="152"/>
      <c r="E1445" s="55"/>
      <c r="F1445" s="55"/>
      <c r="G1445" s="55"/>
      <c r="H1445" s="55"/>
      <c r="I1445" s="545"/>
    </row>
    <row r="1446" spans="3:9" s="157" customFormat="1" ht="12.75">
      <c r="C1446" s="160"/>
      <c r="D1446" s="152"/>
      <c r="E1446" s="55"/>
      <c r="F1446" s="55"/>
      <c r="G1446" s="55"/>
      <c r="H1446" s="55"/>
      <c r="I1446" s="545"/>
    </row>
    <row r="1447" spans="3:9" s="157" customFormat="1" ht="12.75">
      <c r="C1447" s="160"/>
      <c r="D1447" s="152"/>
      <c r="E1447" s="55"/>
      <c r="F1447" s="55"/>
      <c r="G1447" s="55"/>
      <c r="H1447" s="55"/>
      <c r="I1447" s="545"/>
    </row>
    <row r="1448" spans="3:9" s="157" customFormat="1" ht="12.75">
      <c r="C1448" s="160"/>
      <c r="D1448" s="152"/>
      <c r="E1448" s="55"/>
      <c r="F1448" s="55"/>
      <c r="G1448" s="55"/>
      <c r="H1448" s="55"/>
      <c r="I1448" s="545"/>
    </row>
    <row r="1449" spans="3:9" s="157" customFormat="1" ht="12.75">
      <c r="C1449" s="160"/>
      <c r="D1449" s="152"/>
      <c r="E1449" s="55"/>
      <c r="F1449" s="55"/>
      <c r="G1449" s="55"/>
      <c r="H1449" s="55"/>
      <c r="I1449" s="545"/>
    </row>
    <row r="1450" spans="3:9" s="157" customFormat="1" ht="12.75">
      <c r="C1450" s="160"/>
      <c r="D1450" s="152"/>
      <c r="E1450" s="55"/>
      <c r="F1450" s="55"/>
      <c r="G1450" s="55"/>
      <c r="H1450" s="55"/>
      <c r="I1450" s="545"/>
    </row>
    <row r="1451" spans="3:9" s="157" customFormat="1" ht="12.75">
      <c r="C1451" s="160"/>
      <c r="D1451" s="152"/>
      <c r="E1451" s="55"/>
      <c r="F1451" s="55"/>
      <c r="G1451" s="55"/>
      <c r="H1451" s="55"/>
      <c r="I1451" s="545"/>
    </row>
    <row r="1452" spans="3:9" s="157" customFormat="1" ht="12.75">
      <c r="C1452" s="160"/>
      <c r="D1452" s="152"/>
      <c r="E1452" s="55"/>
      <c r="F1452" s="55"/>
      <c r="G1452" s="55"/>
      <c r="H1452" s="55"/>
      <c r="I1452" s="545"/>
    </row>
    <row r="1453" spans="3:9" s="157" customFormat="1" ht="12.75">
      <c r="C1453" s="160"/>
      <c r="D1453" s="152"/>
      <c r="E1453" s="55"/>
      <c r="F1453" s="55"/>
      <c r="G1453" s="55"/>
      <c r="H1453" s="55"/>
      <c r="I1453" s="545"/>
    </row>
    <row r="1454" spans="3:9" s="157" customFormat="1" ht="12.75">
      <c r="C1454" s="160"/>
      <c r="D1454" s="152"/>
      <c r="E1454" s="55"/>
      <c r="F1454" s="55"/>
      <c r="G1454" s="55"/>
      <c r="H1454" s="55"/>
      <c r="I1454" s="545"/>
    </row>
    <row r="1455" spans="3:9" s="157" customFormat="1" ht="12.75">
      <c r="C1455" s="160"/>
      <c r="D1455" s="152"/>
      <c r="E1455" s="55"/>
      <c r="F1455" s="55"/>
      <c r="G1455" s="55"/>
      <c r="H1455" s="55"/>
      <c r="I1455" s="545"/>
    </row>
    <row r="1456" spans="3:9" s="157" customFormat="1" ht="12.75">
      <c r="C1456" s="160"/>
      <c r="D1456" s="152"/>
      <c r="E1456" s="55"/>
      <c r="F1456" s="55"/>
      <c r="G1456" s="55"/>
      <c r="H1456" s="55"/>
      <c r="I1456" s="545"/>
    </row>
    <row r="1457" spans="3:9" s="157" customFormat="1" ht="12.75">
      <c r="C1457" s="160"/>
      <c r="D1457" s="152"/>
      <c r="E1457" s="55"/>
      <c r="F1457" s="55"/>
      <c r="G1457" s="55"/>
      <c r="H1457" s="55"/>
      <c r="I1457" s="545"/>
    </row>
    <row r="1458" spans="3:9" s="157" customFormat="1" ht="12.75">
      <c r="C1458" s="160"/>
      <c r="D1458" s="152"/>
      <c r="E1458" s="55"/>
      <c r="F1458" s="55"/>
      <c r="G1458" s="55"/>
      <c r="H1458" s="55"/>
      <c r="I1458" s="545"/>
    </row>
    <row r="1459" spans="3:9" s="157" customFormat="1" ht="12.75">
      <c r="C1459" s="160"/>
      <c r="D1459" s="152"/>
      <c r="E1459" s="55"/>
      <c r="F1459" s="55"/>
      <c r="G1459" s="55"/>
      <c r="H1459" s="55"/>
      <c r="I1459" s="545"/>
    </row>
    <row r="1460" spans="3:9" s="157" customFormat="1" ht="12.75">
      <c r="C1460" s="160"/>
      <c r="D1460" s="152"/>
      <c r="E1460" s="55"/>
      <c r="F1460" s="55"/>
      <c r="G1460" s="55"/>
      <c r="H1460" s="55"/>
      <c r="I1460" s="545"/>
    </row>
    <row r="1461" spans="3:9" s="157" customFormat="1" ht="12.75">
      <c r="C1461" s="160"/>
      <c r="D1461" s="152"/>
      <c r="E1461" s="55"/>
      <c r="F1461" s="55"/>
      <c r="G1461" s="55"/>
      <c r="H1461" s="55"/>
      <c r="I1461" s="545"/>
    </row>
    <row r="1462" spans="3:9" s="157" customFormat="1" ht="12.75">
      <c r="C1462" s="160"/>
      <c r="D1462" s="152"/>
      <c r="E1462" s="55"/>
      <c r="F1462" s="55"/>
      <c r="G1462" s="55"/>
      <c r="H1462" s="55"/>
      <c r="I1462" s="545"/>
    </row>
    <row r="1463" spans="3:9" s="157" customFormat="1" ht="12.75">
      <c r="C1463" s="160"/>
      <c r="D1463" s="152"/>
      <c r="E1463" s="55"/>
      <c r="F1463" s="55"/>
      <c r="G1463" s="55"/>
      <c r="H1463" s="55"/>
      <c r="I1463" s="545"/>
    </row>
    <row r="1464" spans="3:9" s="157" customFormat="1" ht="12.75">
      <c r="C1464" s="160"/>
      <c r="D1464" s="152"/>
      <c r="E1464" s="55"/>
      <c r="F1464" s="55"/>
      <c r="G1464" s="55"/>
      <c r="H1464" s="55"/>
      <c r="I1464" s="545"/>
    </row>
    <row r="1465" spans="3:9" s="157" customFormat="1" ht="12.75">
      <c r="C1465" s="160"/>
      <c r="D1465" s="152"/>
      <c r="E1465" s="55"/>
      <c r="F1465" s="55"/>
      <c r="G1465" s="55"/>
      <c r="H1465" s="55"/>
      <c r="I1465" s="545"/>
    </row>
    <row r="1466" spans="3:9" s="157" customFormat="1" ht="12.75">
      <c r="C1466" s="160"/>
      <c r="D1466" s="152"/>
      <c r="E1466" s="55"/>
      <c r="F1466" s="55"/>
      <c r="G1466" s="55"/>
      <c r="H1466" s="55"/>
      <c r="I1466" s="545"/>
    </row>
    <row r="1467" spans="3:9" s="157" customFormat="1" ht="12.75">
      <c r="C1467" s="160"/>
      <c r="D1467" s="152"/>
      <c r="E1467" s="55"/>
      <c r="F1467" s="55"/>
      <c r="G1467" s="55"/>
      <c r="H1467" s="55"/>
      <c r="I1467" s="545"/>
    </row>
    <row r="1468" spans="3:9" s="157" customFormat="1" ht="12.75">
      <c r="C1468" s="160"/>
      <c r="D1468" s="152"/>
      <c r="E1468" s="55"/>
      <c r="F1468" s="55"/>
      <c r="G1468" s="55"/>
      <c r="H1468" s="55"/>
      <c r="I1468" s="545"/>
    </row>
    <row r="1469" spans="3:9" s="157" customFormat="1" ht="12.75">
      <c r="C1469" s="160"/>
      <c r="D1469" s="152"/>
      <c r="E1469" s="55"/>
      <c r="F1469" s="55"/>
      <c r="G1469" s="55"/>
      <c r="H1469" s="55"/>
      <c r="I1469" s="545"/>
    </row>
    <row r="1470" spans="3:9" s="157" customFormat="1" ht="12.75">
      <c r="C1470" s="160"/>
      <c r="D1470" s="152"/>
      <c r="E1470" s="55"/>
      <c r="F1470" s="55"/>
      <c r="G1470" s="55"/>
      <c r="H1470" s="55"/>
      <c r="I1470" s="545"/>
    </row>
    <row r="1471" spans="3:9" s="157" customFormat="1" ht="12.75">
      <c r="C1471" s="160"/>
      <c r="D1471" s="152"/>
      <c r="E1471" s="55"/>
      <c r="F1471" s="55"/>
      <c r="G1471" s="55"/>
      <c r="H1471" s="55"/>
      <c r="I1471" s="545"/>
    </row>
    <row r="1472" spans="3:9" s="157" customFormat="1" ht="12.75">
      <c r="C1472" s="160"/>
      <c r="D1472" s="152"/>
      <c r="E1472" s="55"/>
      <c r="F1472" s="55"/>
      <c r="G1472" s="55"/>
      <c r="H1472" s="55"/>
      <c r="I1472" s="545"/>
    </row>
    <row r="1473" spans="3:9" s="157" customFormat="1" ht="12.75">
      <c r="C1473" s="160"/>
      <c r="D1473" s="152"/>
      <c r="E1473" s="55"/>
      <c r="F1473" s="55"/>
      <c r="G1473" s="55"/>
      <c r="H1473" s="55"/>
      <c r="I1473" s="545"/>
    </row>
    <row r="1474" spans="3:9" s="157" customFormat="1" ht="12.75">
      <c r="C1474" s="160"/>
      <c r="D1474" s="152"/>
      <c r="E1474" s="55"/>
      <c r="F1474" s="55"/>
      <c r="G1474" s="55"/>
      <c r="H1474" s="55"/>
      <c r="I1474" s="545"/>
    </row>
    <row r="1475" spans="3:9" s="157" customFormat="1" ht="12.75">
      <c r="C1475" s="160"/>
      <c r="D1475" s="152"/>
      <c r="E1475" s="55"/>
      <c r="F1475" s="55"/>
      <c r="G1475" s="55"/>
      <c r="H1475" s="55"/>
      <c r="I1475" s="545"/>
    </row>
    <row r="1476" spans="3:9" s="157" customFormat="1" ht="12.75">
      <c r="C1476" s="160"/>
      <c r="D1476" s="152"/>
      <c r="E1476" s="55"/>
      <c r="F1476" s="55"/>
      <c r="G1476" s="55"/>
      <c r="H1476" s="55"/>
      <c r="I1476" s="545"/>
    </row>
    <row r="1477" spans="3:9" s="157" customFormat="1" ht="12.75">
      <c r="C1477" s="160"/>
      <c r="D1477" s="152"/>
      <c r="E1477" s="55"/>
      <c r="F1477" s="55"/>
      <c r="G1477" s="55"/>
      <c r="H1477" s="55"/>
      <c r="I1477" s="545"/>
    </row>
    <row r="1478" spans="3:9" s="157" customFormat="1" ht="12.75">
      <c r="C1478" s="160"/>
      <c r="D1478" s="152"/>
      <c r="E1478" s="55"/>
      <c r="F1478" s="55"/>
      <c r="G1478" s="55"/>
      <c r="H1478" s="55"/>
      <c r="I1478" s="545"/>
    </row>
    <row r="1479" spans="3:9" s="157" customFormat="1" ht="12.75">
      <c r="C1479" s="160"/>
      <c r="D1479" s="152"/>
      <c r="E1479" s="55"/>
      <c r="F1479" s="55"/>
      <c r="G1479" s="55"/>
      <c r="H1479" s="55"/>
      <c r="I1479" s="545"/>
    </row>
    <row r="1480" spans="3:9" s="157" customFormat="1" ht="12.75">
      <c r="C1480" s="160"/>
      <c r="D1480" s="152"/>
      <c r="E1480" s="55"/>
      <c r="F1480" s="55"/>
      <c r="G1480" s="55"/>
      <c r="H1480" s="55"/>
      <c r="I1480" s="545"/>
    </row>
    <row r="1481" spans="3:9" s="157" customFormat="1" ht="12.75">
      <c r="C1481" s="160"/>
      <c r="D1481" s="152"/>
      <c r="E1481" s="55"/>
      <c r="F1481" s="55"/>
      <c r="G1481" s="55"/>
      <c r="H1481" s="55"/>
      <c r="I1481" s="545"/>
    </row>
    <row r="1482" spans="3:9" s="157" customFormat="1" ht="12.75">
      <c r="C1482" s="160"/>
      <c r="D1482" s="152"/>
      <c r="E1482" s="55"/>
      <c r="F1482" s="55"/>
      <c r="G1482" s="55"/>
      <c r="H1482" s="55"/>
      <c r="I1482" s="545"/>
    </row>
    <row r="1483" spans="3:9" s="157" customFormat="1" ht="12.75">
      <c r="C1483" s="160"/>
      <c r="D1483" s="152"/>
      <c r="E1483" s="55"/>
      <c r="F1483" s="55"/>
      <c r="G1483" s="55"/>
      <c r="H1483" s="55"/>
      <c r="I1483" s="545"/>
    </row>
    <row r="1484" spans="3:9" s="157" customFormat="1" ht="12.75">
      <c r="C1484" s="160"/>
      <c r="D1484" s="152"/>
      <c r="E1484" s="55"/>
      <c r="F1484" s="55"/>
      <c r="G1484" s="55"/>
      <c r="H1484" s="55"/>
      <c r="I1484" s="545"/>
    </row>
    <row r="1485" spans="3:9" s="157" customFormat="1" ht="12.75">
      <c r="C1485" s="160"/>
      <c r="D1485" s="152"/>
      <c r="E1485" s="55"/>
      <c r="F1485" s="55"/>
      <c r="G1485" s="55"/>
      <c r="H1485" s="55"/>
      <c r="I1485" s="545"/>
    </row>
    <row r="1486" spans="3:9" s="157" customFormat="1" ht="12.75">
      <c r="C1486" s="160"/>
      <c r="D1486" s="152"/>
      <c r="E1486" s="55"/>
      <c r="F1486" s="55"/>
      <c r="G1486" s="55"/>
      <c r="H1486" s="55"/>
      <c r="I1486" s="545"/>
    </row>
    <row r="1487" spans="3:9" s="157" customFormat="1" ht="12.75">
      <c r="C1487" s="160"/>
      <c r="D1487" s="152"/>
      <c r="E1487" s="55"/>
      <c r="F1487" s="55"/>
      <c r="G1487" s="55"/>
      <c r="H1487" s="55"/>
      <c r="I1487" s="545"/>
    </row>
    <row r="1488" spans="3:9" s="157" customFormat="1" ht="12.75">
      <c r="C1488" s="160"/>
      <c r="D1488" s="152"/>
      <c r="E1488" s="55"/>
      <c r="F1488" s="55"/>
      <c r="G1488" s="55"/>
      <c r="H1488" s="55"/>
      <c r="I1488" s="545"/>
    </row>
    <row r="1489" spans="3:9" s="157" customFormat="1" ht="12.75">
      <c r="C1489" s="160"/>
      <c r="D1489" s="152"/>
      <c r="E1489" s="55"/>
      <c r="F1489" s="55"/>
      <c r="G1489" s="55"/>
      <c r="H1489" s="55"/>
      <c r="I1489" s="545"/>
    </row>
    <row r="1490" spans="3:9" s="157" customFormat="1" ht="12.75">
      <c r="C1490" s="160"/>
      <c r="D1490" s="152"/>
      <c r="E1490" s="55"/>
      <c r="F1490" s="55"/>
      <c r="G1490" s="55"/>
      <c r="H1490" s="55"/>
      <c r="I1490" s="545"/>
    </row>
    <row r="1491" spans="3:9" s="157" customFormat="1" ht="12.75">
      <c r="C1491" s="160"/>
      <c r="D1491" s="152"/>
      <c r="E1491" s="55"/>
      <c r="F1491" s="55"/>
      <c r="G1491" s="55"/>
      <c r="H1491" s="55"/>
      <c r="I1491" s="545"/>
    </row>
    <row r="1492" spans="3:9" s="157" customFormat="1" ht="12.75">
      <c r="C1492" s="160"/>
      <c r="D1492" s="152"/>
      <c r="E1492" s="55"/>
      <c r="F1492" s="55"/>
      <c r="G1492" s="55"/>
      <c r="H1492" s="55"/>
      <c r="I1492" s="545"/>
    </row>
    <row r="1493" spans="3:9" s="157" customFormat="1" ht="12.75">
      <c r="C1493" s="160"/>
      <c r="D1493" s="152"/>
      <c r="E1493" s="55"/>
      <c r="F1493" s="55"/>
      <c r="G1493" s="55"/>
      <c r="H1493" s="55"/>
      <c r="I1493" s="545"/>
    </row>
    <row r="1494" spans="3:9" s="157" customFormat="1" ht="12.75">
      <c r="C1494" s="160"/>
      <c r="D1494" s="152"/>
      <c r="E1494" s="55"/>
      <c r="F1494" s="55"/>
      <c r="G1494" s="55"/>
      <c r="H1494" s="55"/>
      <c r="I1494" s="545"/>
    </row>
    <row r="1495" spans="3:9" s="157" customFormat="1" ht="12.75">
      <c r="C1495" s="160"/>
      <c r="D1495" s="152"/>
      <c r="E1495" s="55"/>
      <c r="F1495" s="55"/>
      <c r="G1495" s="55"/>
      <c r="H1495" s="55"/>
      <c r="I1495" s="545"/>
    </row>
    <row r="1496" spans="3:9" s="157" customFormat="1" ht="12.75">
      <c r="C1496" s="160"/>
      <c r="D1496" s="152"/>
      <c r="E1496" s="55"/>
      <c r="F1496" s="55"/>
      <c r="G1496" s="55"/>
      <c r="H1496" s="55"/>
      <c r="I1496" s="545"/>
    </row>
    <row r="1497" spans="3:9" s="157" customFormat="1" ht="12.75">
      <c r="C1497" s="160"/>
      <c r="D1497" s="152"/>
      <c r="E1497" s="55"/>
      <c r="F1497" s="55"/>
      <c r="G1497" s="55"/>
      <c r="H1497" s="55"/>
      <c r="I1497" s="545"/>
    </row>
    <row r="1498" spans="3:9" s="157" customFormat="1" ht="12.75">
      <c r="C1498" s="160"/>
      <c r="D1498" s="152"/>
      <c r="E1498" s="55"/>
      <c r="F1498" s="55"/>
      <c r="G1498" s="55"/>
      <c r="H1498" s="55"/>
      <c r="I1498" s="545"/>
    </row>
    <row r="1499" spans="3:9" s="157" customFormat="1" ht="12.75">
      <c r="C1499" s="160"/>
      <c r="D1499" s="152"/>
      <c r="E1499" s="55"/>
      <c r="F1499" s="55"/>
      <c r="G1499" s="55"/>
      <c r="H1499" s="55"/>
      <c r="I1499" s="545"/>
    </row>
    <row r="1500" spans="3:9" s="157" customFormat="1" ht="12.75">
      <c r="C1500" s="160"/>
      <c r="D1500" s="152"/>
      <c r="E1500" s="55"/>
      <c r="F1500" s="55"/>
      <c r="G1500" s="55"/>
      <c r="H1500" s="55"/>
      <c r="I1500" s="545"/>
    </row>
    <row r="1501" spans="3:9" s="157" customFormat="1" ht="12.75">
      <c r="C1501" s="160"/>
      <c r="D1501" s="152"/>
      <c r="E1501" s="55"/>
      <c r="F1501" s="55"/>
      <c r="G1501" s="55"/>
      <c r="H1501" s="55"/>
      <c r="I1501" s="545"/>
    </row>
    <row r="1502" spans="3:9" s="157" customFormat="1" ht="12.75">
      <c r="C1502" s="160"/>
      <c r="D1502" s="152"/>
      <c r="E1502" s="55"/>
      <c r="F1502" s="55"/>
      <c r="G1502" s="55"/>
      <c r="H1502" s="55"/>
      <c r="I1502" s="545"/>
    </row>
    <row r="1503" spans="3:9" s="157" customFormat="1" ht="12.75">
      <c r="C1503" s="160"/>
      <c r="D1503" s="152"/>
      <c r="E1503" s="55"/>
      <c r="F1503" s="55"/>
      <c r="G1503" s="55"/>
      <c r="H1503" s="55"/>
      <c r="I1503" s="545"/>
    </row>
    <row r="1504" spans="3:9" s="157" customFormat="1" ht="12.75">
      <c r="C1504" s="160"/>
      <c r="D1504" s="152"/>
      <c r="E1504" s="55"/>
      <c r="F1504" s="55"/>
      <c r="G1504" s="55"/>
      <c r="H1504" s="55"/>
      <c r="I1504" s="545"/>
    </row>
    <row r="1505" spans="3:9" s="157" customFormat="1" ht="12.75">
      <c r="C1505" s="160"/>
      <c r="D1505" s="152"/>
      <c r="E1505" s="55"/>
      <c r="F1505" s="55"/>
      <c r="G1505" s="55"/>
      <c r="H1505" s="55"/>
      <c r="I1505" s="545"/>
    </row>
    <row r="1506" spans="3:9" s="157" customFormat="1" ht="12.75">
      <c r="C1506" s="160"/>
      <c r="D1506" s="152"/>
      <c r="E1506" s="55"/>
      <c r="F1506" s="55"/>
      <c r="G1506" s="55"/>
      <c r="H1506" s="55"/>
      <c r="I1506" s="545"/>
    </row>
    <row r="1507" spans="3:9" s="157" customFormat="1" ht="12.75">
      <c r="C1507" s="160"/>
      <c r="D1507" s="152"/>
      <c r="E1507" s="55"/>
      <c r="F1507" s="55"/>
      <c r="G1507" s="55"/>
      <c r="H1507" s="55"/>
      <c r="I1507" s="545"/>
    </row>
    <row r="1508" spans="3:9" s="157" customFormat="1" ht="12.75">
      <c r="C1508" s="160"/>
      <c r="D1508" s="152"/>
      <c r="E1508" s="55"/>
      <c r="F1508" s="55"/>
      <c r="G1508" s="55"/>
      <c r="H1508" s="55"/>
      <c r="I1508" s="545"/>
    </row>
    <row r="1509" spans="3:9" s="157" customFormat="1" ht="12.75">
      <c r="C1509" s="160"/>
      <c r="D1509" s="152"/>
      <c r="E1509" s="55"/>
      <c r="F1509" s="55"/>
      <c r="G1509" s="55"/>
      <c r="H1509" s="55"/>
      <c r="I1509" s="545"/>
    </row>
    <row r="1510" spans="3:9" s="157" customFormat="1" ht="12.75">
      <c r="C1510" s="160"/>
      <c r="D1510" s="152"/>
      <c r="E1510" s="55"/>
      <c r="F1510" s="55"/>
      <c r="G1510" s="55"/>
      <c r="H1510" s="55"/>
      <c r="I1510" s="545"/>
    </row>
    <row r="1511" spans="3:9" s="157" customFormat="1" ht="12.75">
      <c r="C1511" s="160"/>
      <c r="D1511" s="152"/>
      <c r="E1511" s="55"/>
      <c r="F1511" s="55"/>
      <c r="G1511" s="55"/>
      <c r="H1511" s="55"/>
      <c r="I1511" s="545"/>
    </row>
    <row r="1512" spans="3:9" s="157" customFormat="1" ht="12.75">
      <c r="C1512" s="160"/>
      <c r="D1512" s="152"/>
      <c r="E1512" s="55"/>
      <c r="F1512" s="55"/>
      <c r="G1512" s="55"/>
      <c r="H1512" s="55"/>
      <c r="I1512" s="545"/>
    </row>
    <row r="1513" spans="3:9" s="157" customFormat="1" ht="12.75">
      <c r="C1513" s="160"/>
      <c r="D1513" s="152"/>
      <c r="E1513" s="55"/>
      <c r="F1513" s="55"/>
      <c r="G1513" s="55"/>
      <c r="H1513" s="55"/>
      <c r="I1513" s="545"/>
    </row>
    <row r="1514" spans="3:9" s="157" customFormat="1" ht="12.75">
      <c r="C1514" s="160"/>
      <c r="D1514" s="152"/>
      <c r="E1514" s="55"/>
      <c r="F1514" s="55"/>
      <c r="G1514" s="55"/>
      <c r="H1514" s="55"/>
      <c r="I1514" s="545"/>
    </row>
    <row r="1515" spans="3:9" s="157" customFormat="1" ht="12.75">
      <c r="C1515" s="160"/>
      <c r="D1515" s="152"/>
      <c r="E1515" s="55"/>
      <c r="F1515" s="55"/>
      <c r="G1515" s="55"/>
      <c r="H1515" s="55"/>
      <c r="I1515" s="545"/>
    </row>
    <row r="1516" spans="3:9" s="157" customFormat="1" ht="12.75">
      <c r="C1516" s="160"/>
      <c r="D1516" s="152"/>
      <c r="E1516" s="55"/>
      <c r="F1516" s="55"/>
      <c r="G1516" s="55"/>
      <c r="H1516" s="55"/>
      <c r="I1516" s="545"/>
    </row>
    <row r="1517" spans="3:9" s="157" customFormat="1" ht="12.75">
      <c r="C1517" s="160"/>
      <c r="D1517" s="152"/>
      <c r="E1517" s="55"/>
      <c r="F1517" s="55"/>
      <c r="G1517" s="55"/>
      <c r="H1517" s="55"/>
      <c r="I1517" s="545"/>
    </row>
    <row r="1518" spans="3:9" s="157" customFormat="1" ht="12.75">
      <c r="C1518" s="160"/>
      <c r="D1518" s="152"/>
      <c r="E1518" s="55"/>
      <c r="F1518" s="55"/>
      <c r="G1518" s="55"/>
      <c r="H1518" s="55"/>
      <c r="I1518" s="545"/>
    </row>
    <row r="1519" spans="3:9" s="157" customFormat="1" ht="12.75">
      <c r="C1519" s="160"/>
      <c r="D1519" s="152"/>
      <c r="E1519" s="55"/>
      <c r="F1519" s="55"/>
      <c r="G1519" s="55"/>
      <c r="H1519" s="55"/>
      <c r="I1519" s="545"/>
    </row>
    <row r="1520" spans="3:9" s="157" customFormat="1" ht="12.75">
      <c r="C1520" s="160"/>
      <c r="D1520" s="152"/>
      <c r="E1520" s="55"/>
      <c r="F1520" s="55"/>
      <c r="G1520" s="55"/>
      <c r="H1520" s="55"/>
      <c r="I1520" s="545"/>
    </row>
    <row r="1521" spans="3:9" s="157" customFormat="1" ht="12.75">
      <c r="C1521" s="160"/>
      <c r="D1521" s="152"/>
      <c r="E1521" s="55"/>
      <c r="F1521" s="55"/>
      <c r="G1521" s="55"/>
      <c r="H1521" s="55"/>
      <c r="I1521" s="545"/>
    </row>
    <row r="1522" spans="3:9" s="157" customFormat="1" ht="12.75">
      <c r="C1522" s="160"/>
      <c r="D1522" s="152"/>
      <c r="E1522" s="55"/>
      <c r="F1522" s="55"/>
      <c r="G1522" s="55"/>
      <c r="H1522" s="55"/>
      <c r="I1522" s="545"/>
    </row>
    <row r="1523" spans="3:9" s="157" customFormat="1" ht="12.75">
      <c r="C1523" s="160"/>
      <c r="D1523" s="152"/>
      <c r="E1523" s="55"/>
      <c r="F1523" s="55"/>
      <c r="G1523" s="55"/>
      <c r="H1523" s="55"/>
      <c r="I1523" s="545"/>
    </row>
    <row r="1524" spans="3:9" s="157" customFormat="1" ht="12.75">
      <c r="C1524" s="160"/>
      <c r="D1524" s="152"/>
      <c r="E1524" s="55"/>
      <c r="F1524" s="55"/>
      <c r="G1524" s="55"/>
      <c r="H1524" s="55"/>
      <c r="I1524" s="545"/>
    </row>
    <row r="1525" spans="3:9" s="157" customFormat="1" ht="12.75">
      <c r="C1525" s="160"/>
      <c r="D1525" s="152"/>
      <c r="E1525" s="55"/>
      <c r="F1525" s="55"/>
      <c r="G1525" s="55"/>
      <c r="H1525" s="55"/>
      <c r="I1525" s="545"/>
    </row>
    <row r="1526" spans="3:9" s="157" customFormat="1" ht="12.75">
      <c r="C1526" s="160"/>
      <c r="D1526" s="152"/>
      <c r="E1526" s="55"/>
      <c r="F1526" s="55"/>
      <c r="G1526" s="55"/>
      <c r="H1526" s="55"/>
      <c r="I1526" s="545"/>
    </row>
    <row r="1527" spans="3:9" s="157" customFormat="1" ht="12.75">
      <c r="C1527" s="160"/>
      <c r="D1527" s="152"/>
      <c r="E1527" s="55"/>
      <c r="F1527" s="55"/>
      <c r="G1527" s="55"/>
      <c r="H1527" s="55"/>
      <c r="I1527" s="545"/>
    </row>
    <row r="1528" spans="3:9" s="157" customFormat="1" ht="12.75">
      <c r="C1528" s="160"/>
      <c r="D1528" s="152"/>
      <c r="E1528" s="55"/>
      <c r="F1528" s="55"/>
      <c r="G1528" s="55"/>
      <c r="H1528" s="55"/>
      <c r="I1528" s="545"/>
    </row>
    <row r="1529" spans="3:9" s="157" customFormat="1" ht="12.75">
      <c r="C1529" s="160"/>
      <c r="D1529" s="152"/>
      <c r="E1529" s="55"/>
      <c r="F1529" s="55"/>
      <c r="G1529" s="55"/>
      <c r="H1529" s="55"/>
      <c r="I1529" s="545"/>
    </row>
    <row r="1530" spans="3:9" s="157" customFormat="1" ht="12.75">
      <c r="C1530" s="160"/>
      <c r="D1530" s="152"/>
      <c r="E1530" s="55"/>
      <c r="F1530" s="55"/>
      <c r="G1530" s="55"/>
      <c r="H1530" s="55"/>
      <c r="I1530" s="545"/>
    </row>
    <row r="1531" spans="3:9" s="157" customFormat="1" ht="12.75">
      <c r="C1531" s="160"/>
      <c r="D1531" s="152"/>
      <c r="E1531" s="55"/>
      <c r="F1531" s="55"/>
      <c r="G1531" s="55"/>
      <c r="H1531" s="55"/>
      <c r="I1531" s="545"/>
    </row>
    <row r="1532" spans="3:9" s="157" customFormat="1" ht="12.75">
      <c r="C1532" s="160"/>
      <c r="D1532" s="152"/>
      <c r="E1532" s="55"/>
      <c r="F1532" s="55"/>
      <c r="G1532" s="55"/>
      <c r="H1532" s="55"/>
      <c r="I1532" s="545"/>
    </row>
    <row r="1533" spans="3:9" s="157" customFormat="1" ht="12.75">
      <c r="C1533" s="160"/>
      <c r="D1533" s="152"/>
      <c r="E1533" s="55"/>
      <c r="F1533" s="55"/>
      <c r="G1533" s="55"/>
      <c r="H1533" s="55"/>
      <c r="I1533" s="545"/>
    </row>
    <row r="1534" spans="3:9" s="157" customFormat="1" ht="12.75">
      <c r="C1534" s="160"/>
      <c r="D1534" s="152"/>
      <c r="E1534" s="55"/>
      <c r="F1534" s="55"/>
      <c r="G1534" s="55"/>
      <c r="H1534" s="55"/>
      <c r="I1534" s="545"/>
    </row>
    <row r="1535" spans="3:9" s="157" customFormat="1" ht="12.75">
      <c r="C1535" s="160"/>
      <c r="D1535" s="152"/>
      <c r="E1535" s="55"/>
      <c r="F1535" s="55"/>
      <c r="G1535" s="55"/>
      <c r="H1535" s="55"/>
      <c r="I1535" s="545"/>
    </row>
    <row r="1536" spans="3:9" s="157" customFormat="1" ht="12.75">
      <c r="C1536" s="160"/>
      <c r="D1536" s="152"/>
      <c r="E1536" s="55"/>
      <c r="F1536" s="55"/>
      <c r="G1536" s="55"/>
      <c r="H1536" s="55"/>
      <c r="I1536" s="545"/>
    </row>
    <row r="1537" spans="3:9" s="157" customFormat="1" ht="12.75">
      <c r="C1537" s="160"/>
      <c r="D1537" s="152"/>
      <c r="E1537" s="55"/>
      <c r="F1537" s="55"/>
      <c r="G1537" s="55"/>
      <c r="H1537" s="55"/>
      <c r="I1537" s="545"/>
    </row>
    <row r="1538" spans="3:9" s="157" customFormat="1" ht="12.75">
      <c r="C1538" s="160"/>
      <c r="D1538" s="152"/>
      <c r="E1538" s="55"/>
      <c r="F1538" s="55"/>
      <c r="G1538" s="55"/>
      <c r="H1538" s="55"/>
      <c r="I1538" s="545"/>
    </row>
    <row r="1539" spans="3:9" s="157" customFormat="1" ht="12.75">
      <c r="C1539" s="160"/>
      <c r="D1539" s="152"/>
      <c r="E1539" s="55"/>
      <c r="F1539" s="55"/>
      <c r="G1539" s="55"/>
      <c r="H1539" s="55"/>
      <c r="I1539" s="545"/>
    </row>
    <row r="1540" spans="3:9" s="157" customFormat="1" ht="12.75">
      <c r="C1540" s="160"/>
      <c r="D1540" s="152"/>
      <c r="E1540" s="55"/>
      <c r="F1540" s="55"/>
      <c r="G1540" s="55"/>
      <c r="H1540" s="55"/>
      <c r="I1540" s="545"/>
    </row>
    <row r="1541" spans="3:9" s="157" customFormat="1" ht="12.75">
      <c r="C1541" s="160"/>
      <c r="D1541" s="152"/>
      <c r="E1541" s="55"/>
      <c r="F1541" s="55"/>
      <c r="G1541" s="55"/>
      <c r="H1541" s="55"/>
      <c r="I1541" s="545"/>
    </row>
    <row r="1542" spans="3:9" s="157" customFormat="1" ht="12.75">
      <c r="C1542" s="160"/>
      <c r="D1542" s="152"/>
      <c r="E1542" s="55"/>
      <c r="F1542" s="55"/>
      <c r="G1542" s="55"/>
      <c r="H1542" s="55"/>
      <c r="I1542" s="545"/>
    </row>
    <row r="1543" spans="3:9" s="157" customFormat="1" ht="12.75">
      <c r="C1543" s="160"/>
      <c r="D1543" s="152"/>
      <c r="E1543" s="55"/>
      <c r="F1543" s="55"/>
      <c r="G1543" s="55"/>
      <c r="H1543" s="55"/>
      <c r="I1543" s="545"/>
    </row>
    <row r="1544" spans="3:9" s="157" customFormat="1" ht="12.75">
      <c r="C1544" s="160"/>
      <c r="D1544" s="152"/>
      <c r="E1544" s="55"/>
      <c r="F1544" s="55"/>
      <c r="G1544" s="55"/>
      <c r="H1544" s="55"/>
      <c r="I1544" s="545"/>
    </row>
    <row r="1545" spans="3:9" s="157" customFormat="1" ht="12.75">
      <c r="C1545" s="160"/>
      <c r="D1545" s="152"/>
      <c r="E1545" s="55"/>
      <c r="F1545" s="55"/>
      <c r="G1545" s="55"/>
      <c r="H1545" s="55"/>
      <c r="I1545" s="545"/>
    </row>
    <row r="1546" spans="3:9" s="157" customFormat="1" ht="12.75">
      <c r="C1546" s="160"/>
      <c r="D1546" s="152"/>
      <c r="E1546" s="55"/>
      <c r="F1546" s="55"/>
      <c r="G1546" s="55"/>
      <c r="H1546" s="55"/>
      <c r="I1546" s="545"/>
    </row>
    <row r="1547" spans="3:9" s="157" customFormat="1" ht="12.75">
      <c r="C1547" s="160"/>
      <c r="D1547" s="152"/>
      <c r="E1547" s="55"/>
      <c r="F1547" s="55"/>
      <c r="G1547" s="55"/>
      <c r="H1547" s="55"/>
      <c r="I1547" s="545"/>
    </row>
    <row r="1548" spans="3:9" s="157" customFormat="1" ht="12.75">
      <c r="C1548" s="160"/>
      <c r="D1548" s="152"/>
      <c r="E1548" s="55"/>
      <c r="F1548" s="55"/>
      <c r="G1548" s="55"/>
      <c r="H1548" s="55"/>
      <c r="I1548" s="545"/>
    </row>
    <row r="1549" spans="3:9" s="157" customFormat="1" ht="12.75">
      <c r="C1549" s="160"/>
      <c r="D1549" s="152"/>
      <c r="E1549" s="55"/>
      <c r="F1549" s="55"/>
      <c r="G1549" s="55"/>
      <c r="H1549" s="55"/>
      <c r="I1549" s="545"/>
    </row>
    <row r="1550" spans="3:9" s="157" customFormat="1" ht="12.75">
      <c r="C1550" s="160"/>
      <c r="D1550" s="152"/>
      <c r="E1550" s="55"/>
      <c r="F1550" s="55"/>
      <c r="G1550" s="55"/>
      <c r="H1550" s="55"/>
      <c r="I1550" s="545"/>
    </row>
    <row r="1551" spans="3:9" s="157" customFormat="1" ht="12.75">
      <c r="C1551" s="160"/>
      <c r="D1551" s="152"/>
      <c r="E1551" s="55"/>
      <c r="F1551" s="55"/>
      <c r="G1551" s="55"/>
      <c r="H1551" s="55"/>
      <c r="I1551" s="545"/>
    </row>
    <row r="1552" spans="3:9" s="157" customFormat="1" ht="12.75">
      <c r="C1552" s="160"/>
      <c r="D1552" s="152"/>
      <c r="E1552" s="55"/>
      <c r="F1552" s="55"/>
      <c r="G1552" s="55"/>
      <c r="H1552" s="55"/>
      <c r="I1552" s="545"/>
    </row>
    <row r="1553" spans="3:9" s="157" customFormat="1" ht="12.75">
      <c r="C1553" s="160"/>
      <c r="D1553" s="152"/>
      <c r="E1553" s="55"/>
      <c r="F1553" s="55"/>
      <c r="G1553" s="55"/>
      <c r="H1553" s="55"/>
      <c r="I1553" s="545"/>
    </row>
    <row r="1554" spans="3:9" s="157" customFormat="1" ht="12.75">
      <c r="C1554" s="160"/>
      <c r="D1554" s="152"/>
      <c r="E1554" s="55"/>
      <c r="F1554" s="55"/>
      <c r="G1554" s="55"/>
      <c r="H1554" s="55"/>
      <c r="I1554" s="545"/>
    </row>
    <row r="1555" spans="3:9" s="157" customFormat="1" ht="12.75">
      <c r="C1555" s="160"/>
      <c r="D1555" s="152"/>
      <c r="E1555" s="55"/>
      <c r="F1555" s="55"/>
      <c r="G1555" s="55"/>
      <c r="H1555" s="55"/>
      <c r="I1555" s="545"/>
    </row>
    <row r="1556" spans="3:9" s="157" customFormat="1" ht="12.75">
      <c r="C1556" s="160"/>
      <c r="D1556" s="152"/>
      <c r="E1556" s="55"/>
      <c r="F1556" s="55"/>
      <c r="G1556" s="55"/>
      <c r="H1556" s="55"/>
      <c r="I1556" s="545"/>
    </row>
    <row r="1557" spans="3:9" s="157" customFormat="1" ht="12.75">
      <c r="C1557" s="160"/>
      <c r="D1557" s="152"/>
      <c r="E1557" s="55"/>
      <c r="F1557" s="55"/>
      <c r="G1557" s="55"/>
      <c r="H1557" s="55"/>
      <c r="I1557" s="545"/>
    </row>
    <row r="1558" spans="3:9" s="157" customFormat="1" ht="12.75">
      <c r="C1558" s="160"/>
      <c r="D1558" s="152"/>
      <c r="E1558" s="55"/>
      <c r="F1558" s="55"/>
      <c r="G1558" s="55"/>
      <c r="H1558" s="55"/>
      <c r="I1558" s="545"/>
    </row>
    <row r="1559" spans="3:9" s="157" customFormat="1" ht="12.75">
      <c r="C1559" s="160"/>
      <c r="D1559" s="152"/>
      <c r="E1559" s="55"/>
      <c r="F1559" s="55"/>
      <c r="G1559" s="55"/>
      <c r="H1559" s="55"/>
      <c r="I1559" s="545"/>
    </row>
    <row r="1560" spans="3:9" s="157" customFormat="1" ht="12.75">
      <c r="C1560" s="160"/>
      <c r="D1560" s="152"/>
      <c r="E1560" s="55"/>
      <c r="F1560" s="55"/>
      <c r="G1560" s="55"/>
      <c r="H1560" s="55"/>
      <c r="I1560" s="545"/>
    </row>
    <row r="1561" spans="3:9" s="157" customFormat="1" ht="12.75">
      <c r="C1561" s="160"/>
      <c r="D1561" s="152"/>
      <c r="E1561" s="55"/>
      <c r="F1561" s="55"/>
      <c r="G1561" s="55"/>
      <c r="H1561" s="55"/>
      <c r="I1561" s="545"/>
    </row>
    <row r="1562" spans="3:9" s="157" customFormat="1" ht="12.75">
      <c r="C1562" s="160"/>
      <c r="D1562" s="152"/>
      <c r="E1562" s="55"/>
      <c r="F1562" s="55"/>
      <c r="G1562" s="55"/>
      <c r="H1562" s="55"/>
      <c r="I1562" s="545"/>
    </row>
    <row r="1563" spans="3:9" s="157" customFormat="1" ht="12.75">
      <c r="C1563" s="160"/>
      <c r="D1563" s="152"/>
      <c r="E1563" s="55"/>
      <c r="F1563" s="55"/>
      <c r="G1563" s="55"/>
      <c r="H1563" s="55"/>
      <c r="I1563" s="545"/>
    </row>
    <row r="1564" spans="3:9" s="157" customFormat="1" ht="12.75">
      <c r="C1564" s="160"/>
      <c r="D1564" s="152"/>
      <c r="E1564" s="55"/>
      <c r="F1564" s="55"/>
      <c r="G1564" s="55"/>
      <c r="H1564" s="55"/>
      <c r="I1564" s="545"/>
    </row>
    <row r="1565" spans="3:9" s="157" customFormat="1" ht="12.75">
      <c r="C1565" s="160"/>
      <c r="D1565" s="152"/>
      <c r="E1565" s="55"/>
      <c r="F1565" s="55"/>
      <c r="G1565" s="55"/>
      <c r="H1565" s="55"/>
      <c r="I1565" s="545"/>
    </row>
    <row r="1566" spans="3:9" s="157" customFormat="1" ht="12.75">
      <c r="C1566" s="160"/>
      <c r="D1566" s="152"/>
      <c r="E1566" s="55"/>
      <c r="F1566" s="55"/>
      <c r="G1566" s="55"/>
      <c r="H1566" s="55"/>
      <c r="I1566" s="545"/>
    </row>
    <row r="1567" spans="3:9" s="157" customFormat="1" ht="12.75">
      <c r="C1567" s="160"/>
      <c r="D1567" s="152"/>
      <c r="E1567" s="55"/>
      <c r="F1567" s="55"/>
      <c r="G1567" s="55"/>
      <c r="H1567" s="55"/>
      <c r="I1567" s="545"/>
    </row>
    <row r="1568" spans="3:9" s="157" customFormat="1" ht="12.75">
      <c r="C1568" s="160"/>
      <c r="D1568" s="152"/>
      <c r="E1568" s="55"/>
      <c r="F1568" s="55"/>
      <c r="G1568" s="55"/>
      <c r="H1568" s="55"/>
      <c r="I1568" s="545"/>
    </row>
    <row r="1569" spans="3:9" s="157" customFormat="1" ht="12.75">
      <c r="C1569" s="160"/>
      <c r="D1569" s="152"/>
      <c r="E1569" s="55"/>
      <c r="F1569" s="55"/>
      <c r="G1569" s="55"/>
      <c r="H1569" s="55"/>
      <c r="I1569" s="545"/>
    </row>
    <row r="1570" spans="3:9" s="157" customFormat="1" ht="12.75">
      <c r="C1570" s="160"/>
      <c r="D1570" s="152"/>
      <c r="E1570" s="55"/>
      <c r="F1570" s="55"/>
      <c r="G1570" s="55"/>
      <c r="H1570" s="55"/>
      <c r="I1570" s="545"/>
    </row>
    <row r="1571" spans="3:9" s="157" customFormat="1" ht="12.75">
      <c r="C1571" s="160"/>
      <c r="D1571" s="152"/>
      <c r="E1571" s="55"/>
      <c r="F1571" s="55"/>
      <c r="G1571" s="55"/>
      <c r="H1571" s="55"/>
      <c r="I1571" s="545"/>
    </row>
    <row r="1572" spans="3:9" s="157" customFormat="1" ht="12.75">
      <c r="C1572" s="160"/>
      <c r="D1572" s="152"/>
      <c r="E1572" s="55"/>
      <c r="F1572" s="55"/>
      <c r="G1572" s="55"/>
      <c r="H1572" s="55"/>
      <c r="I1572" s="545"/>
    </row>
    <row r="1573" spans="3:9" s="157" customFormat="1" ht="12.75">
      <c r="C1573" s="160"/>
      <c r="D1573" s="152"/>
      <c r="E1573" s="55"/>
      <c r="F1573" s="55"/>
      <c r="G1573" s="55"/>
      <c r="H1573" s="55"/>
      <c r="I1573" s="545"/>
    </row>
    <row r="1574" spans="3:9" s="157" customFormat="1" ht="12.75">
      <c r="C1574" s="160"/>
      <c r="D1574" s="152"/>
      <c r="E1574" s="55"/>
      <c r="F1574" s="55"/>
      <c r="G1574" s="55"/>
      <c r="H1574" s="55"/>
      <c r="I1574" s="545"/>
    </row>
    <row r="1575" spans="3:9" s="157" customFormat="1" ht="12.75">
      <c r="C1575" s="160"/>
      <c r="D1575" s="152"/>
      <c r="E1575" s="55"/>
      <c r="F1575" s="55"/>
      <c r="G1575" s="55"/>
      <c r="H1575" s="55"/>
      <c r="I1575" s="545"/>
    </row>
    <row r="1576" spans="3:9" s="157" customFormat="1" ht="12.75">
      <c r="C1576" s="160"/>
      <c r="D1576" s="152"/>
      <c r="E1576" s="55"/>
      <c r="F1576" s="55"/>
      <c r="G1576" s="55"/>
      <c r="H1576" s="55"/>
      <c r="I1576" s="545"/>
    </row>
    <row r="1577" spans="3:9" s="157" customFormat="1" ht="12.75">
      <c r="C1577" s="160"/>
      <c r="D1577" s="152"/>
      <c r="E1577" s="55"/>
      <c r="F1577" s="55"/>
      <c r="G1577" s="55"/>
      <c r="H1577" s="55"/>
      <c r="I1577" s="545"/>
    </row>
    <row r="1578" spans="3:9" s="157" customFormat="1" ht="12.75">
      <c r="C1578" s="160"/>
      <c r="D1578" s="152"/>
      <c r="E1578" s="55"/>
      <c r="F1578" s="55"/>
      <c r="G1578" s="55"/>
      <c r="H1578" s="55"/>
      <c r="I1578" s="545"/>
    </row>
    <row r="1579" spans="3:9" s="157" customFormat="1" ht="12.75">
      <c r="C1579" s="160"/>
      <c r="D1579" s="152"/>
      <c r="E1579" s="55"/>
      <c r="F1579" s="55"/>
      <c r="G1579" s="55"/>
      <c r="H1579" s="55"/>
      <c r="I1579" s="545"/>
    </row>
    <row r="1580" spans="3:9" s="157" customFormat="1" ht="12.75">
      <c r="C1580" s="160"/>
      <c r="D1580" s="152"/>
      <c r="E1580" s="55"/>
      <c r="F1580" s="55"/>
      <c r="G1580" s="55"/>
      <c r="H1580" s="55"/>
      <c r="I1580" s="545"/>
    </row>
    <row r="1581" spans="3:9" s="157" customFormat="1" ht="12.75">
      <c r="C1581" s="160"/>
      <c r="D1581" s="152"/>
      <c r="E1581" s="55"/>
      <c r="F1581" s="55"/>
      <c r="G1581" s="55"/>
      <c r="H1581" s="55"/>
      <c r="I1581" s="545"/>
    </row>
    <row r="1582" spans="3:9" s="157" customFormat="1" ht="12.75">
      <c r="C1582" s="160"/>
      <c r="D1582" s="152"/>
      <c r="E1582" s="55"/>
      <c r="F1582" s="55"/>
      <c r="G1582" s="55"/>
      <c r="H1582" s="55"/>
      <c r="I1582" s="545"/>
    </row>
    <row r="1583" spans="3:9" s="157" customFormat="1" ht="12.75">
      <c r="C1583" s="160"/>
      <c r="D1583" s="152"/>
      <c r="E1583" s="55"/>
      <c r="F1583" s="55"/>
      <c r="G1583" s="55"/>
      <c r="H1583" s="55"/>
      <c r="I1583" s="545"/>
    </row>
    <row r="1584" spans="3:9" s="157" customFormat="1" ht="12.75">
      <c r="C1584" s="160"/>
      <c r="D1584" s="152"/>
      <c r="E1584" s="55"/>
      <c r="F1584" s="55"/>
      <c r="G1584" s="55"/>
      <c r="H1584" s="55"/>
      <c r="I1584" s="545"/>
    </row>
    <row r="1585" spans="3:9" s="157" customFormat="1" ht="12.75">
      <c r="C1585" s="160"/>
      <c r="D1585" s="152"/>
      <c r="E1585" s="55"/>
      <c r="F1585" s="55"/>
      <c r="G1585" s="55"/>
      <c r="H1585" s="55"/>
      <c r="I1585" s="545"/>
    </row>
    <row r="1586" spans="3:9" s="157" customFormat="1" ht="12.75">
      <c r="C1586" s="160"/>
      <c r="D1586" s="152"/>
      <c r="E1586" s="55"/>
      <c r="F1586" s="55"/>
      <c r="G1586" s="55"/>
      <c r="H1586" s="55"/>
      <c r="I1586" s="545"/>
    </row>
    <row r="1587" spans="3:9" s="157" customFormat="1" ht="12.75">
      <c r="C1587" s="160"/>
      <c r="D1587" s="152"/>
      <c r="E1587" s="55"/>
      <c r="F1587" s="55"/>
      <c r="G1587" s="55"/>
      <c r="H1587" s="55"/>
      <c r="I1587" s="545"/>
    </row>
    <row r="1588" spans="3:9" s="157" customFormat="1" ht="12.75">
      <c r="C1588" s="160"/>
      <c r="D1588" s="152"/>
      <c r="E1588" s="55"/>
      <c r="F1588" s="55"/>
      <c r="G1588" s="55"/>
      <c r="H1588" s="55"/>
      <c r="I1588" s="545"/>
    </row>
    <row r="1589" spans="3:9" s="157" customFormat="1" ht="12.75">
      <c r="C1589" s="160"/>
      <c r="D1589" s="152"/>
      <c r="E1589" s="55"/>
      <c r="F1589" s="55"/>
      <c r="G1589" s="55"/>
      <c r="H1589" s="55"/>
      <c r="I1589" s="545"/>
    </row>
    <row r="1590" spans="3:9" s="157" customFormat="1" ht="12.75">
      <c r="C1590" s="160"/>
      <c r="D1590" s="152"/>
      <c r="E1590" s="55"/>
      <c r="F1590" s="55"/>
      <c r="G1590" s="55"/>
      <c r="H1590" s="55"/>
      <c r="I1590" s="545"/>
    </row>
    <row r="1591" spans="3:9" s="157" customFormat="1" ht="12.75">
      <c r="C1591" s="160"/>
      <c r="D1591" s="152"/>
      <c r="E1591" s="55"/>
      <c r="F1591" s="55"/>
      <c r="G1591" s="55"/>
      <c r="H1591" s="55"/>
      <c r="I1591" s="545"/>
    </row>
    <row r="1592" spans="3:9" s="157" customFormat="1" ht="12.75">
      <c r="C1592" s="160"/>
      <c r="D1592" s="152"/>
      <c r="E1592" s="55"/>
      <c r="F1592" s="55"/>
      <c r="G1592" s="55"/>
      <c r="H1592" s="55"/>
      <c r="I1592" s="545"/>
    </row>
    <row r="1593" spans="3:9" s="157" customFormat="1" ht="12.75">
      <c r="C1593" s="160"/>
      <c r="D1593" s="152"/>
      <c r="E1593" s="55"/>
      <c r="F1593" s="55"/>
      <c r="G1593" s="55"/>
      <c r="H1593" s="55"/>
      <c r="I1593" s="545"/>
    </row>
    <row r="1594" spans="3:9" s="157" customFormat="1" ht="12.75">
      <c r="C1594" s="160"/>
      <c r="D1594" s="152"/>
      <c r="E1594" s="55"/>
      <c r="F1594" s="55"/>
      <c r="G1594" s="55"/>
      <c r="H1594" s="55"/>
      <c r="I1594" s="545"/>
    </row>
    <row r="1595" spans="3:9" s="157" customFormat="1" ht="12.75">
      <c r="C1595" s="160"/>
      <c r="D1595" s="152"/>
      <c r="E1595" s="55"/>
      <c r="F1595" s="55"/>
      <c r="G1595" s="55"/>
      <c r="H1595" s="55"/>
      <c r="I1595" s="545"/>
    </row>
    <row r="1596" spans="3:9" s="157" customFormat="1" ht="12.75">
      <c r="C1596" s="160"/>
      <c r="D1596" s="152"/>
      <c r="E1596" s="55"/>
      <c r="F1596" s="55"/>
      <c r="G1596" s="55"/>
      <c r="H1596" s="55"/>
      <c r="I1596" s="545"/>
    </row>
    <row r="1597" spans="3:9" s="157" customFormat="1" ht="12.75">
      <c r="C1597" s="160"/>
      <c r="D1597" s="152"/>
      <c r="E1597" s="55"/>
      <c r="F1597" s="55"/>
      <c r="G1597" s="55"/>
      <c r="H1597" s="55"/>
      <c r="I1597" s="545"/>
    </row>
    <row r="1598" spans="3:9" s="157" customFormat="1" ht="12.75">
      <c r="C1598" s="160"/>
      <c r="D1598" s="152"/>
      <c r="E1598" s="55"/>
      <c r="F1598" s="55"/>
      <c r="G1598" s="55"/>
      <c r="H1598" s="55"/>
      <c r="I1598" s="545"/>
    </row>
    <row r="1599" spans="3:9" s="157" customFormat="1" ht="12.75">
      <c r="C1599" s="160"/>
      <c r="D1599" s="152"/>
      <c r="E1599" s="55"/>
      <c r="F1599" s="55"/>
      <c r="G1599" s="55"/>
      <c r="H1599" s="55"/>
      <c r="I1599" s="545"/>
    </row>
    <row r="1600" spans="3:9" s="157" customFormat="1" ht="12.75">
      <c r="C1600" s="160"/>
      <c r="D1600" s="152"/>
      <c r="E1600" s="55"/>
      <c r="F1600" s="55"/>
      <c r="G1600" s="55"/>
      <c r="H1600" s="55"/>
      <c r="I1600" s="545"/>
    </row>
    <row r="1601" spans="3:9" s="157" customFormat="1" ht="12.75">
      <c r="C1601" s="160"/>
      <c r="D1601" s="152"/>
      <c r="E1601" s="55"/>
      <c r="F1601" s="55"/>
      <c r="G1601" s="55"/>
      <c r="H1601" s="55"/>
      <c r="I1601" s="545"/>
    </row>
    <row r="1602" spans="3:9" s="157" customFormat="1" ht="12.75">
      <c r="C1602" s="160"/>
      <c r="D1602" s="152"/>
      <c r="E1602" s="55"/>
      <c r="F1602" s="55"/>
      <c r="G1602" s="55"/>
      <c r="H1602" s="55"/>
      <c r="I1602" s="545"/>
    </row>
    <row r="1603" spans="3:9" s="157" customFormat="1" ht="12.75">
      <c r="C1603" s="160"/>
      <c r="D1603" s="152"/>
      <c r="E1603" s="55"/>
      <c r="F1603" s="55"/>
      <c r="G1603" s="55"/>
      <c r="H1603" s="55"/>
      <c r="I1603" s="545"/>
    </row>
    <row r="1604" spans="3:9" s="157" customFormat="1" ht="12.75">
      <c r="C1604" s="160"/>
      <c r="D1604" s="152"/>
      <c r="E1604" s="55"/>
      <c r="F1604" s="55"/>
      <c r="G1604" s="55"/>
      <c r="H1604" s="55"/>
      <c r="I1604" s="545"/>
    </row>
    <row r="1605" spans="3:9" s="157" customFormat="1" ht="12.75">
      <c r="C1605" s="160"/>
      <c r="D1605" s="152"/>
      <c r="E1605" s="55"/>
      <c r="F1605" s="55"/>
      <c r="G1605" s="55"/>
      <c r="H1605" s="55"/>
      <c r="I1605" s="545"/>
    </row>
    <row r="1606" spans="3:9" s="157" customFormat="1" ht="12.75">
      <c r="C1606" s="160"/>
      <c r="D1606" s="152"/>
      <c r="E1606" s="55"/>
      <c r="F1606" s="55"/>
      <c r="G1606" s="55"/>
      <c r="H1606" s="55"/>
      <c r="I1606" s="545"/>
    </row>
    <row r="1607" spans="3:9" s="157" customFormat="1" ht="12.75">
      <c r="C1607" s="160"/>
      <c r="D1607" s="152"/>
      <c r="E1607" s="55"/>
      <c r="F1607" s="55"/>
      <c r="G1607" s="55"/>
      <c r="H1607" s="55"/>
      <c r="I1607" s="545"/>
    </row>
    <row r="1608" spans="3:9" s="157" customFormat="1" ht="12.75">
      <c r="C1608" s="160"/>
      <c r="D1608" s="152"/>
      <c r="E1608" s="55"/>
      <c r="F1608" s="55"/>
      <c r="G1608" s="55"/>
      <c r="H1608" s="55"/>
      <c r="I1608" s="545"/>
    </row>
    <row r="1609" spans="3:9" s="157" customFormat="1" ht="12.75">
      <c r="C1609" s="160"/>
      <c r="D1609" s="152"/>
      <c r="E1609" s="55"/>
      <c r="F1609" s="55"/>
      <c r="G1609" s="55"/>
      <c r="H1609" s="55"/>
      <c r="I1609" s="545"/>
    </row>
    <row r="1610" spans="3:9" s="157" customFormat="1" ht="12.75">
      <c r="C1610" s="160"/>
      <c r="D1610" s="152"/>
      <c r="E1610" s="55"/>
      <c r="F1610" s="55"/>
      <c r="G1610" s="55"/>
      <c r="H1610" s="55"/>
      <c r="I1610" s="545"/>
    </row>
    <row r="1611" spans="3:9" s="157" customFormat="1" ht="12.75">
      <c r="C1611" s="160"/>
      <c r="D1611" s="152"/>
      <c r="E1611" s="55"/>
      <c r="F1611" s="55"/>
      <c r="G1611" s="55"/>
      <c r="H1611" s="55"/>
      <c r="I1611" s="545"/>
    </row>
    <row r="1612" spans="3:9" s="157" customFormat="1" ht="12.75">
      <c r="C1612" s="160"/>
      <c r="D1612" s="152"/>
      <c r="E1612" s="55"/>
      <c r="F1612" s="55"/>
      <c r="G1612" s="55"/>
      <c r="H1612" s="55"/>
      <c r="I1612" s="545"/>
    </row>
    <row r="1613" spans="3:9" s="157" customFormat="1" ht="12.75">
      <c r="C1613" s="160"/>
      <c r="D1613" s="152"/>
      <c r="E1613" s="55"/>
      <c r="F1613" s="55"/>
      <c r="G1613" s="55"/>
      <c r="H1613" s="55"/>
      <c r="I1613" s="545"/>
    </row>
    <row r="1614" spans="3:9" s="157" customFormat="1" ht="12.75">
      <c r="C1614" s="160"/>
      <c r="D1614" s="152"/>
      <c r="E1614" s="55"/>
      <c r="F1614" s="55"/>
      <c r="G1614" s="55"/>
      <c r="H1614" s="55"/>
      <c r="I1614" s="545"/>
    </row>
  </sheetData>
  <mergeCells count="1">
    <mergeCell ref="G8:H8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workbookViewId="0" topLeftCell="A73">
      <selection activeCell="O12" sqref="O12"/>
    </sheetView>
  </sheetViews>
  <sheetFormatPr defaultColWidth="9.140625" defaultRowHeight="12.75"/>
  <cols>
    <col min="1" max="1" width="4.57421875" style="217" customWidth="1"/>
    <col min="2" max="2" width="5.28125" style="22" customWidth="1"/>
    <col min="3" max="3" width="6.140625" style="22" customWidth="1"/>
    <col min="4" max="4" width="5.28125" style="225" customWidth="1"/>
    <col min="5" max="5" width="33.00390625" style="161" customWidth="1"/>
    <col min="6" max="6" width="12.7109375" style="217" customWidth="1"/>
    <col min="7" max="7" width="11.28125" style="217" customWidth="1"/>
    <col min="8" max="8" width="15.140625" style="22" hidden="1" customWidth="1"/>
    <col min="9" max="9" width="12.7109375" style="85" customWidth="1"/>
    <col min="10" max="10" width="11.140625" style="160" customWidth="1"/>
    <col min="11" max="11" width="7.7109375" style="877" customWidth="1"/>
    <col min="12" max="12" width="22.7109375" style="1009" customWidth="1"/>
    <col min="13" max="13" width="9.28125" style="553" customWidth="1"/>
    <col min="14" max="14" width="10.140625" style="542" bestFit="1" customWidth="1"/>
    <col min="15" max="15" width="9.140625" style="542" customWidth="1"/>
    <col min="16" max="16384" width="9.140625" style="22" customWidth="1"/>
  </cols>
  <sheetData>
    <row r="1" spans="1:12" ht="20.25">
      <c r="A1" s="116"/>
      <c r="B1" s="124"/>
      <c r="C1" s="124"/>
      <c r="D1" s="116"/>
      <c r="E1" s="85"/>
      <c r="F1" s="165"/>
      <c r="G1" s="22"/>
      <c r="L1" s="216" t="s">
        <v>539</v>
      </c>
    </row>
    <row r="2" spans="1:12" ht="20.25">
      <c r="A2" s="116"/>
      <c r="B2" s="124"/>
      <c r="C2" s="124"/>
      <c r="D2" s="116"/>
      <c r="E2" s="85"/>
      <c r="F2" s="165"/>
      <c r="G2" s="22"/>
      <c r="L2" s="216"/>
    </row>
    <row r="3" spans="1:7" ht="19.5">
      <c r="A3" s="116"/>
      <c r="B3" s="414"/>
      <c r="C3" s="879" t="s">
        <v>293</v>
      </c>
      <c r="D3" s="880"/>
      <c r="E3" s="881"/>
      <c r="F3" s="882"/>
      <c r="G3" s="882"/>
    </row>
    <row r="4" spans="1:7" ht="19.5">
      <c r="A4" s="116"/>
      <c r="B4" s="414"/>
      <c r="C4" s="879" t="s">
        <v>294</v>
      </c>
      <c r="D4" s="880"/>
      <c r="E4" s="881"/>
      <c r="F4" s="882"/>
      <c r="G4" s="885"/>
    </row>
    <row r="5" spans="1:7" ht="19.5">
      <c r="A5" s="116"/>
      <c r="B5" s="414"/>
      <c r="C5" s="879"/>
      <c r="D5" s="880"/>
      <c r="E5" s="881"/>
      <c r="F5" s="882"/>
      <c r="G5" s="885"/>
    </row>
    <row r="6" spans="1:7" ht="18.75">
      <c r="A6" s="116"/>
      <c r="B6" s="414"/>
      <c r="C6" s="412"/>
      <c r="D6" s="880"/>
      <c r="E6" s="881"/>
      <c r="F6" s="882"/>
      <c r="G6" s="882"/>
    </row>
    <row r="7" spans="1:11" ht="12.75">
      <c r="A7" s="116"/>
      <c r="B7" s="414" t="s">
        <v>201</v>
      </c>
      <c r="C7" s="886"/>
      <c r="D7" s="887"/>
      <c r="E7" s="881"/>
      <c r="F7" s="888"/>
      <c r="G7" s="888"/>
      <c r="I7" s="881"/>
      <c r="J7" s="881" t="s">
        <v>202</v>
      </c>
      <c r="K7" s="888"/>
    </row>
    <row r="8" spans="1:13" ht="18.75" customHeight="1">
      <c r="A8" s="13"/>
      <c r="B8" s="889"/>
      <c r="C8" s="890"/>
      <c r="D8" s="891"/>
      <c r="E8" s="889"/>
      <c r="F8" s="322" t="s">
        <v>381</v>
      </c>
      <c r="G8" s="892"/>
      <c r="I8" s="322" t="s">
        <v>382</v>
      </c>
      <c r="J8" s="893"/>
      <c r="K8" s="1036" t="s">
        <v>383</v>
      </c>
      <c r="L8" s="1038" t="s">
        <v>384</v>
      </c>
      <c r="M8" s="1040" t="s">
        <v>385</v>
      </c>
    </row>
    <row r="9" spans="1:15" ht="18.75" customHeight="1">
      <c r="A9" s="51" t="s">
        <v>386</v>
      </c>
      <c r="B9" s="894" t="s">
        <v>203</v>
      </c>
      <c r="C9" s="895" t="s">
        <v>204</v>
      </c>
      <c r="D9" s="895" t="s">
        <v>387</v>
      </c>
      <c r="E9" s="894" t="s">
        <v>388</v>
      </c>
      <c r="F9" s="896"/>
      <c r="G9" s="383" t="s">
        <v>173</v>
      </c>
      <c r="I9" s="896"/>
      <c r="J9" s="395" t="s">
        <v>173</v>
      </c>
      <c r="K9" s="1037"/>
      <c r="L9" s="1039"/>
      <c r="M9" s="1041"/>
      <c r="O9" s="22"/>
    </row>
    <row r="10" spans="1:15" ht="40.5" customHeight="1">
      <c r="A10" s="1"/>
      <c r="B10" s="897"/>
      <c r="C10" s="898"/>
      <c r="D10" s="899"/>
      <c r="E10" s="897"/>
      <c r="F10" s="900" t="s">
        <v>322</v>
      </c>
      <c r="G10" s="901" t="s">
        <v>389</v>
      </c>
      <c r="I10" s="900" t="s">
        <v>322</v>
      </c>
      <c r="J10" s="901" t="s">
        <v>389</v>
      </c>
      <c r="K10" s="1037"/>
      <c r="L10" s="1039"/>
      <c r="M10" s="1041"/>
      <c r="O10" s="22"/>
    </row>
    <row r="11" spans="1:13" ht="21" customHeight="1">
      <c r="A11" s="13"/>
      <c r="B11" s="902" t="s">
        <v>390</v>
      </c>
      <c r="C11" s="903"/>
      <c r="D11" s="904"/>
      <c r="E11" s="905"/>
      <c r="F11" s="906">
        <f>F12+F19+F24+F29+F35+F64+F38+F67+F109+F114</f>
        <v>34603676.19</v>
      </c>
      <c r="G11" s="907">
        <f>G12+G19+G24+G29+G38+G67+G109</f>
        <v>7570974.36</v>
      </c>
      <c r="I11" s="132">
        <f>I12+I19+I24+I29+I35+I38+I64+I67+I109+I114</f>
        <v>15760489.959999999</v>
      </c>
      <c r="J11" s="132">
        <f>J12+J19+J24+J29+J35+J38+J64+J67+J109+J114</f>
        <v>4947356.48</v>
      </c>
      <c r="K11" s="908">
        <f>I11/F11*100</f>
        <v>45.54570986464892</v>
      </c>
      <c r="L11" s="170"/>
      <c r="M11" s="255"/>
    </row>
    <row r="12" spans="1:13" ht="24.75" customHeight="1">
      <c r="A12" s="2"/>
      <c r="B12" s="58">
        <v>600</v>
      </c>
      <c r="C12" s="58"/>
      <c r="D12" s="102"/>
      <c r="E12" s="909" t="s">
        <v>210</v>
      </c>
      <c r="F12" s="910">
        <f>F13</f>
        <v>2075200</v>
      </c>
      <c r="G12" s="132">
        <f>G13</f>
        <v>179242.73</v>
      </c>
      <c r="I12" s="132">
        <f>I13</f>
        <v>166712.32</v>
      </c>
      <c r="J12" s="132">
        <f>J13</f>
        <v>0</v>
      </c>
      <c r="K12" s="908">
        <f aca="true" t="shared" si="0" ref="K12:K70">I12/F12*100</f>
        <v>8.033554356206631</v>
      </c>
      <c r="L12" s="170"/>
      <c r="M12" s="255"/>
    </row>
    <row r="13" spans="1:13" ht="27.75" customHeight="1">
      <c r="A13" s="1"/>
      <c r="B13" s="911"/>
      <c r="C13" s="914">
        <v>60016</v>
      </c>
      <c r="D13" s="915"/>
      <c r="E13" s="916" t="s">
        <v>391</v>
      </c>
      <c r="F13" s="917">
        <f>SUM(F14:F18)</f>
        <v>2075200</v>
      </c>
      <c r="G13" s="917">
        <f>SUM(G14:G18)</f>
        <v>179242.73</v>
      </c>
      <c r="H13" s="917">
        <f>SUM(H14:H18)</f>
        <v>0</v>
      </c>
      <c r="I13" s="917">
        <f>SUM(I14:I18)</f>
        <v>166712.32</v>
      </c>
      <c r="J13" s="917">
        <f>SUM(J14:J18)</f>
        <v>0</v>
      </c>
      <c r="K13" s="918">
        <f t="shared" si="0"/>
        <v>8.033554356206631</v>
      </c>
      <c r="L13" s="170"/>
      <c r="M13" s="255"/>
    </row>
    <row r="14" spans="1:15" s="919" customFormat="1" ht="42" customHeight="1">
      <c r="A14" s="2">
        <v>1</v>
      </c>
      <c r="B14" s="9"/>
      <c r="C14" s="7"/>
      <c r="D14" s="4">
        <v>6050</v>
      </c>
      <c r="E14" s="432" t="s">
        <v>392</v>
      </c>
      <c r="F14" s="118">
        <f>2267036-130000-325000-10600</f>
        <v>1801436</v>
      </c>
      <c r="G14" s="96">
        <v>179242.73</v>
      </c>
      <c r="I14" s="96">
        <v>0</v>
      </c>
      <c r="J14" s="96">
        <v>0</v>
      </c>
      <c r="K14" s="920"/>
      <c r="L14" s="170" t="s">
        <v>393</v>
      </c>
      <c r="M14" s="255">
        <v>2015</v>
      </c>
      <c r="N14" s="921"/>
      <c r="O14" s="921"/>
    </row>
    <row r="15" spans="1:15" s="919" customFormat="1" ht="42.75" customHeight="1">
      <c r="A15" s="2">
        <v>2</v>
      </c>
      <c r="B15" s="9"/>
      <c r="C15" s="7"/>
      <c r="D15" s="4">
        <v>6050</v>
      </c>
      <c r="E15" s="432" t="s">
        <v>394</v>
      </c>
      <c r="F15" s="118">
        <f>200000-49500</f>
        <v>150500</v>
      </c>
      <c r="G15" s="96">
        <v>0</v>
      </c>
      <c r="I15" s="96">
        <v>150212.32</v>
      </c>
      <c r="J15" s="96">
        <v>0</v>
      </c>
      <c r="K15" s="920">
        <f t="shared" si="0"/>
        <v>99.80885049833887</v>
      </c>
      <c r="L15" s="170" t="s">
        <v>395</v>
      </c>
      <c r="M15" s="255" t="s">
        <v>396</v>
      </c>
      <c r="N15" s="921"/>
      <c r="O15" s="921"/>
    </row>
    <row r="16" spans="1:15" s="919" customFormat="1" ht="51" customHeight="1">
      <c r="A16" s="1">
        <v>3</v>
      </c>
      <c r="B16" s="9"/>
      <c r="C16" s="7"/>
      <c r="D16" s="4">
        <v>6050</v>
      </c>
      <c r="E16" s="432" t="s">
        <v>397</v>
      </c>
      <c r="F16" s="118">
        <f>43000-41500</f>
        <v>1500</v>
      </c>
      <c r="G16" s="96">
        <v>0</v>
      </c>
      <c r="I16" s="96">
        <v>1500</v>
      </c>
      <c r="J16" s="96">
        <v>0</v>
      </c>
      <c r="K16" s="920">
        <f t="shared" si="0"/>
        <v>100</v>
      </c>
      <c r="L16" s="170" t="s">
        <v>398</v>
      </c>
      <c r="M16" s="255" t="s">
        <v>295</v>
      </c>
      <c r="N16" s="921"/>
      <c r="O16" s="921"/>
    </row>
    <row r="17" spans="1:15" s="919" customFormat="1" ht="43.5" customHeight="1">
      <c r="A17" s="1">
        <v>4</v>
      </c>
      <c r="B17" s="21"/>
      <c r="C17" s="1"/>
      <c r="D17" s="4">
        <v>6050</v>
      </c>
      <c r="E17" s="432" t="s">
        <v>296</v>
      </c>
      <c r="F17" s="118">
        <v>106764</v>
      </c>
      <c r="G17" s="96">
        <v>0</v>
      </c>
      <c r="H17" s="1013"/>
      <c r="I17" s="96">
        <v>0</v>
      </c>
      <c r="J17" s="96">
        <v>0</v>
      </c>
      <c r="K17" s="920"/>
      <c r="L17" s="170" t="s">
        <v>400</v>
      </c>
      <c r="M17" s="255">
        <v>2015</v>
      </c>
      <c r="N17" s="921"/>
      <c r="O17" s="921"/>
    </row>
    <row r="18" spans="1:15" s="919" customFormat="1" ht="29.25" customHeight="1">
      <c r="A18" s="1">
        <v>5</v>
      </c>
      <c r="B18" s="9"/>
      <c r="C18" s="7"/>
      <c r="D18" s="21">
        <v>6060</v>
      </c>
      <c r="E18" s="532" t="s">
        <v>401</v>
      </c>
      <c r="F18" s="301">
        <v>15000</v>
      </c>
      <c r="G18" s="250">
        <v>0</v>
      </c>
      <c r="I18" s="250">
        <v>15000</v>
      </c>
      <c r="J18" s="250">
        <v>0</v>
      </c>
      <c r="K18" s="1012">
        <f t="shared" si="0"/>
        <v>100</v>
      </c>
      <c r="L18" s="205" t="s">
        <v>402</v>
      </c>
      <c r="M18" s="86" t="s">
        <v>403</v>
      </c>
      <c r="N18" s="921"/>
      <c r="O18" s="921"/>
    </row>
    <row r="19" spans="1:13" ht="23.25" customHeight="1">
      <c r="A19" s="5"/>
      <c r="B19" s="58">
        <v>700</v>
      </c>
      <c r="C19" s="58"/>
      <c r="D19" s="102"/>
      <c r="E19" s="922" t="s">
        <v>277</v>
      </c>
      <c r="F19" s="923">
        <f>F20+F22</f>
        <v>2271793.8899999997</v>
      </c>
      <c r="G19" s="924">
        <f>G20+G22</f>
        <v>634944.51</v>
      </c>
      <c r="I19" s="132">
        <f>I20+I22</f>
        <v>1575485.9</v>
      </c>
      <c r="J19" s="132">
        <f>J20+J22</f>
        <v>4255.62</v>
      </c>
      <c r="K19" s="908">
        <f t="shared" si="0"/>
        <v>69.34986078336534</v>
      </c>
      <c r="L19" s="170"/>
      <c r="M19" s="255"/>
    </row>
    <row r="20" spans="1:14" ht="27" customHeight="1">
      <c r="A20" s="2"/>
      <c r="B20" s="103"/>
      <c r="C20" s="925">
        <v>70005</v>
      </c>
      <c r="D20" s="915"/>
      <c r="E20" s="916" t="s">
        <v>249</v>
      </c>
      <c r="F20" s="917">
        <f>SUM(F21:F21)</f>
        <v>741105</v>
      </c>
      <c r="G20" s="926">
        <f>SUM(G21:G21)</f>
        <v>0</v>
      </c>
      <c r="I20" s="554">
        <f>I21</f>
        <v>675485.9</v>
      </c>
      <c r="J20" s="554">
        <f>J21</f>
        <v>0</v>
      </c>
      <c r="K20" s="918">
        <f t="shared" si="0"/>
        <v>91.14577556486599</v>
      </c>
      <c r="L20" s="170"/>
      <c r="M20" s="255"/>
      <c r="N20" s="927"/>
    </row>
    <row r="21" spans="1:14" ht="29.25" customHeight="1">
      <c r="A21" s="2">
        <v>6</v>
      </c>
      <c r="B21" s="62"/>
      <c r="C21" s="928"/>
      <c r="D21" s="4">
        <v>6060</v>
      </c>
      <c r="E21" s="432" t="s">
        <v>404</v>
      </c>
      <c r="F21" s="929">
        <f>1118622+137000+50000-570000+5483</f>
        <v>741105</v>
      </c>
      <c r="G21" s="531">
        <v>0</v>
      </c>
      <c r="I21" s="96">
        <f>674500.9+985</f>
        <v>675485.9</v>
      </c>
      <c r="J21" s="96">
        <v>0</v>
      </c>
      <c r="K21" s="920">
        <f t="shared" si="0"/>
        <v>91.14577556486599</v>
      </c>
      <c r="L21" s="170" t="s">
        <v>297</v>
      </c>
      <c r="M21" s="255" t="s">
        <v>399</v>
      </c>
      <c r="N21" s="927"/>
    </row>
    <row r="22" spans="1:14" ht="24.75" customHeight="1">
      <c r="A22" s="2"/>
      <c r="B22" s="93"/>
      <c r="C22" s="94">
        <v>70095</v>
      </c>
      <c r="D22" s="95"/>
      <c r="E22" s="916" t="s">
        <v>250</v>
      </c>
      <c r="F22" s="917">
        <f>SUM(F23:F23)</f>
        <v>1530688.89</v>
      </c>
      <c r="G22" s="926">
        <f>SUM(G23:G23)</f>
        <v>634944.51</v>
      </c>
      <c r="I22" s="554">
        <f>I23</f>
        <v>900000</v>
      </c>
      <c r="J22" s="554">
        <f>J23</f>
        <v>4255.62</v>
      </c>
      <c r="K22" s="918">
        <f t="shared" si="0"/>
        <v>58.79705574919277</v>
      </c>
      <c r="L22" s="170"/>
      <c r="M22" s="255"/>
      <c r="N22" s="927"/>
    </row>
    <row r="23" spans="1:13" ht="80.25" customHeight="1">
      <c r="A23" s="2">
        <v>7</v>
      </c>
      <c r="B23" s="93"/>
      <c r="C23" s="911"/>
      <c r="D23" s="2">
        <v>6010</v>
      </c>
      <c r="E23" s="370" t="s">
        <v>405</v>
      </c>
      <c r="F23" s="929">
        <v>1530688.89</v>
      </c>
      <c r="G23" s="531">
        <v>634944.51</v>
      </c>
      <c r="I23" s="96">
        <v>900000</v>
      </c>
      <c r="J23" s="96">
        <v>4255.62</v>
      </c>
      <c r="K23" s="920">
        <f t="shared" si="0"/>
        <v>58.79705574919277</v>
      </c>
      <c r="L23" s="170" t="s">
        <v>406</v>
      </c>
      <c r="M23" s="255">
        <v>2015</v>
      </c>
    </row>
    <row r="24" spans="1:13" ht="24.75" customHeight="1">
      <c r="A24" s="10"/>
      <c r="B24" s="58">
        <v>750</v>
      </c>
      <c r="C24" s="58"/>
      <c r="D24" s="102"/>
      <c r="E24" s="332" t="s">
        <v>251</v>
      </c>
      <c r="F24" s="930">
        <f>F25</f>
        <v>150000</v>
      </c>
      <c r="G24" s="931">
        <f>G25</f>
        <v>0</v>
      </c>
      <c r="I24" s="132">
        <f>I25</f>
        <v>93472.81</v>
      </c>
      <c r="J24" s="132">
        <f>J25</f>
        <v>0</v>
      </c>
      <c r="K24" s="908">
        <f t="shared" si="0"/>
        <v>62.31520666666667</v>
      </c>
      <c r="L24" s="170"/>
      <c r="M24" s="255"/>
    </row>
    <row r="25" spans="1:13" ht="27" customHeight="1">
      <c r="A25" s="2"/>
      <c r="B25" s="932"/>
      <c r="C25" s="94">
        <v>75023</v>
      </c>
      <c r="D25" s="95"/>
      <c r="E25" s="933" t="s">
        <v>308</v>
      </c>
      <c r="F25" s="934">
        <f>SUM(F26:F28)</f>
        <v>150000</v>
      </c>
      <c r="G25" s="935">
        <f>SUM(G37:G37)</f>
        <v>0</v>
      </c>
      <c r="I25" s="554">
        <f>I26+I27+I28</f>
        <v>93472.81</v>
      </c>
      <c r="J25" s="554">
        <f>J26+J27+J28</f>
        <v>0</v>
      </c>
      <c r="K25" s="918">
        <f t="shared" si="0"/>
        <v>62.31520666666667</v>
      </c>
      <c r="L25" s="170"/>
      <c r="M25" s="255"/>
    </row>
    <row r="26" spans="1:13" ht="27" customHeight="1">
      <c r="A26" s="2">
        <v>8</v>
      </c>
      <c r="B26" s="210"/>
      <c r="C26" s="93"/>
      <c r="D26" s="4">
        <v>6050</v>
      </c>
      <c r="E26" s="936" t="s">
        <v>407</v>
      </c>
      <c r="F26" s="937">
        <v>60000</v>
      </c>
      <c r="G26" s="531">
        <v>0</v>
      </c>
      <c r="I26" s="96">
        <v>6000</v>
      </c>
      <c r="J26" s="96">
        <v>0</v>
      </c>
      <c r="K26" s="920">
        <f t="shared" si="0"/>
        <v>10</v>
      </c>
      <c r="L26" s="448" t="s">
        <v>408</v>
      </c>
      <c r="M26" s="255">
        <v>2015</v>
      </c>
    </row>
    <row r="27" spans="1:13" ht="41.25" customHeight="1">
      <c r="A27" s="2">
        <v>9</v>
      </c>
      <c r="B27" s="210"/>
      <c r="C27" s="93"/>
      <c r="D27" s="4">
        <v>6050</v>
      </c>
      <c r="E27" s="936" t="s">
        <v>409</v>
      </c>
      <c r="F27" s="937">
        <v>40000</v>
      </c>
      <c r="G27" s="531">
        <v>0</v>
      </c>
      <c r="I27" s="96">
        <v>37515</v>
      </c>
      <c r="J27" s="96">
        <v>0</v>
      </c>
      <c r="K27" s="920">
        <f t="shared" si="0"/>
        <v>93.7875</v>
      </c>
      <c r="L27" s="1010" t="s">
        <v>410</v>
      </c>
      <c r="M27" s="255" t="s">
        <v>403</v>
      </c>
    </row>
    <row r="28" spans="1:13" ht="25.5" customHeight="1">
      <c r="A28" s="2">
        <v>10</v>
      </c>
      <c r="B28" s="210"/>
      <c r="C28" s="93"/>
      <c r="D28" s="4">
        <v>6060</v>
      </c>
      <c r="E28" s="936" t="s">
        <v>411</v>
      </c>
      <c r="F28" s="937">
        <f>150000-100000</f>
        <v>50000</v>
      </c>
      <c r="G28" s="531">
        <v>0</v>
      </c>
      <c r="I28" s="96">
        <v>49957.81</v>
      </c>
      <c r="J28" s="96">
        <v>0</v>
      </c>
      <c r="K28" s="920">
        <f t="shared" si="0"/>
        <v>99.91561999999999</v>
      </c>
      <c r="L28" s="170" t="s">
        <v>412</v>
      </c>
      <c r="M28" s="255" t="s">
        <v>403</v>
      </c>
    </row>
    <row r="29" spans="1:13" ht="30" customHeight="1">
      <c r="A29" s="2"/>
      <c r="B29" s="58">
        <v>754</v>
      </c>
      <c r="C29" s="58"/>
      <c r="D29" s="10"/>
      <c r="E29" s="938" t="s">
        <v>252</v>
      </c>
      <c r="F29" s="923">
        <f>F30+F33</f>
        <v>43212</v>
      </c>
      <c r="G29" s="924">
        <f>G30+G33</f>
        <v>0</v>
      </c>
      <c r="H29" s="1015"/>
      <c r="I29" s="132">
        <f>I30+I33</f>
        <v>23129.4</v>
      </c>
      <c r="J29" s="132">
        <f>J30+J33</f>
        <v>0</v>
      </c>
      <c r="K29" s="908">
        <f t="shared" si="0"/>
        <v>53.5254096084421</v>
      </c>
      <c r="L29" s="170"/>
      <c r="M29" s="255"/>
    </row>
    <row r="30" spans="1:13" ht="28.5" customHeight="1">
      <c r="A30" s="1"/>
      <c r="B30" s="83"/>
      <c r="C30" s="93">
        <v>75412</v>
      </c>
      <c r="D30" s="35"/>
      <c r="E30" s="939" t="s">
        <v>413</v>
      </c>
      <c r="F30" s="934">
        <f>F31+F32</f>
        <v>24212</v>
      </c>
      <c r="G30" s="935">
        <f>G31</f>
        <v>0</v>
      </c>
      <c r="I30" s="211">
        <f>I31+I32</f>
        <v>4212</v>
      </c>
      <c r="J30" s="211">
        <f>J31+J32</f>
        <v>0</v>
      </c>
      <c r="K30" s="1014">
        <f t="shared" si="0"/>
        <v>17.396332397158435</v>
      </c>
      <c r="L30" s="205"/>
      <c r="M30" s="86"/>
    </row>
    <row r="31" spans="1:13" ht="26.25" customHeight="1">
      <c r="A31" s="2">
        <v>11</v>
      </c>
      <c r="B31" s="70"/>
      <c r="C31" s="63"/>
      <c r="D31" s="4">
        <v>6060</v>
      </c>
      <c r="E31" s="432" t="s">
        <v>414</v>
      </c>
      <c r="F31" s="929">
        <f>6000-1788</f>
        <v>4212</v>
      </c>
      <c r="G31" s="531">
        <v>0</v>
      </c>
      <c r="I31" s="96">
        <v>4212</v>
      </c>
      <c r="J31" s="96">
        <v>0</v>
      </c>
      <c r="K31" s="920">
        <f t="shared" si="0"/>
        <v>100</v>
      </c>
      <c r="L31" s="170" t="s">
        <v>415</v>
      </c>
      <c r="M31" s="255" t="s">
        <v>403</v>
      </c>
    </row>
    <row r="32" spans="1:13" ht="33.75" customHeight="1">
      <c r="A32" s="2">
        <v>12</v>
      </c>
      <c r="B32" s="70"/>
      <c r="C32" s="62"/>
      <c r="D32" s="2">
        <v>6230</v>
      </c>
      <c r="E32" s="940" t="s">
        <v>676</v>
      </c>
      <c r="F32" s="941">
        <v>20000</v>
      </c>
      <c r="G32" s="942">
        <v>0</v>
      </c>
      <c r="I32" s="96">
        <v>0</v>
      </c>
      <c r="J32" s="96">
        <v>0</v>
      </c>
      <c r="K32" s="920"/>
      <c r="L32" s="170" t="s">
        <v>416</v>
      </c>
      <c r="M32" s="255">
        <v>2015</v>
      </c>
    </row>
    <row r="33" spans="1:13" ht="26.25" customHeight="1">
      <c r="A33" s="2"/>
      <c r="B33" s="83"/>
      <c r="C33" s="94">
        <v>75414</v>
      </c>
      <c r="D33" s="24"/>
      <c r="E33" s="939" t="s">
        <v>417</v>
      </c>
      <c r="F33" s="934">
        <f>SUM(F34)</f>
        <v>19000</v>
      </c>
      <c r="G33" s="935">
        <f>SUM(G34)</f>
        <v>0</v>
      </c>
      <c r="I33" s="554">
        <f>I34</f>
        <v>18917.4</v>
      </c>
      <c r="J33" s="554">
        <f>J34</f>
        <v>0</v>
      </c>
      <c r="K33" s="918">
        <f t="shared" si="0"/>
        <v>99.56526315789475</v>
      </c>
      <c r="L33" s="170"/>
      <c r="M33" s="255"/>
    </row>
    <row r="34" spans="1:13" ht="29.25" customHeight="1">
      <c r="A34" s="2">
        <v>13</v>
      </c>
      <c r="B34" s="62"/>
      <c r="C34" s="943"/>
      <c r="D34" s="944">
        <v>6060</v>
      </c>
      <c r="E34" s="432" t="s">
        <v>414</v>
      </c>
      <c r="F34" s="118">
        <v>19000</v>
      </c>
      <c r="G34" s="96">
        <v>0</v>
      </c>
      <c r="I34" s="96">
        <v>18917.4</v>
      </c>
      <c r="J34" s="96">
        <v>0</v>
      </c>
      <c r="K34" s="920">
        <f t="shared" si="0"/>
        <v>99.56526315789475</v>
      </c>
      <c r="L34" s="170" t="s">
        <v>418</v>
      </c>
      <c r="M34" s="255" t="s">
        <v>403</v>
      </c>
    </row>
    <row r="35" spans="1:13" ht="25.5" customHeight="1">
      <c r="A35" s="2"/>
      <c r="B35" s="58">
        <v>758</v>
      </c>
      <c r="C35" s="59"/>
      <c r="D35" s="102"/>
      <c r="E35" s="922" t="s">
        <v>253</v>
      </c>
      <c r="F35" s="923">
        <f>F36</f>
        <v>157021</v>
      </c>
      <c r="G35" s="924">
        <f>G36</f>
        <v>0</v>
      </c>
      <c r="H35" s="924">
        <f aca="true" t="shared" si="1" ref="H35:J36">H36</f>
        <v>0</v>
      </c>
      <c r="I35" s="924">
        <f t="shared" si="1"/>
        <v>0</v>
      </c>
      <c r="J35" s="924">
        <f t="shared" si="1"/>
        <v>0</v>
      </c>
      <c r="K35" s="908"/>
      <c r="L35" s="170"/>
      <c r="M35" s="255"/>
    </row>
    <row r="36" spans="1:13" ht="27.75" customHeight="1">
      <c r="A36" s="2"/>
      <c r="B36" s="945"/>
      <c r="C36" s="94">
        <v>75818</v>
      </c>
      <c r="D36" s="915"/>
      <c r="E36" s="933" t="s">
        <v>254</v>
      </c>
      <c r="F36" s="934">
        <f>F37</f>
        <v>157021</v>
      </c>
      <c r="G36" s="935">
        <f>G37</f>
        <v>0</v>
      </c>
      <c r="H36" s="935">
        <f t="shared" si="1"/>
        <v>0</v>
      </c>
      <c r="I36" s="935">
        <f t="shared" si="1"/>
        <v>0</v>
      </c>
      <c r="J36" s="935">
        <f t="shared" si="1"/>
        <v>0</v>
      </c>
      <c r="K36" s="920"/>
      <c r="L36" s="170"/>
      <c r="M36" s="255"/>
    </row>
    <row r="37" spans="1:13" ht="33.75" customHeight="1">
      <c r="A37" s="2"/>
      <c r="B37" s="70"/>
      <c r="C37" s="69"/>
      <c r="D37" s="4">
        <v>6800</v>
      </c>
      <c r="E37" s="532" t="s">
        <v>419</v>
      </c>
      <c r="F37" s="118">
        <f>800000-40000-10000-250000-130000-70000-80000+105000-34000-8979-125000</f>
        <v>157021</v>
      </c>
      <c r="G37" s="96">
        <f>500000-500000</f>
        <v>0</v>
      </c>
      <c r="H37" s="96">
        <f>500000-500000</f>
        <v>0</v>
      </c>
      <c r="I37" s="96">
        <f>500000-500000</f>
        <v>0</v>
      </c>
      <c r="J37" s="96">
        <f>500000-500000</f>
        <v>0</v>
      </c>
      <c r="K37" s="920"/>
      <c r="L37" s="170"/>
      <c r="M37" s="255"/>
    </row>
    <row r="38" spans="1:13" ht="24.75" customHeight="1">
      <c r="A38" s="1"/>
      <c r="B38" s="58">
        <v>801</v>
      </c>
      <c r="C38" s="943"/>
      <c r="D38" s="944"/>
      <c r="E38" s="946" t="s">
        <v>255</v>
      </c>
      <c r="F38" s="930">
        <f>F57+F46+F39+F59</f>
        <v>2249274</v>
      </c>
      <c r="G38" s="931">
        <f>G57+G39+G59</f>
        <v>0</v>
      </c>
      <c r="I38" s="132">
        <f>I39+I46+I57+I59</f>
        <v>299406.25</v>
      </c>
      <c r="J38" s="132">
        <f>J39+J46+J57+J59</f>
        <v>0</v>
      </c>
      <c r="K38" s="908">
        <f t="shared" si="0"/>
        <v>13.311239537735286</v>
      </c>
      <c r="L38" s="170"/>
      <c r="M38" s="255"/>
    </row>
    <row r="39" spans="1:13" ht="24.75" customHeight="1">
      <c r="A39" s="1"/>
      <c r="B39" s="70"/>
      <c r="C39" s="103">
        <v>80101</v>
      </c>
      <c r="D39" s="95"/>
      <c r="E39" s="933" t="s">
        <v>256</v>
      </c>
      <c r="F39" s="934">
        <f>SUM(F40:F45)</f>
        <v>967260</v>
      </c>
      <c r="G39" s="934">
        <f>SUM(G40:G45)</f>
        <v>0</v>
      </c>
      <c r="H39" s="934">
        <f>SUM(H40:H45)</f>
        <v>0</v>
      </c>
      <c r="I39" s="934">
        <f>SUM(I40:I45)</f>
        <v>23392.64</v>
      </c>
      <c r="J39" s="934">
        <f>SUM(J40:J45)</f>
        <v>0</v>
      </c>
      <c r="K39" s="918">
        <f t="shared" si="0"/>
        <v>2.418443851704816</v>
      </c>
      <c r="L39" s="170"/>
      <c r="M39" s="255"/>
    </row>
    <row r="40" spans="1:13" ht="27.75" customHeight="1">
      <c r="A40" s="1">
        <v>14</v>
      </c>
      <c r="B40" s="70"/>
      <c r="C40" s="63"/>
      <c r="D40" s="4">
        <v>6050</v>
      </c>
      <c r="E40" s="532" t="s">
        <v>420</v>
      </c>
      <c r="F40" s="941">
        <v>800000</v>
      </c>
      <c r="G40" s="942">
        <v>0</v>
      </c>
      <c r="I40" s="96">
        <v>0</v>
      </c>
      <c r="J40" s="96">
        <v>0</v>
      </c>
      <c r="K40" s="920"/>
      <c r="L40" s="170" t="s">
        <v>421</v>
      </c>
      <c r="M40" s="255">
        <v>2015</v>
      </c>
    </row>
    <row r="41" spans="1:13" ht="29.25" customHeight="1">
      <c r="A41" s="1">
        <v>15</v>
      </c>
      <c r="B41" s="70"/>
      <c r="C41" s="62"/>
      <c r="D41" s="4">
        <v>6050</v>
      </c>
      <c r="E41" s="532" t="s">
        <v>422</v>
      </c>
      <c r="F41" s="941">
        <v>9000</v>
      </c>
      <c r="G41" s="942">
        <v>0</v>
      </c>
      <c r="I41" s="96">
        <v>9000</v>
      </c>
      <c r="J41" s="96">
        <v>0</v>
      </c>
      <c r="K41" s="920">
        <f t="shared" si="0"/>
        <v>100</v>
      </c>
      <c r="L41" s="170" t="s">
        <v>302</v>
      </c>
      <c r="M41" s="255" t="s">
        <v>403</v>
      </c>
    </row>
    <row r="42" spans="1:13" ht="30.75" customHeight="1">
      <c r="A42" s="1">
        <v>16</v>
      </c>
      <c r="B42" s="845"/>
      <c r="C42" s="69"/>
      <c r="D42" s="4">
        <v>6050</v>
      </c>
      <c r="E42" s="532" t="s">
        <v>423</v>
      </c>
      <c r="F42" s="941">
        <v>6000</v>
      </c>
      <c r="G42" s="942">
        <v>0</v>
      </c>
      <c r="H42" s="1015"/>
      <c r="I42" s="96">
        <v>0</v>
      </c>
      <c r="J42" s="96">
        <v>0</v>
      </c>
      <c r="K42" s="920"/>
      <c r="L42" s="170" t="s">
        <v>416</v>
      </c>
      <c r="M42" s="255">
        <v>2015</v>
      </c>
    </row>
    <row r="43" spans="1:13" ht="40.5" customHeight="1">
      <c r="A43" s="1">
        <v>17</v>
      </c>
      <c r="B43" s="70"/>
      <c r="C43" s="62"/>
      <c r="D43" s="21">
        <v>6050</v>
      </c>
      <c r="E43" s="532" t="s">
        <v>424</v>
      </c>
      <c r="F43" s="941">
        <v>140000</v>
      </c>
      <c r="G43" s="942">
        <v>0</v>
      </c>
      <c r="I43" s="250">
        <v>2136.24</v>
      </c>
      <c r="J43" s="250">
        <v>0</v>
      </c>
      <c r="K43" s="1012">
        <f t="shared" si="0"/>
        <v>1.525885714285714</v>
      </c>
      <c r="L43" s="205" t="s">
        <v>421</v>
      </c>
      <c r="M43" s="86">
        <v>2015</v>
      </c>
    </row>
    <row r="44" spans="1:13" ht="44.25" customHeight="1">
      <c r="A44" s="1">
        <v>18</v>
      </c>
      <c r="B44" s="70"/>
      <c r="C44" s="62"/>
      <c r="D44" s="4">
        <v>6060</v>
      </c>
      <c r="E44" s="532" t="s">
        <v>425</v>
      </c>
      <c r="F44" s="941">
        <v>5760</v>
      </c>
      <c r="G44" s="942">
        <v>0</v>
      </c>
      <c r="I44" s="96">
        <v>5756.4</v>
      </c>
      <c r="J44" s="96">
        <v>0</v>
      </c>
      <c r="K44" s="920">
        <f t="shared" si="0"/>
        <v>99.93749999999999</v>
      </c>
      <c r="L44" s="170" t="s">
        <v>426</v>
      </c>
      <c r="M44" s="255" t="s">
        <v>403</v>
      </c>
    </row>
    <row r="45" spans="1:13" ht="24.75" customHeight="1">
      <c r="A45" s="1">
        <v>19</v>
      </c>
      <c r="B45" s="70"/>
      <c r="C45" s="69"/>
      <c r="D45" s="4">
        <v>6060</v>
      </c>
      <c r="E45" s="532" t="s">
        <v>427</v>
      </c>
      <c r="F45" s="941">
        <v>6500</v>
      </c>
      <c r="G45" s="942">
        <v>0</v>
      </c>
      <c r="I45" s="96">
        <v>6500</v>
      </c>
      <c r="J45" s="96">
        <v>0</v>
      </c>
      <c r="K45" s="920">
        <f t="shared" si="0"/>
        <v>100</v>
      </c>
      <c r="L45" s="170" t="s">
        <v>428</v>
      </c>
      <c r="M45" s="255" t="s">
        <v>403</v>
      </c>
    </row>
    <row r="46" spans="1:13" ht="24.75" customHeight="1">
      <c r="A46" s="1"/>
      <c r="B46" s="70"/>
      <c r="C46" s="93">
        <v>80104</v>
      </c>
      <c r="D46" s="915"/>
      <c r="E46" s="916" t="s">
        <v>362</v>
      </c>
      <c r="F46" s="934">
        <f>SUM(F47:F56)</f>
        <v>102714</v>
      </c>
      <c r="G46" s="934">
        <f>SUM(G47:G56)</f>
        <v>0</v>
      </c>
      <c r="H46" s="934">
        <f>SUM(H47:H56)</f>
        <v>0</v>
      </c>
      <c r="I46" s="934">
        <f>SUM(I47:I56)</f>
        <v>39179.17</v>
      </c>
      <c r="J46" s="934">
        <f>SUM(J47:J56)</f>
        <v>0</v>
      </c>
      <c r="K46" s="918">
        <f t="shared" si="0"/>
        <v>38.14394337675487</v>
      </c>
      <c r="L46" s="170"/>
      <c r="M46" s="255"/>
    </row>
    <row r="47" spans="1:15" s="224" customFormat="1" ht="35.25" customHeight="1">
      <c r="A47" s="1">
        <v>20</v>
      </c>
      <c r="B47" s="70"/>
      <c r="C47" s="63"/>
      <c r="D47" s="4">
        <v>6050</v>
      </c>
      <c r="E47" s="532" t="s">
        <v>429</v>
      </c>
      <c r="F47" s="941">
        <v>9300</v>
      </c>
      <c r="G47" s="942">
        <v>0</v>
      </c>
      <c r="I47" s="96">
        <v>9279.19</v>
      </c>
      <c r="J47" s="96">
        <v>0</v>
      </c>
      <c r="K47" s="920">
        <f t="shared" si="0"/>
        <v>99.77623655913979</v>
      </c>
      <c r="L47" s="170" t="s">
        <v>430</v>
      </c>
      <c r="M47" s="255" t="s">
        <v>403</v>
      </c>
      <c r="N47" s="947"/>
      <c r="O47" s="947"/>
    </row>
    <row r="48" spans="1:15" s="224" customFormat="1" ht="40.5" customHeight="1">
      <c r="A48" s="1">
        <v>21</v>
      </c>
      <c r="B48" s="70"/>
      <c r="C48" s="62"/>
      <c r="D48" s="4">
        <v>6050</v>
      </c>
      <c r="E48" s="532" t="s">
        <v>298</v>
      </c>
      <c r="F48" s="941">
        <v>27000</v>
      </c>
      <c r="G48" s="942">
        <v>0</v>
      </c>
      <c r="I48" s="96">
        <v>0</v>
      </c>
      <c r="J48" s="96">
        <v>0</v>
      </c>
      <c r="K48" s="920"/>
      <c r="L48" s="170" t="s">
        <v>416</v>
      </c>
      <c r="M48" s="255">
        <v>2015</v>
      </c>
      <c r="N48" s="947"/>
      <c r="O48" s="947"/>
    </row>
    <row r="49" spans="1:15" s="948" customFormat="1" ht="40.5" customHeight="1">
      <c r="A49" s="1">
        <v>22</v>
      </c>
      <c r="B49" s="70"/>
      <c r="C49" s="62"/>
      <c r="D49" s="4">
        <v>6050</v>
      </c>
      <c r="E49" s="532" t="s">
        <v>431</v>
      </c>
      <c r="F49" s="941">
        <v>18914</v>
      </c>
      <c r="G49" s="942">
        <v>0</v>
      </c>
      <c r="I49" s="96">
        <v>0</v>
      </c>
      <c r="J49" s="96">
        <v>0</v>
      </c>
      <c r="K49" s="920"/>
      <c r="L49" s="170" t="s">
        <v>416</v>
      </c>
      <c r="M49" s="255">
        <v>2015</v>
      </c>
      <c r="N49" s="562"/>
      <c r="O49" s="562"/>
    </row>
    <row r="50" spans="1:13" ht="24.75" customHeight="1">
      <c r="A50" s="1">
        <v>23</v>
      </c>
      <c r="B50" s="70"/>
      <c r="C50" s="62"/>
      <c r="D50" s="4">
        <v>6060</v>
      </c>
      <c r="E50" s="532" t="s">
        <v>432</v>
      </c>
      <c r="F50" s="941">
        <v>5000</v>
      </c>
      <c r="G50" s="942">
        <v>0</v>
      </c>
      <c r="I50" s="96">
        <v>0</v>
      </c>
      <c r="J50" s="96">
        <v>0</v>
      </c>
      <c r="K50" s="920"/>
      <c r="L50" s="170" t="s">
        <v>416</v>
      </c>
      <c r="M50" s="255">
        <v>2015</v>
      </c>
    </row>
    <row r="51" spans="1:13" ht="28.5" customHeight="1">
      <c r="A51" s="1">
        <v>24</v>
      </c>
      <c r="B51" s="70"/>
      <c r="C51" s="62"/>
      <c r="D51" s="4">
        <v>6060</v>
      </c>
      <c r="E51" s="532" t="s">
        <v>433</v>
      </c>
      <c r="F51" s="941">
        <v>5000</v>
      </c>
      <c r="G51" s="942">
        <v>0</v>
      </c>
      <c r="I51" s="96">
        <v>4900</v>
      </c>
      <c r="J51" s="96">
        <v>0</v>
      </c>
      <c r="K51" s="920">
        <f t="shared" si="0"/>
        <v>98</v>
      </c>
      <c r="L51" s="170" t="s">
        <v>434</v>
      </c>
      <c r="M51" s="255" t="s">
        <v>403</v>
      </c>
    </row>
    <row r="52" spans="1:13" ht="24.75" customHeight="1">
      <c r="A52" s="1">
        <v>25</v>
      </c>
      <c r="B52" s="70"/>
      <c r="C52" s="62"/>
      <c r="D52" s="4">
        <v>6060</v>
      </c>
      <c r="E52" s="532" t="s">
        <v>435</v>
      </c>
      <c r="F52" s="941">
        <v>8000</v>
      </c>
      <c r="G52" s="942">
        <v>0</v>
      </c>
      <c r="I52" s="96">
        <v>7999.99</v>
      </c>
      <c r="J52" s="96">
        <v>0</v>
      </c>
      <c r="K52" s="920">
        <f t="shared" si="0"/>
        <v>99.99987499999999</v>
      </c>
      <c r="L52" s="170" t="s">
        <v>436</v>
      </c>
      <c r="M52" s="255" t="s">
        <v>403</v>
      </c>
    </row>
    <row r="53" spans="1:13" ht="29.25" customHeight="1">
      <c r="A53" s="1">
        <v>26</v>
      </c>
      <c r="B53" s="70"/>
      <c r="C53" s="62"/>
      <c r="D53" s="4">
        <v>6060</v>
      </c>
      <c r="E53" s="532" t="s">
        <v>437</v>
      </c>
      <c r="F53" s="941">
        <v>8000</v>
      </c>
      <c r="G53" s="942">
        <v>0</v>
      </c>
      <c r="I53" s="96">
        <v>0</v>
      </c>
      <c r="J53" s="96">
        <v>0</v>
      </c>
      <c r="K53" s="920"/>
      <c r="L53" s="170" t="s">
        <v>416</v>
      </c>
      <c r="M53" s="255">
        <v>2015</v>
      </c>
    </row>
    <row r="54" spans="1:13" ht="29.25" customHeight="1">
      <c r="A54" s="1">
        <v>27</v>
      </c>
      <c r="B54" s="845"/>
      <c r="C54" s="69"/>
      <c r="D54" s="4">
        <v>6060</v>
      </c>
      <c r="E54" s="532" t="s">
        <v>438</v>
      </c>
      <c r="F54" s="941">
        <v>9000</v>
      </c>
      <c r="G54" s="942">
        <v>0</v>
      </c>
      <c r="H54" s="1015"/>
      <c r="I54" s="96">
        <v>9000</v>
      </c>
      <c r="J54" s="96">
        <v>0</v>
      </c>
      <c r="K54" s="920">
        <f t="shared" si="0"/>
        <v>100</v>
      </c>
      <c r="L54" s="170" t="s">
        <v>436</v>
      </c>
      <c r="M54" s="255" t="s">
        <v>403</v>
      </c>
    </row>
    <row r="55" spans="1:13" ht="29.25" customHeight="1">
      <c r="A55" s="1">
        <v>28</v>
      </c>
      <c r="B55" s="70"/>
      <c r="C55" s="62"/>
      <c r="D55" s="21">
        <v>6060</v>
      </c>
      <c r="E55" s="532" t="s">
        <v>439</v>
      </c>
      <c r="F55" s="941">
        <v>4500</v>
      </c>
      <c r="G55" s="942">
        <v>0</v>
      </c>
      <c r="I55" s="250">
        <v>0</v>
      </c>
      <c r="J55" s="250">
        <v>0</v>
      </c>
      <c r="K55" s="1012"/>
      <c r="L55" s="205" t="s">
        <v>416</v>
      </c>
      <c r="M55" s="86">
        <v>2015</v>
      </c>
    </row>
    <row r="56" spans="1:13" ht="30.75" customHeight="1">
      <c r="A56" s="1">
        <v>29</v>
      </c>
      <c r="B56" s="70"/>
      <c r="C56" s="69"/>
      <c r="D56" s="4">
        <v>6060</v>
      </c>
      <c r="E56" s="532" t="s">
        <v>440</v>
      </c>
      <c r="F56" s="941">
        <v>8000</v>
      </c>
      <c r="G56" s="942">
        <v>0</v>
      </c>
      <c r="I56" s="96">
        <v>7999.99</v>
      </c>
      <c r="J56" s="96">
        <v>0</v>
      </c>
      <c r="K56" s="920">
        <f t="shared" si="0"/>
        <v>99.99987499999999</v>
      </c>
      <c r="L56" s="170" t="s">
        <v>436</v>
      </c>
      <c r="M56" s="255" t="s">
        <v>403</v>
      </c>
    </row>
    <row r="57" spans="1:13" ht="25.5" customHeight="1">
      <c r="A57" s="2"/>
      <c r="B57" s="70"/>
      <c r="C57" s="914">
        <v>80110</v>
      </c>
      <c r="D57" s="915"/>
      <c r="E57" s="916" t="s">
        <v>257</v>
      </c>
      <c r="F57" s="917">
        <f>F58</f>
        <v>1158000</v>
      </c>
      <c r="G57" s="926">
        <f>G58</f>
        <v>0</v>
      </c>
      <c r="I57" s="554">
        <f>I58</f>
        <v>218077.06</v>
      </c>
      <c r="J57" s="554">
        <f>J58</f>
        <v>0</v>
      </c>
      <c r="K57" s="918">
        <f t="shared" si="0"/>
        <v>18.832215889464592</v>
      </c>
      <c r="L57" s="170"/>
      <c r="M57" s="255"/>
    </row>
    <row r="58" spans="1:13" ht="75.75" customHeight="1">
      <c r="A58" s="2">
        <v>30</v>
      </c>
      <c r="B58" s="70"/>
      <c r="C58" s="62"/>
      <c r="D58" s="949">
        <v>6050</v>
      </c>
      <c r="E58" s="370" t="s">
        <v>441</v>
      </c>
      <c r="F58" s="929">
        <f>1240000-82000</f>
        <v>1158000</v>
      </c>
      <c r="G58" s="531">
        <v>0</v>
      </c>
      <c r="I58" s="96">
        <v>218077.06</v>
      </c>
      <c r="J58" s="96">
        <v>0</v>
      </c>
      <c r="K58" s="920">
        <f t="shared" si="0"/>
        <v>18.832215889464592</v>
      </c>
      <c r="L58" s="170" t="s">
        <v>442</v>
      </c>
      <c r="M58" s="255">
        <v>2015</v>
      </c>
    </row>
    <row r="59" spans="1:13" ht="27" customHeight="1">
      <c r="A59" s="2"/>
      <c r="B59" s="70"/>
      <c r="C59" s="103">
        <v>80148</v>
      </c>
      <c r="D59" s="915"/>
      <c r="E59" s="916" t="s">
        <v>198</v>
      </c>
      <c r="F59" s="917">
        <f>SUM(F60:F63)</f>
        <v>21300</v>
      </c>
      <c r="G59" s="917">
        <f>SUM(G60:G63)</f>
        <v>0</v>
      </c>
      <c r="H59" s="917">
        <f>SUM(H60:H63)</f>
        <v>0</v>
      </c>
      <c r="I59" s="917">
        <f>SUM(I60:I63)</f>
        <v>18757.379999999997</v>
      </c>
      <c r="J59" s="917">
        <f>SUM(J60:J63)</f>
        <v>0</v>
      </c>
      <c r="K59" s="918">
        <f t="shared" si="0"/>
        <v>88.06281690140844</v>
      </c>
      <c r="L59" s="170"/>
      <c r="M59" s="255"/>
    </row>
    <row r="60" spans="1:13" ht="22.5" customHeight="1">
      <c r="A60" s="2">
        <v>31</v>
      </c>
      <c r="B60" s="70"/>
      <c r="C60" s="103"/>
      <c r="D60" s="4">
        <v>6060</v>
      </c>
      <c r="E60" s="432" t="s">
        <v>443</v>
      </c>
      <c r="F60" s="929">
        <v>4300</v>
      </c>
      <c r="G60" s="531">
        <v>0</v>
      </c>
      <c r="I60" s="96">
        <v>4236.12</v>
      </c>
      <c r="J60" s="96">
        <v>0</v>
      </c>
      <c r="K60" s="920">
        <f t="shared" si="0"/>
        <v>98.51441860465115</v>
      </c>
      <c r="L60" s="170" t="s">
        <v>444</v>
      </c>
      <c r="M60" s="255" t="s">
        <v>403</v>
      </c>
    </row>
    <row r="61" spans="1:13" ht="24" customHeight="1">
      <c r="A61" s="2">
        <v>32</v>
      </c>
      <c r="B61" s="70"/>
      <c r="C61" s="93"/>
      <c r="D61" s="4">
        <v>6060</v>
      </c>
      <c r="E61" s="432" t="s">
        <v>445</v>
      </c>
      <c r="F61" s="929">
        <v>7000</v>
      </c>
      <c r="G61" s="531">
        <v>0</v>
      </c>
      <c r="I61" s="96">
        <v>6990</v>
      </c>
      <c r="J61" s="96">
        <v>0</v>
      </c>
      <c r="K61" s="920">
        <f t="shared" si="0"/>
        <v>99.85714285714286</v>
      </c>
      <c r="L61" s="170" t="s">
        <v>446</v>
      </c>
      <c r="M61" s="255" t="s">
        <v>403</v>
      </c>
    </row>
    <row r="62" spans="1:13" ht="30" customHeight="1">
      <c r="A62" s="2">
        <v>33</v>
      </c>
      <c r="B62" s="70"/>
      <c r="C62" s="62"/>
      <c r="D62" s="12">
        <v>6060</v>
      </c>
      <c r="E62" s="432" t="s">
        <v>299</v>
      </c>
      <c r="F62" s="929">
        <v>5500</v>
      </c>
      <c r="G62" s="531">
        <v>0</v>
      </c>
      <c r="I62" s="96">
        <v>5490.69</v>
      </c>
      <c r="J62" s="96">
        <v>0</v>
      </c>
      <c r="K62" s="920">
        <f t="shared" si="0"/>
        <v>99.83072727272727</v>
      </c>
      <c r="L62" s="170" t="s">
        <v>447</v>
      </c>
      <c r="M62" s="255" t="s">
        <v>403</v>
      </c>
    </row>
    <row r="63" spans="1:13" ht="24.75" customHeight="1">
      <c r="A63" s="2">
        <v>34</v>
      </c>
      <c r="B63" s="70"/>
      <c r="C63" s="69"/>
      <c r="D63" s="12">
        <v>6060</v>
      </c>
      <c r="E63" s="432" t="s">
        <v>448</v>
      </c>
      <c r="F63" s="929">
        <v>4500</v>
      </c>
      <c r="G63" s="531">
        <v>0</v>
      </c>
      <c r="I63" s="96">
        <v>2040.57</v>
      </c>
      <c r="J63" s="96">
        <v>0</v>
      </c>
      <c r="K63" s="920">
        <f t="shared" si="0"/>
        <v>45.346</v>
      </c>
      <c r="L63" s="170" t="s">
        <v>449</v>
      </c>
      <c r="M63" s="255" t="s">
        <v>403</v>
      </c>
    </row>
    <row r="64" spans="1:13" ht="29.25" customHeight="1">
      <c r="A64" s="2"/>
      <c r="B64" s="58">
        <v>853</v>
      </c>
      <c r="C64" s="69"/>
      <c r="D64" s="4"/>
      <c r="E64" s="922" t="s">
        <v>324</v>
      </c>
      <c r="F64" s="923">
        <f>F65</f>
        <v>251002</v>
      </c>
      <c r="G64" s="924">
        <f>G65</f>
        <v>0</v>
      </c>
      <c r="H64" s="1015"/>
      <c r="I64" s="132">
        <f>I65</f>
        <v>0</v>
      </c>
      <c r="J64" s="132">
        <f>J65</f>
        <v>0</v>
      </c>
      <c r="K64" s="908"/>
      <c r="L64" s="170"/>
      <c r="M64" s="255"/>
    </row>
    <row r="65" spans="1:13" ht="29.25" customHeight="1">
      <c r="A65" s="996"/>
      <c r="B65" s="67"/>
      <c r="C65" s="998">
        <v>85395</v>
      </c>
      <c r="D65" s="29"/>
      <c r="E65" s="933" t="s">
        <v>581</v>
      </c>
      <c r="F65" s="934">
        <f>F66</f>
        <v>251002</v>
      </c>
      <c r="G65" s="935">
        <f>G66</f>
        <v>0</v>
      </c>
      <c r="I65" s="211">
        <f>I66</f>
        <v>0</v>
      </c>
      <c r="J65" s="211">
        <f>J66</f>
        <v>0</v>
      </c>
      <c r="K65" s="1014"/>
      <c r="L65" s="205"/>
      <c r="M65" s="86"/>
    </row>
    <row r="66" spans="1:13" ht="57.75" customHeight="1">
      <c r="A66" s="13">
        <v>35</v>
      </c>
      <c r="B66" s="67"/>
      <c r="C66" s="911"/>
      <c r="D66" s="2">
        <v>6010</v>
      </c>
      <c r="E66" s="370" t="s">
        <v>450</v>
      </c>
      <c r="F66" s="118">
        <f>250000+1002</f>
        <v>251002</v>
      </c>
      <c r="G66" s="96">
        <v>0</v>
      </c>
      <c r="I66" s="96">
        <v>0</v>
      </c>
      <c r="J66" s="96">
        <v>0</v>
      </c>
      <c r="K66" s="920"/>
      <c r="L66" s="170" t="s">
        <v>416</v>
      </c>
      <c r="M66" s="255" t="s">
        <v>399</v>
      </c>
    </row>
    <row r="67" spans="1:13" ht="30" customHeight="1">
      <c r="A67" s="10"/>
      <c r="B67" s="58">
        <v>900</v>
      </c>
      <c r="C67" s="58"/>
      <c r="D67" s="102"/>
      <c r="E67" s="922" t="s">
        <v>258</v>
      </c>
      <c r="F67" s="923">
        <f>F68+F73+F71+F76</f>
        <v>26531173.299999997</v>
      </c>
      <c r="G67" s="924">
        <f>G68+G73+G71+G76</f>
        <v>6306787.12</v>
      </c>
      <c r="I67" s="132">
        <f>I68+I71+I73+I76</f>
        <v>13360985.459999999</v>
      </c>
      <c r="J67" s="132">
        <f>J68+J71+J73+J76</f>
        <v>4799383.07</v>
      </c>
      <c r="K67" s="908">
        <f t="shared" si="0"/>
        <v>50.359572525953844</v>
      </c>
      <c r="L67" s="170"/>
      <c r="M67" s="255"/>
    </row>
    <row r="68" spans="1:13" ht="27" customHeight="1">
      <c r="A68" s="10"/>
      <c r="B68" s="67"/>
      <c r="C68" s="93">
        <v>90002</v>
      </c>
      <c r="D68" s="95"/>
      <c r="E68" s="916" t="s">
        <v>625</v>
      </c>
      <c r="F68" s="917">
        <f>SUM(F69:F70)</f>
        <v>42000</v>
      </c>
      <c r="G68" s="926">
        <f>SUM(G69:G70)</f>
        <v>42000</v>
      </c>
      <c r="I68" s="554">
        <f>I69+I70</f>
        <v>2570.24</v>
      </c>
      <c r="J68" s="554">
        <f>J69+J70</f>
        <v>2570.24</v>
      </c>
      <c r="K68" s="918">
        <f t="shared" si="0"/>
        <v>6.1196190476190475</v>
      </c>
      <c r="L68" s="170"/>
      <c r="M68" s="255"/>
    </row>
    <row r="69" spans="1:13" ht="37.5" customHeight="1">
      <c r="A69" s="971">
        <v>36</v>
      </c>
      <c r="B69" s="67"/>
      <c r="C69" s="59"/>
      <c r="D69" s="4">
        <v>6220</v>
      </c>
      <c r="E69" s="1043" t="s">
        <v>451</v>
      </c>
      <c r="F69" s="950">
        <v>12000</v>
      </c>
      <c r="G69" s="951">
        <v>12000</v>
      </c>
      <c r="I69" s="96">
        <v>300</v>
      </c>
      <c r="J69" s="96">
        <v>300</v>
      </c>
      <c r="K69" s="920">
        <f t="shared" si="0"/>
        <v>2.5</v>
      </c>
      <c r="L69" s="170" t="s">
        <v>300</v>
      </c>
      <c r="M69" s="255">
        <v>2015</v>
      </c>
    </row>
    <row r="70" spans="1:13" ht="37.5" customHeight="1">
      <c r="A70" s="1042"/>
      <c r="B70" s="67"/>
      <c r="C70" s="68"/>
      <c r="D70" s="4">
        <v>6230</v>
      </c>
      <c r="E70" s="853"/>
      <c r="F70" s="950">
        <v>30000</v>
      </c>
      <c r="G70" s="951">
        <v>30000</v>
      </c>
      <c r="I70" s="96">
        <v>2270.24</v>
      </c>
      <c r="J70" s="96">
        <v>2270.24</v>
      </c>
      <c r="K70" s="920">
        <f t="shared" si="0"/>
        <v>7.5674666666666655</v>
      </c>
      <c r="L70" s="170" t="s">
        <v>301</v>
      </c>
      <c r="M70" s="255">
        <v>2015</v>
      </c>
    </row>
    <row r="71" spans="1:15" s="954" customFormat="1" ht="21.75" customHeight="1">
      <c r="A71" s="35"/>
      <c r="B71" s="93"/>
      <c r="C71" s="94">
        <v>90013</v>
      </c>
      <c r="D71" s="915"/>
      <c r="E71" s="933" t="s">
        <v>452</v>
      </c>
      <c r="F71" s="952">
        <f>F72</f>
        <v>58000</v>
      </c>
      <c r="G71" s="953">
        <f>G72</f>
        <v>0</v>
      </c>
      <c r="I71" s="554">
        <f>I72</f>
        <v>0</v>
      </c>
      <c r="J71" s="554">
        <f>J72</f>
        <v>0</v>
      </c>
      <c r="K71" s="918"/>
      <c r="L71" s="175"/>
      <c r="M71" s="46"/>
      <c r="N71" s="955"/>
      <c r="O71" s="955"/>
    </row>
    <row r="72" spans="1:13" ht="43.5" customHeight="1">
      <c r="A72" s="1">
        <v>37</v>
      </c>
      <c r="B72" s="67"/>
      <c r="C72" s="67"/>
      <c r="D72" s="4">
        <v>6050</v>
      </c>
      <c r="E72" s="532" t="s">
        <v>453</v>
      </c>
      <c r="F72" s="950">
        <v>58000</v>
      </c>
      <c r="G72" s="951">
        <v>0</v>
      </c>
      <c r="I72" s="96">
        <v>0</v>
      </c>
      <c r="J72" s="96">
        <v>0</v>
      </c>
      <c r="K72" s="920"/>
      <c r="L72" s="170" t="s">
        <v>454</v>
      </c>
      <c r="M72" s="255">
        <v>2015</v>
      </c>
    </row>
    <row r="73" spans="1:13" ht="27.75" customHeight="1">
      <c r="A73" s="10"/>
      <c r="B73" s="67"/>
      <c r="C73" s="103">
        <v>90015</v>
      </c>
      <c r="D73" s="95"/>
      <c r="E73" s="916" t="s">
        <v>455</v>
      </c>
      <c r="F73" s="956">
        <f>F74+F75</f>
        <v>20000</v>
      </c>
      <c r="G73" s="926">
        <f>G75</f>
        <v>0</v>
      </c>
      <c r="I73" s="554">
        <f>I74+I75</f>
        <v>0</v>
      </c>
      <c r="J73" s="554">
        <f>J74+J75</f>
        <v>0</v>
      </c>
      <c r="K73" s="918"/>
      <c r="L73" s="170"/>
      <c r="M73" s="255"/>
    </row>
    <row r="74" spans="1:15" s="224" customFormat="1" ht="41.25" customHeight="1">
      <c r="A74" s="2">
        <v>38</v>
      </c>
      <c r="B74" s="70"/>
      <c r="C74" s="63"/>
      <c r="D74" s="4">
        <v>6050</v>
      </c>
      <c r="E74" s="432" t="s">
        <v>456</v>
      </c>
      <c r="F74" s="929">
        <v>10000</v>
      </c>
      <c r="G74" s="531">
        <v>0</v>
      </c>
      <c r="I74" s="96">
        <v>0</v>
      </c>
      <c r="J74" s="96">
        <v>0</v>
      </c>
      <c r="K74" s="920"/>
      <c r="L74" s="170" t="s">
        <v>400</v>
      </c>
      <c r="M74" s="255">
        <v>2015</v>
      </c>
      <c r="N74" s="947"/>
      <c r="O74" s="947"/>
    </row>
    <row r="75" spans="1:13" ht="38.25" customHeight="1">
      <c r="A75" s="2">
        <v>39</v>
      </c>
      <c r="B75" s="70"/>
      <c r="C75" s="68"/>
      <c r="D75" s="4">
        <v>6050</v>
      </c>
      <c r="E75" s="957" t="s">
        <v>457</v>
      </c>
      <c r="F75" s="950">
        <v>10000</v>
      </c>
      <c r="G75" s="951">
        <v>0</v>
      </c>
      <c r="I75" s="96">
        <v>0</v>
      </c>
      <c r="J75" s="96">
        <v>0</v>
      </c>
      <c r="K75" s="920"/>
      <c r="L75" s="170" t="s">
        <v>416</v>
      </c>
      <c r="M75" s="255">
        <v>2015</v>
      </c>
    </row>
    <row r="76" spans="1:13" ht="26.25" customHeight="1">
      <c r="A76" s="2"/>
      <c r="B76" s="914"/>
      <c r="C76" s="914">
        <v>90095</v>
      </c>
      <c r="D76" s="95"/>
      <c r="E76" s="916" t="s">
        <v>250</v>
      </c>
      <c r="F76" s="917">
        <f>SUM(F77:F108)</f>
        <v>26411173.299999997</v>
      </c>
      <c r="G76" s="926">
        <f>SUM(G77:G108)</f>
        <v>6264787.12</v>
      </c>
      <c r="H76" s="1015"/>
      <c r="I76" s="554">
        <f>SUM(I77:I108)</f>
        <v>13358415.219999999</v>
      </c>
      <c r="J76" s="554">
        <f>SUM(J77:J108)</f>
        <v>4796812.83</v>
      </c>
      <c r="K76" s="918">
        <f aca="true" t="shared" si="2" ref="K76:K138">I76/F76*100</f>
        <v>50.57865119532573</v>
      </c>
      <c r="L76" s="170"/>
      <c r="M76" s="255"/>
    </row>
    <row r="77" spans="1:15" s="224" customFormat="1" ht="54.75" customHeight="1">
      <c r="A77" s="7">
        <v>40</v>
      </c>
      <c r="B77" s="878"/>
      <c r="C77" s="62"/>
      <c r="D77" s="21">
        <v>6010</v>
      </c>
      <c r="E77" s="532" t="s">
        <v>458</v>
      </c>
      <c r="F77" s="941">
        <v>20000</v>
      </c>
      <c r="G77" s="942">
        <v>20000</v>
      </c>
      <c r="I77" s="250">
        <v>0</v>
      </c>
      <c r="J77" s="250">
        <v>0</v>
      </c>
      <c r="K77" s="1012"/>
      <c r="L77" s="205" t="s">
        <v>459</v>
      </c>
      <c r="M77" s="1016" t="s">
        <v>460</v>
      </c>
      <c r="N77" s="947"/>
      <c r="O77" s="947"/>
    </row>
    <row r="78" spans="1:15" s="224" customFormat="1" ht="42.75" customHeight="1">
      <c r="A78" s="13">
        <v>41</v>
      </c>
      <c r="B78" s="878"/>
      <c r="C78" s="62"/>
      <c r="D78" s="4">
        <v>6010</v>
      </c>
      <c r="E78" s="936" t="s">
        <v>461</v>
      </c>
      <c r="F78" s="929">
        <v>70000</v>
      </c>
      <c r="G78" s="531">
        <v>70000</v>
      </c>
      <c r="I78" s="96">
        <v>0</v>
      </c>
      <c r="J78" s="96">
        <v>0</v>
      </c>
      <c r="K78" s="920"/>
      <c r="L78" s="170" t="s">
        <v>462</v>
      </c>
      <c r="M78" s="255">
        <v>2015</v>
      </c>
      <c r="N78" s="947"/>
      <c r="O78" s="947"/>
    </row>
    <row r="79" spans="1:15" s="224" customFormat="1" ht="33.75" customHeight="1">
      <c r="A79" s="13">
        <v>42</v>
      </c>
      <c r="B79" s="878"/>
      <c r="C79" s="62"/>
      <c r="D79" s="944">
        <v>6010</v>
      </c>
      <c r="E79" s="432" t="s">
        <v>463</v>
      </c>
      <c r="F79" s="929">
        <v>3470000</v>
      </c>
      <c r="G79" s="531">
        <v>3470000</v>
      </c>
      <c r="I79" s="96">
        <v>3470000</v>
      </c>
      <c r="J79" s="96">
        <v>3470000</v>
      </c>
      <c r="K79" s="920">
        <f t="shared" si="2"/>
        <v>100</v>
      </c>
      <c r="L79" s="170" t="s">
        <v>464</v>
      </c>
      <c r="M79" s="255" t="s">
        <v>403</v>
      </c>
      <c r="N79" s="947"/>
      <c r="O79" s="947"/>
    </row>
    <row r="80" spans="1:15" s="224" customFormat="1" ht="42.75" customHeight="1">
      <c r="A80" s="13">
        <v>43</v>
      </c>
      <c r="B80" s="878"/>
      <c r="C80" s="62"/>
      <c r="D80" s="4">
        <v>6010</v>
      </c>
      <c r="E80" s="432" t="s">
        <v>465</v>
      </c>
      <c r="F80" s="929">
        <v>350000</v>
      </c>
      <c r="G80" s="531">
        <v>350000</v>
      </c>
      <c r="I80" s="96">
        <v>350000</v>
      </c>
      <c r="J80" s="96">
        <v>350000</v>
      </c>
      <c r="K80" s="920">
        <f t="shared" si="2"/>
        <v>100</v>
      </c>
      <c r="L80" s="170" t="s">
        <v>464</v>
      </c>
      <c r="M80" s="255" t="s">
        <v>403</v>
      </c>
      <c r="N80" s="947"/>
      <c r="O80" s="947"/>
    </row>
    <row r="81" spans="1:15" s="224" customFormat="1" ht="64.5" customHeight="1">
      <c r="A81" s="13">
        <v>44</v>
      </c>
      <c r="B81" s="878"/>
      <c r="C81" s="62"/>
      <c r="D81" s="4">
        <v>6010</v>
      </c>
      <c r="E81" s="540" t="s">
        <v>466</v>
      </c>
      <c r="F81" s="929">
        <v>10000</v>
      </c>
      <c r="G81" s="531">
        <v>5000</v>
      </c>
      <c r="I81" s="96">
        <v>0</v>
      </c>
      <c r="J81" s="96">
        <v>0</v>
      </c>
      <c r="K81" s="920"/>
      <c r="L81" s="170" t="s">
        <v>421</v>
      </c>
      <c r="M81" s="255">
        <v>2015</v>
      </c>
      <c r="N81" s="947"/>
      <c r="O81" s="947"/>
    </row>
    <row r="82" spans="1:15" s="224" customFormat="1" ht="64.5" customHeight="1">
      <c r="A82" s="13">
        <v>45</v>
      </c>
      <c r="B82" s="878"/>
      <c r="C82" s="62"/>
      <c r="D82" s="4">
        <v>6010</v>
      </c>
      <c r="E82" s="540" t="s">
        <v>467</v>
      </c>
      <c r="F82" s="929">
        <v>16000</v>
      </c>
      <c r="G82" s="531">
        <v>16000</v>
      </c>
      <c r="I82" s="96">
        <v>0</v>
      </c>
      <c r="J82" s="96">
        <v>0</v>
      </c>
      <c r="K82" s="920"/>
      <c r="L82" s="170" t="s">
        <v>421</v>
      </c>
      <c r="M82" s="255">
        <v>2015</v>
      </c>
      <c r="N82" s="947"/>
      <c r="O82" s="947"/>
    </row>
    <row r="83" spans="1:15" s="224" customFormat="1" ht="53.25" customHeight="1">
      <c r="A83" s="2">
        <v>46</v>
      </c>
      <c r="B83" s="1017"/>
      <c r="C83" s="69"/>
      <c r="D83" s="4">
        <v>6010</v>
      </c>
      <c r="E83" s="370" t="s">
        <v>468</v>
      </c>
      <c r="F83" s="929">
        <v>18000</v>
      </c>
      <c r="G83" s="531">
        <v>18000</v>
      </c>
      <c r="H83" s="1018"/>
      <c r="I83" s="96">
        <v>0</v>
      </c>
      <c r="J83" s="96">
        <v>0</v>
      </c>
      <c r="K83" s="920"/>
      <c r="L83" s="170" t="s">
        <v>421</v>
      </c>
      <c r="M83" s="255">
        <v>2015</v>
      </c>
      <c r="N83" s="947"/>
      <c r="O83" s="947"/>
    </row>
    <row r="84" spans="1:15" s="224" customFormat="1" ht="42.75" customHeight="1">
      <c r="A84" s="7">
        <v>47</v>
      </c>
      <c r="B84" s="878"/>
      <c r="C84" s="62"/>
      <c r="D84" s="21">
        <v>6010</v>
      </c>
      <c r="E84" s="859" t="s">
        <v>469</v>
      </c>
      <c r="F84" s="941">
        <v>36000</v>
      </c>
      <c r="G84" s="942">
        <v>30000</v>
      </c>
      <c r="I84" s="250">
        <v>0</v>
      </c>
      <c r="J84" s="250">
        <v>0</v>
      </c>
      <c r="K84" s="1012"/>
      <c r="L84" s="205" t="s">
        <v>421</v>
      </c>
      <c r="M84" s="86">
        <v>2015</v>
      </c>
      <c r="N84" s="947"/>
      <c r="O84" s="947"/>
    </row>
    <row r="85" spans="1:15" s="224" customFormat="1" ht="42.75" customHeight="1">
      <c r="A85" s="13">
        <v>48</v>
      </c>
      <c r="B85" s="878"/>
      <c r="C85" s="62"/>
      <c r="D85" s="4">
        <v>6010</v>
      </c>
      <c r="E85" s="540" t="s">
        <v>470</v>
      </c>
      <c r="F85" s="929">
        <v>30000</v>
      </c>
      <c r="G85" s="531">
        <v>0</v>
      </c>
      <c r="I85" s="96">
        <v>0</v>
      </c>
      <c r="J85" s="96">
        <v>0</v>
      </c>
      <c r="K85" s="920"/>
      <c r="L85" s="170" t="s">
        <v>416</v>
      </c>
      <c r="M85" s="255">
        <v>2015</v>
      </c>
      <c r="N85" s="947"/>
      <c r="O85" s="947"/>
    </row>
    <row r="86" spans="1:15" s="224" customFormat="1" ht="57" customHeight="1">
      <c r="A86" s="13">
        <v>49</v>
      </c>
      <c r="B86" s="878"/>
      <c r="C86" s="62"/>
      <c r="D86" s="4">
        <v>6010</v>
      </c>
      <c r="E86" s="540" t="s">
        <v>471</v>
      </c>
      <c r="F86" s="929">
        <v>70000</v>
      </c>
      <c r="G86" s="531">
        <v>0</v>
      </c>
      <c r="I86" s="96">
        <v>0</v>
      </c>
      <c r="J86" s="96">
        <v>0</v>
      </c>
      <c r="K86" s="920"/>
      <c r="L86" s="170" t="s">
        <v>421</v>
      </c>
      <c r="M86" s="255">
        <v>2015</v>
      </c>
      <c r="N86" s="947"/>
      <c r="O86" s="947"/>
    </row>
    <row r="87" spans="1:15" s="224" customFormat="1" ht="42.75" customHeight="1">
      <c r="A87" s="13">
        <v>50</v>
      </c>
      <c r="B87" s="878"/>
      <c r="C87" s="62"/>
      <c r="D87" s="4">
        <v>6010</v>
      </c>
      <c r="E87" s="540" t="s">
        <v>472</v>
      </c>
      <c r="F87" s="929">
        <v>40000</v>
      </c>
      <c r="G87" s="531">
        <v>0</v>
      </c>
      <c r="I87" s="96">
        <v>0</v>
      </c>
      <c r="J87" s="96">
        <v>0</v>
      </c>
      <c r="K87" s="920"/>
      <c r="L87" s="170" t="s">
        <v>421</v>
      </c>
      <c r="M87" s="255">
        <v>2015</v>
      </c>
      <c r="N87" s="947"/>
      <c r="O87" s="947"/>
    </row>
    <row r="88" spans="1:15" s="224" customFormat="1" ht="38.25" customHeight="1">
      <c r="A88" s="13">
        <v>51</v>
      </c>
      <c r="B88" s="878"/>
      <c r="C88" s="62"/>
      <c r="D88" s="4">
        <v>6010</v>
      </c>
      <c r="E88" s="540" t="s">
        <v>473</v>
      </c>
      <c r="F88" s="929">
        <v>10000</v>
      </c>
      <c r="G88" s="531">
        <v>0</v>
      </c>
      <c r="I88" s="96">
        <v>0</v>
      </c>
      <c r="J88" s="96">
        <v>0</v>
      </c>
      <c r="K88" s="920"/>
      <c r="L88" s="170" t="s">
        <v>421</v>
      </c>
      <c r="M88" s="255">
        <v>2015</v>
      </c>
      <c r="N88" s="947"/>
      <c r="O88" s="947"/>
    </row>
    <row r="89" spans="1:15" s="224" customFormat="1" ht="41.25" customHeight="1">
      <c r="A89" s="13">
        <v>52</v>
      </c>
      <c r="B89" s="878"/>
      <c r="C89" s="62"/>
      <c r="D89" s="4">
        <v>6010</v>
      </c>
      <c r="E89" s="540" t="s">
        <v>474</v>
      </c>
      <c r="F89" s="929">
        <v>30000</v>
      </c>
      <c r="G89" s="531">
        <v>30000</v>
      </c>
      <c r="I89" s="96">
        <v>0</v>
      </c>
      <c r="J89" s="96">
        <v>0</v>
      </c>
      <c r="K89" s="920"/>
      <c r="L89" s="170" t="s">
        <v>421</v>
      </c>
      <c r="M89" s="255">
        <v>2015</v>
      </c>
      <c r="N89" s="947"/>
      <c r="O89" s="947"/>
    </row>
    <row r="90" spans="1:15" s="224" customFormat="1" ht="41.25" customHeight="1">
      <c r="A90" s="13">
        <v>53</v>
      </c>
      <c r="B90" s="878"/>
      <c r="C90" s="62"/>
      <c r="D90" s="4">
        <v>6010</v>
      </c>
      <c r="E90" s="434" t="s">
        <v>475</v>
      </c>
      <c r="F90" s="929">
        <v>10000</v>
      </c>
      <c r="G90" s="531">
        <v>3500</v>
      </c>
      <c r="I90" s="96">
        <v>0</v>
      </c>
      <c r="J90" s="96">
        <v>0</v>
      </c>
      <c r="K90" s="920"/>
      <c r="L90" s="170" t="s">
        <v>416</v>
      </c>
      <c r="M90" s="255" t="s">
        <v>399</v>
      </c>
      <c r="N90" s="947"/>
      <c r="O90" s="947"/>
    </row>
    <row r="91" spans="1:15" s="224" customFormat="1" ht="36.75" customHeight="1">
      <c r="A91" s="2">
        <v>54</v>
      </c>
      <c r="B91" s="1017"/>
      <c r="C91" s="69"/>
      <c r="D91" s="4">
        <v>6010</v>
      </c>
      <c r="E91" s="432" t="s">
        <v>476</v>
      </c>
      <c r="F91" s="929">
        <v>170880</v>
      </c>
      <c r="G91" s="531">
        <v>163300</v>
      </c>
      <c r="H91" s="1018"/>
      <c r="I91" s="96">
        <v>0</v>
      </c>
      <c r="J91" s="96">
        <v>0</v>
      </c>
      <c r="K91" s="920"/>
      <c r="L91" s="170" t="s">
        <v>421</v>
      </c>
      <c r="M91" s="255">
        <v>2015</v>
      </c>
      <c r="N91" s="947"/>
      <c r="O91" s="947"/>
    </row>
    <row r="92" spans="1:15" s="224" customFormat="1" ht="63.75" customHeight="1">
      <c r="A92" s="7">
        <v>55</v>
      </c>
      <c r="B92" s="878"/>
      <c r="C92" s="62"/>
      <c r="D92" s="21">
        <v>6050</v>
      </c>
      <c r="E92" s="532" t="s">
        <v>477</v>
      </c>
      <c r="F92" s="941">
        <f>471500-2700+3060+8979</f>
        <v>480839</v>
      </c>
      <c r="G92" s="942">
        <f>471500-2700</f>
        <v>468800</v>
      </c>
      <c r="I92" s="250">
        <v>242703.25</v>
      </c>
      <c r="J92" s="250">
        <v>242703.25</v>
      </c>
      <c r="K92" s="1012">
        <f t="shared" si="2"/>
        <v>50.47495107509998</v>
      </c>
      <c r="L92" s="205" t="s">
        <v>478</v>
      </c>
      <c r="M92" s="86">
        <v>2015</v>
      </c>
      <c r="N92" s="947"/>
      <c r="O92" s="947"/>
    </row>
    <row r="93" spans="1:15" s="224" customFormat="1" ht="55.5" customHeight="1">
      <c r="A93" s="13">
        <v>56</v>
      </c>
      <c r="B93" s="878"/>
      <c r="C93" s="62"/>
      <c r="D93" s="4">
        <v>6050</v>
      </c>
      <c r="E93" s="432" t="s">
        <v>479</v>
      </c>
      <c r="F93" s="929">
        <f>130000-6700-50000</f>
        <v>73300</v>
      </c>
      <c r="G93" s="531">
        <v>0</v>
      </c>
      <c r="I93" s="96">
        <v>0</v>
      </c>
      <c r="J93" s="96">
        <v>0</v>
      </c>
      <c r="K93" s="920"/>
      <c r="L93" s="170" t="s">
        <v>400</v>
      </c>
      <c r="M93" s="255">
        <v>2015</v>
      </c>
      <c r="N93" s="947"/>
      <c r="O93" s="947"/>
    </row>
    <row r="94" spans="1:15" s="224" customFormat="1" ht="50.25" customHeight="1">
      <c r="A94" s="13">
        <v>57</v>
      </c>
      <c r="B94" s="878"/>
      <c r="C94" s="62"/>
      <c r="D94" s="4">
        <v>6050</v>
      </c>
      <c r="E94" s="432" t="s">
        <v>480</v>
      </c>
      <c r="F94" s="929">
        <v>47000</v>
      </c>
      <c r="G94" s="531">
        <v>47000</v>
      </c>
      <c r="I94" s="96">
        <v>46740</v>
      </c>
      <c r="J94" s="96">
        <v>46740</v>
      </c>
      <c r="K94" s="920">
        <f t="shared" si="2"/>
        <v>99.44680851063829</v>
      </c>
      <c r="L94" s="1011" t="s">
        <v>481</v>
      </c>
      <c r="M94" s="255" t="s">
        <v>396</v>
      </c>
      <c r="N94" s="947"/>
      <c r="O94" s="947"/>
    </row>
    <row r="95" spans="1:13" ht="61.5" customHeight="1">
      <c r="A95" s="13">
        <v>58</v>
      </c>
      <c r="B95" s="958"/>
      <c r="C95" s="93"/>
      <c r="D95" s="4">
        <v>6050</v>
      </c>
      <c r="E95" s="432" t="s">
        <v>482</v>
      </c>
      <c r="F95" s="929">
        <f>1825000-8300+18450</f>
        <v>1835150</v>
      </c>
      <c r="G95" s="531">
        <v>0</v>
      </c>
      <c r="I95" s="96">
        <v>180454.64</v>
      </c>
      <c r="J95" s="96">
        <v>0</v>
      </c>
      <c r="K95" s="920">
        <f t="shared" si="2"/>
        <v>9.833236520175463</v>
      </c>
      <c r="L95" s="1011" t="s">
        <v>483</v>
      </c>
      <c r="M95" s="255">
        <v>2015</v>
      </c>
    </row>
    <row r="96" spans="1:13" ht="37.5" customHeight="1">
      <c r="A96" s="13">
        <v>59</v>
      </c>
      <c r="B96" s="958"/>
      <c r="C96" s="93"/>
      <c r="D96" s="4">
        <v>6050</v>
      </c>
      <c r="E96" s="432" t="s">
        <v>484</v>
      </c>
      <c r="F96" s="929">
        <v>200000</v>
      </c>
      <c r="G96" s="531">
        <v>0</v>
      </c>
      <c r="I96" s="96">
        <v>16974</v>
      </c>
      <c r="J96" s="96">
        <v>0</v>
      </c>
      <c r="K96" s="920">
        <f t="shared" si="2"/>
        <v>8.487</v>
      </c>
      <c r="L96" s="1011" t="s">
        <v>485</v>
      </c>
      <c r="M96" s="255">
        <v>2015</v>
      </c>
    </row>
    <row r="97" spans="1:13" ht="39.75" customHeight="1">
      <c r="A97" s="13">
        <v>60</v>
      </c>
      <c r="B97" s="958"/>
      <c r="C97" s="93"/>
      <c r="D97" s="4">
        <v>6050</v>
      </c>
      <c r="E97" s="432" t="s">
        <v>486</v>
      </c>
      <c r="F97" s="929">
        <v>35000</v>
      </c>
      <c r="G97" s="531">
        <v>35000</v>
      </c>
      <c r="I97" s="96">
        <v>34925.85</v>
      </c>
      <c r="J97" s="96">
        <v>34925.85</v>
      </c>
      <c r="K97" s="920">
        <f t="shared" si="2"/>
        <v>99.78814285714284</v>
      </c>
      <c r="L97" s="1011" t="s">
        <v>487</v>
      </c>
      <c r="M97" s="255" t="s">
        <v>396</v>
      </c>
    </row>
    <row r="98" spans="1:13" ht="39" customHeight="1">
      <c r="A98" s="13">
        <v>61</v>
      </c>
      <c r="B98" s="958"/>
      <c r="C98" s="93"/>
      <c r="D98" s="4">
        <v>6050</v>
      </c>
      <c r="E98" s="432" t="s">
        <v>488</v>
      </c>
      <c r="F98" s="929">
        <f>78800-7515+7515</f>
        <v>78800</v>
      </c>
      <c r="G98" s="531">
        <v>0</v>
      </c>
      <c r="I98" s="96">
        <v>17850</v>
      </c>
      <c r="J98" s="96">
        <v>0</v>
      </c>
      <c r="K98" s="920">
        <f t="shared" si="2"/>
        <v>22.65228426395939</v>
      </c>
      <c r="L98" s="1011" t="s">
        <v>485</v>
      </c>
      <c r="M98" s="255">
        <v>2015</v>
      </c>
    </row>
    <row r="99" spans="1:13" ht="34.5" customHeight="1">
      <c r="A99" s="2">
        <v>62</v>
      </c>
      <c r="B99" s="999"/>
      <c r="C99" s="914"/>
      <c r="D99" s="4">
        <v>6050</v>
      </c>
      <c r="E99" s="432" t="s">
        <v>489</v>
      </c>
      <c r="F99" s="929">
        <v>15500</v>
      </c>
      <c r="G99" s="531">
        <v>0</v>
      </c>
      <c r="H99" s="1015"/>
      <c r="I99" s="96">
        <v>15252</v>
      </c>
      <c r="J99" s="96">
        <v>0</v>
      </c>
      <c r="K99" s="920">
        <f t="shared" si="2"/>
        <v>98.4</v>
      </c>
      <c r="L99" s="1011" t="s">
        <v>490</v>
      </c>
      <c r="M99" s="255" t="s">
        <v>396</v>
      </c>
    </row>
    <row r="100" spans="1:13" ht="40.5" customHeight="1">
      <c r="A100" s="7">
        <v>63</v>
      </c>
      <c r="B100" s="958"/>
      <c r="C100" s="93"/>
      <c r="D100" s="21">
        <v>6050</v>
      </c>
      <c r="E100" s="532" t="s">
        <v>491</v>
      </c>
      <c r="F100" s="941">
        <v>29999</v>
      </c>
      <c r="G100" s="942">
        <v>0</v>
      </c>
      <c r="I100" s="250">
        <v>2952</v>
      </c>
      <c r="J100" s="250">
        <v>0</v>
      </c>
      <c r="K100" s="1012">
        <f t="shared" si="2"/>
        <v>9.840328010933698</v>
      </c>
      <c r="L100" s="1019" t="s">
        <v>485</v>
      </c>
      <c r="M100" s="86">
        <v>2015</v>
      </c>
    </row>
    <row r="101" spans="1:13" ht="29.25" customHeight="1">
      <c r="A101" s="13">
        <v>64</v>
      </c>
      <c r="B101" s="958"/>
      <c r="C101" s="93"/>
      <c r="D101" s="4">
        <v>6050</v>
      </c>
      <c r="E101" s="434" t="s">
        <v>492</v>
      </c>
      <c r="F101" s="929">
        <v>200000</v>
      </c>
      <c r="G101" s="531">
        <v>156000</v>
      </c>
      <c r="I101" s="96">
        <v>0</v>
      </c>
      <c r="J101" s="96">
        <v>0</v>
      </c>
      <c r="K101" s="920"/>
      <c r="L101" s="170" t="s">
        <v>416</v>
      </c>
      <c r="M101" s="255">
        <v>2015</v>
      </c>
    </row>
    <row r="102" spans="1:13" ht="45.75" customHeight="1">
      <c r="A102" s="13">
        <v>65</v>
      </c>
      <c r="B102" s="958"/>
      <c r="C102" s="93"/>
      <c r="D102" s="4">
        <v>6050</v>
      </c>
      <c r="E102" s="434" t="s">
        <v>493</v>
      </c>
      <c r="F102" s="929">
        <f>20000-5200</f>
        <v>14800</v>
      </c>
      <c r="G102" s="531">
        <v>0</v>
      </c>
      <c r="I102" s="96">
        <v>0</v>
      </c>
      <c r="J102" s="96">
        <v>0</v>
      </c>
      <c r="K102" s="920"/>
      <c r="L102" s="170" t="s">
        <v>400</v>
      </c>
      <c r="M102" s="255">
        <v>2015</v>
      </c>
    </row>
    <row r="103" spans="1:15" s="161" customFormat="1" ht="41.25" customHeight="1">
      <c r="A103" s="13">
        <v>66</v>
      </c>
      <c r="B103" s="958"/>
      <c r="C103" s="93"/>
      <c r="D103" s="4">
        <v>6050</v>
      </c>
      <c r="E103" s="959" t="s">
        <v>494</v>
      </c>
      <c r="F103" s="929">
        <v>100000</v>
      </c>
      <c r="G103" s="531">
        <v>0</v>
      </c>
      <c r="I103" s="96">
        <v>0</v>
      </c>
      <c r="J103" s="96">
        <v>0</v>
      </c>
      <c r="K103" s="920"/>
      <c r="L103" s="170" t="s">
        <v>416</v>
      </c>
      <c r="M103" s="255">
        <v>2015</v>
      </c>
      <c r="N103" s="543"/>
      <c r="O103" s="543"/>
    </row>
    <row r="104" spans="1:13" ht="79.5" customHeight="1">
      <c r="A104" s="2">
        <v>67</v>
      </c>
      <c r="B104" s="958"/>
      <c r="C104" s="93"/>
      <c r="D104" s="944">
        <v>6050</v>
      </c>
      <c r="E104" s="936" t="s">
        <v>495</v>
      </c>
      <c r="F104" s="950">
        <f>360000-9700</f>
        <v>350300</v>
      </c>
      <c r="G104" s="951">
        <v>0</v>
      </c>
      <c r="I104" s="96">
        <v>26568</v>
      </c>
      <c r="J104" s="96">
        <v>0</v>
      </c>
      <c r="K104" s="920">
        <f t="shared" si="2"/>
        <v>7.584356266057665</v>
      </c>
      <c r="L104" s="1011" t="s">
        <v>485</v>
      </c>
      <c r="M104" s="255">
        <v>2015</v>
      </c>
    </row>
    <row r="105" spans="1:13" ht="25.5" customHeight="1">
      <c r="A105" s="971">
        <v>68</v>
      </c>
      <c r="B105" s="958"/>
      <c r="C105" s="93"/>
      <c r="D105" s="4">
        <v>6050</v>
      </c>
      <c r="E105" s="875" t="s">
        <v>496</v>
      </c>
      <c r="F105" s="960">
        <f>5350.5+130000</f>
        <v>135350.5</v>
      </c>
      <c r="G105" s="951"/>
      <c r="I105" s="96">
        <v>5350.5</v>
      </c>
      <c r="J105" s="96">
        <v>0</v>
      </c>
      <c r="K105" s="920">
        <f t="shared" si="2"/>
        <v>3.9530699923531865</v>
      </c>
      <c r="L105" s="854" t="s">
        <v>497</v>
      </c>
      <c r="M105" s="1084">
        <v>2015</v>
      </c>
    </row>
    <row r="106" spans="1:13" ht="23.25" customHeight="1">
      <c r="A106" s="873"/>
      <c r="B106" s="958"/>
      <c r="C106" s="93"/>
      <c r="D106" s="4">
        <v>6057</v>
      </c>
      <c r="E106" s="876"/>
      <c r="F106" s="937">
        <f>10913694.17+1463846.37</f>
        <v>12377540.54</v>
      </c>
      <c r="G106" s="531">
        <v>0</v>
      </c>
      <c r="H106" s="961">
        <f>F106+F107</f>
        <v>17964254.799999997</v>
      </c>
      <c r="I106" s="96">
        <v>7601503.23</v>
      </c>
      <c r="J106" s="96">
        <v>0</v>
      </c>
      <c r="K106" s="920">
        <f t="shared" si="2"/>
        <v>61.41368073434725</v>
      </c>
      <c r="L106" s="855"/>
      <c r="M106" s="1085"/>
    </row>
    <row r="107" spans="1:13" ht="36" customHeight="1">
      <c r="A107" s="874"/>
      <c r="B107" s="958"/>
      <c r="C107" s="93"/>
      <c r="D107" s="4">
        <v>6059</v>
      </c>
      <c r="E107" s="853"/>
      <c r="F107" s="937">
        <f>882187.12+4704527.14</f>
        <v>5586714.26</v>
      </c>
      <c r="G107" s="531">
        <v>882187.12</v>
      </c>
      <c r="I107" s="96">
        <v>1341441.75</v>
      </c>
      <c r="J107" s="96">
        <v>646743.73</v>
      </c>
      <c r="K107" s="920">
        <f t="shared" si="2"/>
        <v>24.011282617486152</v>
      </c>
      <c r="L107" s="856"/>
      <c r="M107" s="1086"/>
    </row>
    <row r="108" spans="1:13" ht="44.25" customHeight="1">
      <c r="A108" s="2">
        <v>69</v>
      </c>
      <c r="B108" s="958"/>
      <c r="C108" s="93"/>
      <c r="D108" s="4">
        <v>6230</v>
      </c>
      <c r="E108" s="962" t="s">
        <v>498</v>
      </c>
      <c r="F108" s="950">
        <v>500000</v>
      </c>
      <c r="G108" s="951">
        <v>500000</v>
      </c>
      <c r="I108" s="96">
        <v>5700</v>
      </c>
      <c r="J108" s="96">
        <v>5700</v>
      </c>
      <c r="K108" s="920">
        <f t="shared" si="2"/>
        <v>1.1400000000000001</v>
      </c>
      <c r="L108" s="170" t="s">
        <v>499</v>
      </c>
      <c r="M108" s="255">
        <v>2015</v>
      </c>
    </row>
    <row r="109" spans="1:15" s="966" customFormat="1" ht="29.25" customHeight="1">
      <c r="A109" s="10"/>
      <c r="B109" s="61">
        <v>921</v>
      </c>
      <c r="C109" s="61"/>
      <c r="D109" s="10"/>
      <c r="E109" s="963" t="s">
        <v>660</v>
      </c>
      <c r="F109" s="964">
        <f>F110+F112</f>
        <v>860000</v>
      </c>
      <c r="G109" s="965">
        <f>G110+G112</f>
        <v>450000</v>
      </c>
      <c r="H109" s="1024"/>
      <c r="I109" s="132">
        <f>I110+I112</f>
        <v>241297.82</v>
      </c>
      <c r="J109" s="132">
        <f>J110+J112</f>
        <v>143717.79</v>
      </c>
      <c r="K109" s="908">
        <f t="shared" si="2"/>
        <v>28.057886046511626</v>
      </c>
      <c r="L109" s="174"/>
      <c r="M109" s="745"/>
      <c r="N109" s="967"/>
      <c r="O109" s="967"/>
    </row>
    <row r="110" spans="1:15" s="954" customFormat="1" ht="29.25" customHeight="1">
      <c r="A110" s="32" t="s">
        <v>201</v>
      </c>
      <c r="B110" s="159"/>
      <c r="C110" s="1020">
        <v>92109</v>
      </c>
      <c r="D110" s="968"/>
      <c r="E110" s="1021" t="s">
        <v>316</v>
      </c>
      <c r="F110" s="1022">
        <f>F111</f>
        <v>854000</v>
      </c>
      <c r="G110" s="1023">
        <f>G111</f>
        <v>450000</v>
      </c>
      <c r="I110" s="211">
        <f>I111</f>
        <v>241297.82</v>
      </c>
      <c r="J110" s="211">
        <f>J111</f>
        <v>143717.79</v>
      </c>
      <c r="K110" s="1014">
        <f t="shared" si="2"/>
        <v>28.25501405152225</v>
      </c>
      <c r="L110" s="204"/>
      <c r="M110" s="77"/>
      <c r="N110" s="955"/>
      <c r="O110" s="955"/>
    </row>
    <row r="111" spans="1:13" ht="78.75" customHeight="1">
      <c r="A111" s="13">
        <v>70</v>
      </c>
      <c r="B111" s="157"/>
      <c r="C111" s="398"/>
      <c r="D111" s="949">
        <v>6050</v>
      </c>
      <c r="E111" s="957" t="s">
        <v>500</v>
      </c>
      <c r="F111" s="950">
        <f>850000+30000-26000</f>
        <v>854000</v>
      </c>
      <c r="G111" s="951">
        <v>450000</v>
      </c>
      <c r="I111" s="96">
        <v>241297.82</v>
      </c>
      <c r="J111" s="96">
        <v>143717.79</v>
      </c>
      <c r="K111" s="920">
        <f t="shared" si="2"/>
        <v>28.25501405152225</v>
      </c>
      <c r="L111" s="170" t="s">
        <v>501</v>
      </c>
      <c r="M111" s="255" t="s">
        <v>295</v>
      </c>
    </row>
    <row r="112" spans="1:13" ht="21.75" customHeight="1">
      <c r="A112" s="13"/>
      <c r="B112" s="157"/>
      <c r="C112" s="372">
        <v>92195</v>
      </c>
      <c r="D112" s="949"/>
      <c r="E112" s="974" t="s">
        <v>250</v>
      </c>
      <c r="F112" s="952">
        <f>F113</f>
        <v>6000</v>
      </c>
      <c r="G112" s="953">
        <f>G113</f>
        <v>0</v>
      </c>
      <c r="H112" s="975"/>
      <c r="I112" s="554">
        <f>I113</f>
        <v>0</v>
      </c>
      <c r="J112" s="554">
        <f>J113</f>
        <v>0</v>
      </c>
      <c r="K112" s="918"/>
      <c r="L112" s="170"/>
      <c r="M112" s="255"/>
    </row>
    <row r="113" spans="1:13" ht="28.5" customHeight="1">
      <c r="A113" s="13">
        <v>71</v>
      </c>
      <c r="B113" s="157"/>
      <c r="C113" s="398"/>
      <c r="D113" s="949">
        <v>6050</v>
      </c>
      <c r="E113" s="957" t="s">
        <v>502</v>
      </c>
      <c r="F113" s="950">
        <v>6000</v>
      </c>
      <c r="G113" s="951">
        <v>0</v>
      </c>
      <c r="I113" s="96">
        <v>0</v>
      </c>
      <c r="J113" s="96">
        <v>0</v>
      </c>
      <c r="K113" s="920"/>
      <c r="L113" s="170" t="s">
        <v>416</v>
      </c>
      <c r="M113" s="255">
        <v>2015</v>
      </c>
    </row>
    <row r="114" spans="1:13" ht="30" customHeight="1">
      <c r="A114" s="13"/>
      <c r="B114" s="61">
        <v>926</v>
      </c>
      <c r="C114" s="58"/>
      <c r="D114" s="10"/>
      <c r="E114" s="367" t="s">
        <v>190</v>
      </c>
      <c r="F114" s="976">
        <f aca="true" t="shared" si="3" ref="F114:J115">F115</f>
        <v>15000</v>
      </c>
      <c r="G114" s="976">
        <f t="shared" si="3"/>
        <v>0</v>
      </c>
      <c r="H114" s="976">
        <f t="shared" si="3"/>
        <v>0</v>
      </c>
      <c r="I114" s="976">
        <f t="shared" si="3"/>
        <v>0</v>
      </c>
      <c r="J114" s="976">
        <f t="shared" si="3"/>
        <v>0</v>
      </c>
      <c r="K114" s="908"/>
      <c r="L114" s="170"/>
      <c r="M114" s="255"/>
    </row>
    <row r="115" spans="1:15" s="954" customFormat="1" ht="27.75" customHeight="1">
      <c r="A115" s="35"/>
      <c r="B115" s="977"/>
      <c r="C115" s="24">
        <v>92604</v>
      </c>
      <c r="D115" s="23"/>
      <c r="E115" s="978" t="s">
        <v>621</v>
      </c>
      <c r="F115" s="952">
        <f t="shared" si="3"/>
        <v>15000</v>
      </c>
      <c r="G115" s="952">
        <f t="shared" si="3"/>
        <v>0</v>
      </c>
      <c r="H115" s="952">
        <f t="shared" si="3"/>
        <v>0</v>
      </c>
      <c r="I115" s="952">
        <f t="shared" si="3"/>
        <v>0</v>
      </c>
      <c r="J115" s="952">
        <f t="shared" si="3"/>
        <v>0</v>
      </c>
      <c r="K115" s="920"/>
      <c r="L115" s="175"/>
      <c r="M115" s="46"/>
      <c r="N115" s="955"/>
      <c r="O115" s="955"/>
    </row>
    <row r="116" spans="1:13" ht="31.5" customHeight="1">
      <c r="A116" s="1">
        <v>72</v>
      </c>
      <c r="B116" s="979"/>
      <c r="C116" s="7"/>
      <c r="D116" s="2">
        <v>6060</v>
      </c>
      <c r="E116" s="980" t="s">
        <v>503</v>
      </c>
      <c r="F116" s="950">
        <v>15000</v>
      </c>
      <c r="G116" s="951">
        <v>0</v>
      </c>
      <c r="I116" s="96">
        <v>0</v>
      </c>
      <c r="J116" s="96">
        <v>0</v>
      </c>
      <c r="K116" s="920"/>
      <c r="L116" s="170" t="s">
        <v>416</v>
      </c>
      <c r="M116" s="255">
        <v>2015</v>
      </c>
    </row>
    <row r="117" spans="1:13" ht="30" customHeight="1">
      <c r="A117" s="1"/>
      <c r="B117" s="981" t="s">
        <v>504</v>
      </c>
      <c r="C117" s="982"/>
      <c r="D117" s="944"/>
      <c r="E117" s="983"/>
      <c r="F117" s="910">
        <f>F118+F127+F131+F134+F139+F142+F153+F156</f>
        <v>15813176.780000001</v>
      </c>
      <c r="G117" s="132">
        <f>G118+G127+G131+G153+G156</f>
        <v>498009.64</v>
      </c>
      <c r="I117" s="132">
        <f>I118+I127+I131+I134+I139+I142+I153+I156</f>
        <v>507735.02999999997</v>
      </c>
      <c r="J117" s="132">
        <f>J118+J127+J131+J134+J139+J142+J153+J156</f>
        <v>23342.38</v>
      </c>
      <c r="K117" s="908">
        <f t="shared" si="2"/>
        <v>3.210835096981696</v>
      </c>
      <c r="L117" s="170"/>
      <c r="M117" s="255"/>
    </row>
    <row r="118" spans="1:13" ht="26.25" customHeight="1">
      <c r="A118" s="10"/>
      <c r="B118" s="59">
        <v>600</v>
      </c>
      <c r="C118" s="58"/>
      <c r="D118" s="102"/>
      <c r="E118" s="922" t="s">
        <v>210</v>
      </c>
      <c r="F118" s="923">
        <f>F119+F121</f>
        <v>14360705.280000001</v>
      </c>
      <c r="G118" s="924">
        <f>G121</f>
        <v>495309.64</v>
      </c>
      <c r="I118" s="132">
        <f>I119+I121</f>
        <v>397046.04</v>
      </c>
      <c r="J118" s="132">
        <f>J119+J121</f>
        <v>22296.88</v>
      </c>
      <c r="K118" s="908">
        <f t="shared" si="2"/>
        <v>2.764808776856954</v>
      </c>
      <c r="L118" s="170"/>
      <c r="M118" s="255"/>
    </row>
    <row r="119" spans="1:15" s="954" customFormat="1" ht="26.25" customHeight="1">
      <c r="A119" s="984"/>
      <c r="B119" s="1025"/>
      <c r="C119" s="94">
        <v>60013</v>
      </c>
      <c r="D119" s="915"/>
      <c r="E119" s="916" t="s">
        <v>690</v>
      </c>
      <c r="F119" s="917">
        <f>F120</f>
        <v>250000</v>
      </c>
      <c r="G119" s="917">
        <f>G120</f>
        <v>0</v>
      </c>
      <c r="H119" s="917">
        <f>H120</f>
        <v>0</v>
      </c>
      <c r="I119" s="917">
        <f>I120</f>
        <v>0</v>
      </c>
      <c r="J119" s="917">
        <f>J120</f>
        <v>0</v>
      </c>
      <c r="K119" s="918"/>
      <c r="L119" s="175"/>
      <c r="M119" s="46"/>
      <c r="N119" s="955"/>
      <c r="O119" s="955"/>
    </row>
    <row r="120" spans="1:13" ht="69" customHeight="1">
      <c r="A120" s="2">
        <v>73</v>
      </c>
      <c r="B120" s="59"/>
      <c r="C120" s="58"/>
      <c r="D120" s="2">
        <v>6300</v>
      </c>
      <c r="E120" s="986" t="s">
        <v>505</v>
      </c>
      <c r="F120" s="950">
        <f>95000+155000</f>
        <v>250000</v>
      </c>
      <c r="G120" s="951">
        <v>0</v>
      </c>
      <c r="I120" s="96">
        <v>0</v>
      </c>
      <c r="J120" s="96">
        <v>0</v>
      </c>
      <c r="K120" s="920"/>
      <c r="L120" s="170" t="s">
        <v>416</v>
      </c>
      <c r="M120" s="255">
        <v>2015</v>
      </c>
    </row>
    <row r="121" spans="1:13" ht="27" customHeight="1">
      <c r="A121" s="2"/>
      <c r="B121" s="103"/>
      <c r="C121" s="94">
        <v>60015</v>
      </c>
      <c r="D121" s="915"/>
      <c r="E121" s="916" t="s">
        <v>506</v>
      </c>
      <c r="F121" s="917">
        <f>SUM(F122:F126)</f>
        <v>14110705.280000001</v>
      </c>
      <c r="G121" s="917">
        <f>SUM(G122:G126)</f>
        <v>495309.64</v>
      </c>
      <c r="H121" s="917">
        <f>SUM(H122:H126)</f>
        <v>0</v>
      </c>
      <c r="I121" s="917">
        <f>SUM(I122:I126)</f>
        <v>397046.04</v>
      </c>
      <c r="J121" s="917">
        <f>SUM(J122:J126)</f>
        <v>22296.88</v>
      </c>
      <c r="K121" s="918">
        <f t="shared" si="2"/>
        <v>2.813793018289161</v>
      </c>
      <c r="L121" s="170"/>
      <c r="M121" s="255"/>
    </row>
    <row r="122" spans="1:15" s="161" customFormat="1" ht="56.25" customHeight="1">
      <c r="A122" s="2">
        <v>74</v>
      </c>
      <c r="B122" s="71"/>
      <c r="C122" s="62"/>
      <c r="D122" s="4">
        <v>6050</v>
      </c>
      <c r="E122" s="936" t="s">
        <v>507</v>
      </c>
      <c r="F122" s="987">
        <f>9655000-155000+3906793.48</f>
        <v>13406793.48</v>
      </c>
      <c r="G122" s="951">
        <v>473012.76</v>
      </c>
      <c r="I122" s="96">
        <v>0</v>
      </c>
      <c r="J122" s="96">
        <v>0</v>
      </c>
      <c r="K122" s="920"/>
      <c r="L122" s="170" t="s">
        <v>303</v>
      </c>
      <c r="M122" s="255" t="s">
        <v>295</v>
      </c>
      <c r="N122" s="543"/>
      <c r="O122" s="543"/>
    </row>
    <row r="123" spans="1:15" s="161" customFormat="1" ht="38.25" customHeight="1">
      <c r="A123" s="2">
        <v>75</v>
      </c>
      <c r="B123" s="71"/>
      <c r="C123" s="62"/>
      <c r="D123" s="4">
        <v>6050</v>
      </c>
      <c r="E123" s="936" t="s">
        <v>508</v>
      </c>
      <c r="F123" s="950">
        <f>400000-3500</f>
        <v>396500</v>
      </c>
      <c r="G123" s="951">
        <f>22305.88-9</f>
        <v>22296.88</v>
      </c>
      <c r="I123" s="96">
        <v>396463.63</v>
      </c>
      <c r="J123" s="96">
        <v>22296.88</v>
      </c>
      <c r="K123" s="920">
        <f t="shared" si="2"/>
        <v>99.99082723833543</v>
      </c>
      <c r="L123" s="170" t="s">
        <v>509</v>
      </c>
      <c r="M123" s="255" t="s">
        <v>396</v>
      </c>
      <c r="N123" s="543"/>
      <c r="O123" s="543"/>
    </row>
    <row r="124" spans="1:15" s="161" customFormat="1" ht="81.75" customHeight="1">
      <c r="A124" s="2">
        <v>76</v>
      </c>
      <c r="B124" s="71"/>
      <c r="C124" s="62"/>
      <c r="D124" s="4">
        <v>6050</v>
      </c>
      <c r="E124" s="936" t="s">
        <v>510</v>
      </c>
      <c r="F124" s="950">
        <v>36000</v>
      </c>
      <c r="G124" s="951">
        <v>0</v>
      </c>
      <c r="I124" s="96">
        <v>582.41</v>
      </c>
      <c r="J124" s="96">
        <v>0</v>
      </c>
      <c r="K124" s="920">
        <f t="shared" si="2"/>
        <v>1.6178055555555553</v>
      </c>
      <c r="L124" s="170" t="s">
        <v>511</v>
      </c>
      <c r="M124" s="255">
        <v>2015</v>
      </c>
      <c r="N124" s="543"/>
      <c r="O124" s="543"/>
    </row>
    <row r="125" spans="1:15" s="161" customFormat="1" ht="45.75" customHeight="1">
      <c r="A125" s="2">
        <v>77</v>
      </c>
      <c r="B125" s="71"/>
      <c r="C125" s="62"/>
      <c r="D125" s="4">
        <v>6050</v>
      </c>
      <c r="E125" s="432" t="s">
        <v>512</v>
      </c>
      <c r="F125" s="950">
        <v>60712.8</v>
      </c>
      <c r="G125" s="951">
        <v>0</v>
      </c>
      <c r="I125" s="96">
        <v>0</v>
      </c>
      <c r="J125" s="96">
        <v>0</v>
      </c>
      <c r="K125" s="920"/>
      <c r="L125" s="170" t="s">
        <v>400</v>
      </c>
      <c r="M125" s="255">
        <v>2015</v>
      </c>
      <c r="N125" s="543"/>
      <c r="O125" s="543"/>
    </row>
    <row r="126" spans="1:15" s="161" customFormat="1" ht="63.75" customHeight="1">
      <c r="A126" s="2">
        <v>78</v>
      </c>
      <c r="B126" s="392"/>
      <c r="C126" s="69"/>
      <c r="D126" s="2">
        <v>6050</v>
      </c>
      <c r="E126" s="940" t="s">
        <v>513</v>
      </c>
      <c r="F126" s="950">
        <f>400000-189301</f>
        <v>210699</v>
      </c>
      <c r="G126" s="951">
        <v>0</v>
      </c>
      <c r="H126" s="1030"/>
      <c r="I126" s="96">
        <v>0</v>
      </c>
      <c r="J126" s="96">
        <v>0</v>
      </c>
      <c r="K126" s="920"/>
      <c r="L126" s="170" t="s">
        <v>514</v>
      </c>
      <c r="M126" s="255">
        <v>2015</v>
      </c>
      <c r="N126" s="543"/>
      <c r="O126" s="543"/>
    </row>
    <row r="127" spans="1:15" s="989" customFormat="1" ht="25.5" customHeight="1">
      <c r="A127" s="5"/>
      <c r="B127" s="845">
        <v>630</v>
      </c>
      <c r="C127" s="68"/>
      <c r="D127" s="6"/>
      <c r="E127" s="1026" t="s">
        <v>671</v>
      </c>
      <c r="F127" s="1027">
        <f>F128</f>
        <v>706810</v>
      </c>
      <c r="G127" s="1028">
        <f>G128</f>
        <v>2700</v>
      </c>
      <c r="I127" s="907">
        <f>I128</f>
        <v>4324.88</v>
      </c>
      <c r="J127" s="907">
        <f>J128</f>
        <v>1045.5</v>
      </c>
      <c r="K127" s="1029">
        <f t="shared" si="2"/>
        <v>0.6118872115561467</v>
      </c>
      <c r="L127" s="200"/>
      <c r="M127" s="697"/>
      <c r="N127" s="990"/>
      <c r="O127" s="990"/>
    </row>
    <row r="128" spans="1:15" s="992" customFormat="1" ht="21" customHeight="1">
      <c r="A128" s="2"/>
      <c r="B128" s="210"/>
      <c r="C128" s="94">
        <v>63095</v>
      </c>
      <c r="D128" s="991"/>
      <c r="E128" s="974" t="s">
        <v>250</v>
      </c>
      <c r="F128" s="969">
        <f>SUM(F129:F130)</f>
        <v>706810</v>
      </c>
      <c r="G128" s="973">
        <f>SUM(G129:G130)</f>
        <v>2700</v>
      </c>
      <c r="I128" s="554">
        <f>I129+I130</f>
        <v>4324.88</v>
      </c>
      <c r="J128" s="554">
        <f>J129+J130</f>
        <v>1045.5</v>
      </c>
      <c r="K128" s="918">
        <f t="shared" si="2"/>
        <v>0.6118872115561467</v>
      </c>
      <c r="L128" s="175"/>
      <c r="M128" s="46"/>
      <c r="N128" s="993"/>
      <c r="O128" s="993"/>
    </row>
    <row r="129" spans="1:15" s="948" customFormat="1" ht="32.25" customHeight="1">
      <c r="A129" s="2">
        <v>79</v>
      </c>
      <c r="B129" s="71"/>
      <c r="C129" s="62"/>
      <c r="D129" s="21">
        <v>6050</v>
      </c>
      <c r="E129" s="936" t="s">
        <v>515</v>
      </c>
      <c r="F129" s="994">
        <v>24000</v>
      </c>
      <c r="G129" s="995">
        <v>0</v>
      </c>
      <c r="I129" s="96">
        <v>465</v>
      </c>
      <c r="J129" s="96">
        <v>0</v>
      </c>
      <c r="K129" s="920">
        <f t="shared" si="2"/>
        <v>1.9375</v>
      </c>
      <c r="L129" s="170" t="s">
        <v>421</v>
      </c>
      <c r="M129" s="255">
        <v>2015</v>
      </c>
      <c r="N129" s="562"/>
      <c r="O129" s="562"/>
    </row>
    <row r="130" spans="1:15" s="992" customFormat="1" ht="87.75" customHeight="1">
      <c r="A130" s="2">
        <v>80</v>
      </c>
      <c r="B130" s="210"/>
      <c r="C130" s="93"/>
      <c r="D130" s="4">
        <v>6050</v>
      </c>
      <c r="E130" s="936" t="s">
        <v>516</v>
      </c>
      <c r="F130" s="950">
        <f>680000+100+2700+10</f>
        <v>682810</v>
      </c>
      <c r="G130" s="951">
        <v>2700</v>
      </c>
      <c r="I130" s="96">
        <v>3859.88</v>
      </c>
      <c r="J130" s="96">
        <v>1045.5</v>
      </c>
      <c r="K130" s="920">
        <f t="shared" si="2"/>
        <v>0.5652934198386081</v>
      </c>
      <c r="L130" s="170" t="s">
        <v>517</v>
      </c>
      <c r="M130" s="255">
        <v>2015</v>
      </c>
      <c r="N130" s="993"/>
      <c r="O130" s="993"/>
    </row>
    <row r="131" spans="1:15" s="992" customFormat="1" ht="25.5" customHeight="1">
      <c r="A131" s="2"/>
      <c r="B131" s="60">
        <v>710</v>
      </c>
      <c r="C131" s="58"/>
      <c r="D131" s="11"/>
      <c r="E131" s="988" t="s">
        <v>259</v>
      </c>
      <c r="F131" s="964">
        <f>F132</f>
        <v>20000</v>
      </c>
      <c r="G131" s="965">
        <f>G132</f>
        <v>0</v>
      </c>
      <c r="I131" s="132">
        <f>I132</f>
        <v>0</v>
      </c>
      <c r="J131" s="132">
        <f>J132</f>
        <v>0</v>
      </c>
      <c r="K131" s="908"/>
      <c r="L131" s="175"/>
      <c r="M131" s="46"/>
      <c r="N131" s="993"/>
      <c r="O131" s="993"/>
    </row>
    <row r="132" spans="1:15" s="992" customFormat="1" ht="27" customHeight="1">
      <c r="A132" s="2"/>
      <c r="B132" s="210"/>
      <c r="C132" s="94">
        <v>71012</v>
      </c>
      <c r="D132" s="991"/>
      <c r="E132" s="974" t="s">
        <v>140</v>
      </c>
      <c r="F132" s="969">
        <f>F133</f>
        <v>20000</v>
      </c>
      <c r="G132" s="973">
        <f>G133</f>
        <v>0</v>
      </c>
      <c r="I132" s="554">
        <f>I133</f>
        <v>0</v>
      </c>
      <c r="J132" s="554">
        <f>J133</f>
        <v>0</v>
      </c>
      <c r="K132" s="918"/>
      <c r="L132" s="175"/>
      <c r="M132" s="46"/>
      <c r="N132" s="993"/>
      <c r="O132" s="993"/>
    </row>
    <row r="133" spans="1:15" s="992" customFormat="1" ht="24.75" customHeight="1">
      <c r="A133" s="2">
        <v>81</v>
      </c>
      <c r="B133" s="71"/>
      <c r="C133" s="62"/>
      <c r="D133" s="4">
        <v>6060</v>
      </c>
      <c r="E133" s="936" t="s">
        <v>518</v>
      </c>
      <c r="F133" s="950">
        <v>20000</v>
      </c>
      <c r="G133" s="951">
        <v>0</v>
      </c>
      <c r="I133" s="96">
        <v>0</v>
      </c>
      <c r="J133" s="96">
        <v>0</v>
      </c>
      <c r="K133" s="920"/>
      <c r="L133" s="170" t="s">
        <v>416</v>
      </c>
      <c r="M133" s="255">
        <v>2015</v>
      </c>
      <c r="N133" s="993"/>
      <c r="O133" s="993"/>
    </row>
    <row r="134" spans="1:15" s="992" customFormat="1" ht="33.75" customHeight="1">
      <c r="A134" s="2"/>
      <c r="B134" s="58">
        <v>754</v>
      </c>
      <c r="C134" s="58"/>
      <c r="D134" s="10"/>
      <c r="E134" s="946" t="s">
        <v>252</v>
      </c>
      <c r="F134" s="923">
        <f>F135+F137</f>
        <v>543000</v>
      </c>
      <c r="G134" s="924">
        <f>G135+G137</f>
        <v>0</v>
      </c>
      <c r="I134" s="132">
        <f>I135+I137</f>
        <v>63492</v>
      </c>
      <c r="J134" s="132">
        <f>J135</f>
        <v>0</v>
      </c>
      <c r="K134" s="908">
        <f t="shared" si="2"/>
        <v>11.692817679558011</v>
      </c>
      <c r="L134" s="175"/>
      <c r="M134" s="46"/>
      <c r="N134" s="993"/>
      <c r="O134" s="993"/>
    </row>
    <row r="135" spans="1:15" s="992" customFormat="1" ht="28.5" customHeight="1">
      <c r="A135" s="2"/>
      <c r="B135" s="62"/>
      <c r="C135" s="309">
        <v>75405</v>
      </c>
      <c r="D135" s="996"/>
      <c r="E135" s="933" t="s">
        <v>519</v>
      </c>
      <c r="F135" s="917">
        <f>F136</f>
        <v>63000</v>
      </c>
      <c r="G135" s="926">
        <f>G136</f>
        <v>0</v>
      </c>
      <c r="H135" s="997"/>
      <c r="I135" s="554">
        <f>I136</f>
        <v>63000</v>
      </c>
      <c r="J135" s="554">
        <f>J136</f>
        <v>0</v>
      </c>
      <c r="K135" s="918">
        <f t="shared" si="2"/>
        <v>100</v>
      </c>
      <c r="L135" s="175"/>
      <c r="M135" s="46"/>
      <c r="N135" s="993"/>
      <c r="O135" s="993"/>
    </row>
    <row r="136" spans="1:15" s="992" customFormat="1" ht="40.5" customHeight="1">
      <c r="A136" s="2">
        <v>82</v>
      </c>
      <c r="B136" s="67"/>
      <c r="C136" s="58"/>
      <c r="D136" s="996">
        <v>6170</v>
      </c>
      <c r="E136" s="532" t="s">
        <v>520</v>
      </c>
      <c r="F136" s="929">
        <v>63000</v>
      </c>
      <c r="G136" s="531">
        <v>0</v>
      </c>
      <c r="I136" s="96">
        <v>63000</v>
      </c>
      <c r="J136" s="96">
        <v>0</v>
      </c>
      <c r="K136" s="920">
        <f t="shared" si="2"/>
        <v>100</v>
      </c>
      <c r="L136" s="170" t="s">
        <v>521</v>
      </c>
      <c r="M136" s="255" t="s">
        <v>403</v>
      </c>
      <c r="N136" s="993"/>
      <c r="O136" s="993"/>
    </row>
    <row r="137" spans="1:15" s="992" customFormat="1" ht="36.75" customHeight="1">
      <c r="A137" s="2"/>
      <c r="B137" s="914"/>
      <c r="C137" s="94">
        <v>75411</v>
      </c>
      <c r="D137" s="968"/>
      <c r="E137" s="933" t="s">
        <v>276</v>
      </c>
      <c r="F137" s="917">
        <f>SUM(F138:F138)</f>
        <v>480000</v>
      </c>
      <c r="G137" s="926">
        <f>SUM(G138:G138)</f>
        <v>0</v>
      </c>
      <c r="H137" s="926">
        <f>SUM(H138:H138)</f>
        <v>0</v>
      </c>
      <c r="I137" s="926">
        <f>SUM(I138:I138)</f>
        <v>492</v>
      </c>
      <c r="J137" s="926">
        <f>SUM(J138:J138)</f>
        <v>0</v>
      </c>
      <c r="K137" s="918">
        <f t="shared" si="2"/>
        <v>0.10250000000000001</v>
      </c>
      <c r="L137" s="175"/>
      <c r="M137" s="46"/>
      <c r="N137" s="993"/>
      <c r="O137" s="993"/>
    </row>
    <row r="138" spans="1:15" s="992" customFormat="1" ht="77.25" customHeight="1">
      <c r="A138" s="1">
        <v>83</v>
      </c>
      <c r="B138" s="62"/>
      <c r="C138" s="928"/>
      <c r="D138" s="16">
        <v>6050</v>
      </c>
      <c r="E138" s="532" t="s">
        <v>522</v>
      </c>
      <c r="F138" s="941">
        <v>480000</v>
      </c>
      <c r="G138" s="942">
        <v>0</v>
      </c>
      <c r="I138" s="250">
        <v>492</v>
      </c>
      <c r="J138" s="250">
        <v>0</v>
      </c>
      <c r="K138" s="1012">
        <f t="shared" si="2"/>
        <v>0.10250000000000001</v>
      </c>
      <c r="L138" s="205" t="s">
        <v>523</v>
      </c>
      <c r="M138" s="86">
        <v>2015</v>
      </c>
      <c r="N138" s="993"/>
      <c r="O138" s="993"/>
    </row>
    <row r="139" spans="1:15" s="992" customFormat="1" ht="27" customHeight="1">
      <c r="A139" s="7"/>
      <c r="B139" s="58">
        <v>758</v>
      </c>
      <c r="C139" s="58"/>
      <c r="D139" s="102"/>
      <c r="E139" s="922" t="s">
        <v>253</v>
      </c>
      <c r="F139" s="923">
        <f>F140</f>
        <v>94484.5</v>
      </c>
      <c r="G139" s="924">
        <f>G140</f>
        <v>0</v>
      </c>
      <c r="H139" s="924">
        <f aca="true" t="shared" si="4" ref="H139:J140">H140</f>
        <v>0</v>
      </c>
      <c r="I139" s="924">
        <f t="shared" si="4"/>
        <v>0</v>
      </c>
      <c r="J139" s="924">
        <f t="shared" si="4"/>
        <v>0</v>
      </c>
      <c r="K139" s="908"/>
      <c r="L139" s="175"/>
      <c r="M139" s="46"/>
      <c r="N139" s="993"/>
      <c r="O139" s="993"/>
    </row>
    <row r="140" spans="1:15" s="992" customFormat="1" ht="27.75" customHeight="1">
      <c r="A140" s="7"/>
      <c r="B140" s="985"/>
      <c r="C140" s="998">
        <v>75818</v>
      </c>
      <c r="D140" s="95"/>
      <c r="E140" s="933" t="s">
        <v>254</v>
      </c>
      <c r="F140" s="934">
        <f>F141</f>
        <v>94484.5</v>
      </c>
      <c r="G140" s="935">
        <f>G141</f>
        <v>0</v>
      </c>
      <c r="H140" s="935">
        <f t="shared" si="4"/>
        <v>0</v>
      </c>
      <c r="I140" s="935">
        <f t="shared" si="4"/>
        <v>0</v>
      </c>
      <c r="J140" s="935">
        <f t="shared" si="4"/>
        <v>0</v>
      </c>
      <c r="K140" s="918"/>
      <c r="L140" s="175"/>
      <c r="M140" s="46"/>
      <c r="N140" s="993"/>
      <c r="O140" s="993"/>
    </row>
    <row r="141" spans="1:15" s="992" customFormat="1" ht="26.25" customHeight="1">
      <c r="A141" s="7"/>
      <c r="B141" s="67"/>
      <c r="C141" s="928"/>
      <c r="D141" s="944">
        <v>6800</v>
      </c>
      <c r="E141" s="532" t="s">
        <v>419</v>
      </c>
      <c r="F141" s="118">
        <f>800000-20000-130000-182809.38-130000+3799-100765.56-84000+100000-27000-123215.08-4000+0.52-7515-10</f>
        <v>94484.5</v>
      </c>
      <c r="G141" s="96">
        <f>500000-500000</f>
        <v>0</v>
      </c>
      <c r="I141" s="96">
        <v>0</v>
      </c>
      <c r="J141" s="96">
        <v>0</v>
      </c>
      <c r="K141" s="920"/>
      <c r="L141" s="175"/>
      <c r="M141" s="46"/>
      <c r="N141" s="993"/>
      <c r="O141" s="993"/>
    </row>
    <row r="142" spans="1:15" s="992" customFormat="1" ht="23.25" customHeight="1">
      <c r="A142" s="7"/>
      <c r="B142" s="59">
        <v>801</v>
      </c>
      <c r="C142" s="58"/>
      <c r="D142" s="10"/>
      <c r="E142" s="938" t="s">
        <v>255</v>
      </c>
      <c r="F142" s="923">
        <f>SUM(F143+F147+F151)</f>
        <v>46177</v>
      </c>
      <c r="G142" s="923">
        <f>SUM(G143+G147+G151)</f>
        <v>0</v>
      </c>
      <c r="H142" s="923">
        <f>SUM(H143+H147+H151)</f>
        <v>0</v>
      </c>
      <c r="I142" s="923">
        <f>SUM(I143+I147+I151)</f>
        <v>32692.109999999997</v>
      </c>
      <c r="J142" s="923">
        <f>SUM(J143+J147+J151)</f>
        <v>0</v>
      </c>
      <c r="K142" s="908">
        <f aca="true" t="shared" si="5" ref="K142:K162">I142/F142*100</f>
        <v>70.7973883101977</v>
      </c>
      <c r="L142" s="175"/>
      <c r="M142" s="46"/>
      <c r="N142" s="993"/>
      <c r="O142" s="993"/>
    </row>
    <row r="143" spans="1:15" s="992" customFormat="1" ht="23.25" customHeight="1">
      <c r="A143" s="7"/>
      <c r="B143" s="103"/>
      <c r="C143" s="104">
        <v>80120</v>
      </c>
      <c r="D143" s="24"/>
      <c r="E143" s="939" t="s">
        <v>278</v>
      </c>
      <c r="F143" s="917">
        <f>SUM(F144:F146)</f>
        <v>16166</v>
      </c>
      <c r="G143" s="917">
        <f>SUM(G144:G146)</f>
        <v>0</v>
      </c>
      <c r="H143" s="917">
        <f>SUM(H144:H146)</f>
        <v>0</v>
      </c>
      <c r="I143" s="917">
        <f>SUM(I144:I146)</f>
        <v>11714.31</v>
      </c>
      <c r="J143" s="917">
        <f>SUM(J144:J146)</f>
        <v>0</v>
      </c>
      <c r="K143" s="918">
        <f t="shared" si="5"/>
        <v>72.46263763454162</v>
      </c>
      <c r="L143" s="175"/>
      <c r="M143" s="46"/>
      <c r="N143" s="993"/>
      <c r="O143" s="993"/>
    </row>
    <row r="144" spans="1:15" s="992" customFormat="1" ht="21.75" customHeight="1">
      <c r="A144" s="2">
        <v>84</v>
      </c>
      <c r="B144" s="210"/>
      <c r="C144" s="103"/>
      <c r="D144" s="8">
        <v>6060</v>
      </c>
      <c r="E144" s="940" t="s">
        <v>524</v>
      </c>
      <c r="F144" s="929">
        <v>5000</v>
      </c>
      <c r="G144" s="531">
        <v>0</v>
      </c>
      <c r="I144" s="96">
        <v>3716.85</v>
      </c>
      <c r="J144" s="96">
        <v>0</v>
      </c>
      <c r="K144" s="920">
        <f t="shared" si="5"/>
        <v>74.337</v>
      </c>
      <c r="L144" s="170" t="s">
        <v>525</v>
      </c>
      <c r="M144" s="255" t="s">
        <v>403</v>
      </c>
      <c r="N144" s="993"/>
      <c r="O144" s="993"/>
    </row>
    <row r="145" spans="1:15" s="992" customFormat="1" ht="23.25" customHeight="1">
      <c r="A145" s="2">
        <v>85</v>
      </c>
      <c r="B145" s="210"/>
      <c r="C145" s="93"/>
      <c r="D145" s="8">
        <v>6060</v>
      </c>
      <c r="E145" s="940" t="s">
        <v>526</v>
      </c>
      <c r="F145" s="929">
        <v>8000</v>
      </c>
      <c r="G145" s="531">
        <v>0</v>
      </c>
      <c r="I145" s="96">
        <v>7997.46</v>
      </c>
      <c r="J145" s="96">
        <v>0</v>
      </c>
      <c r="K145" s="920">
        <f t="shared" si="5"/>
        <v>99.96825</v>
      </c>
      <c r="L145" s="170" t="s">
        <v>428</v>
      </c>
      <c r="M145" s="255" t="s">
        <v>403</v>
      </c>
      <c r="N145" s="993"/>
      <c r="O145" s="993"/>
    </row>
    <row r="146" spans="1:15" s="992" customFormat="1" ht="45.75" customHeight="1">
      <c r="A146" s="2">
        <v>86</v>
      </c>
      <c r="B146" s="878"/>
      <c r="C146" s="69"/>
      <c r="D146" s="8">
        <v>6060</v>
      </c>
      <c r="E146" s="940" t="s">
        <v>527</v>
      </c>
      <c r="F146" s="929">
        <v>3166</v>
      </c>
      <c r="G146" s="531">
        <v>0</v>
      </c>
      <c r="I146" s="96">
        <v>0</v>
      </c>
      <c r="J146" s="96">
        <v>0</v>
      </c>
      <c r="K146" s="920"/>
      <c r="L146" s="170" t="s">
        <v>416</v>
      </c>
      <c r="M146" s="255">
        <v>2015</v>
      </c>
      <c r="N146" s="993"/>
      <c r="O146" s="993"/>
    </row>
    <row r="147" spans="1:15" s="992" customFormat="1" ht="23.25" customHeight="1">
      <c r="A147" s="2"/>
      <c r="B147" s="928"/>
      <c r="C147" s="911">
        <v>80130</v>
      </c>
      <c r="D147" s="24"/>
      <c r="E147" s="939" t="s">
        <v>288</v>
      </c>
      <c r="F147" s="917">
        <f>SUM(F148:F150)</f>
        <v>24011</v>
      </c>
      <c r="G147" s="917">
        <f>SUM(G148:G150)</f>
        <v>0</v>
      </c>
      <c r="H147" s="917">
        <f>SUM(H148:H150)</f>
        <v>0</v>
      </c>
      <c r="I147" s="917">
        <f>SUM(I148:I150)</f>
        <v>15000</v>
      </c>
      <c r="J147" s="917">
        <f>SUM(J148:J150)</f>
        <v>0</v>
      </c>
      <c r="K147" s="918">
        <f t="shared" si="5"/>
        <v>62.47136728999209</v>
      </c>
      <c r="L147" s="175"/>
      <c r="M147" s="46"/>
      <c r="N147" s="993"/>
      <c r="O147" s="993"/>
    </row>
    <row r="148" spans="1:15" s="992" customFormat="1" ht="21" customHeight="1">
      <c r="A148" s="2">
        <v>87</v>
      </c>
      <c r="B148" s="878"/>
      <c r="C148" s="103"/>
      <c r="D148" s="8">
        <v>6060</v>
      </c>
      <c r="E148" s="940" t="s">
        <v>528</v>
      </c>
      <c r="F148" s="929">
        <v>5000</v>
      </c>
      <c r="G148" s="531">
        <v>0</v>
      </c>
      <c r="I148" s="96">
        <v>5000</v>
      </c>
      <c r="J148" s="96">
        <v>0</v>
      </c>
      <c r="K148" s="920">
        <f t="shared" si="5"/>
        <v>100</v>
      </c>
      <c r="L148" s="170" t="s">
        <v>525</v>
      </c>
      <c r="M148" s="255" t="s">
        <v>403</v>
      </c>
      <c r="N148" s="993"/>
      <c r="O148" s="993"/>
    </row>
    <row r="149" spans="1:15" s="992" customFormat="1" ht="22.5" customHeight="1">
      <c r="A149" s="2">
        <v>88</v>
      </c>
      <c r="B149" s="1017"/>
      <c r="C149" s="914"/>
      <c r="D149" s="8">
        <v>6060</v>
      </c>
      <c r="E149" s="940" t="s">
        <v>529</v>
      </c>
      <c r="F149" s="929">
        <v>10000</v>
      </c>
      <c r="G149" s="531">
        <v>0</v>
      </c>
      <c r="H149" s="1031"/>
      <c r="I149" s="96">
        <v>10000</v>
      </c>
      <c r="J149" s="96">
        <v>0</v>
      </c>
      <c r="K149" s="920">
        <f t="shared" si="5"/>
        <v>100</v>
      </c>
      <c r="L149" s="170" t="s">
        <v>525</v>
      </c>
      <c r="M149" s="255" t="s">
        <v>403</v>
      </c>
      <c r="N149" s="993"/>
      <c r="O149" s="993"/>
    </row>
    <row r="150" spans="1:15" s="992" customFormat="1" ht="45" customHeight="1">
      <c r="A150" s="1"/>
      <c r="B150" s="878"/>
      <c r="C150" s="914"/>
      <c r="D150" s="19">
        <v>6060</v>
      </c>
      <c r="E150" s="940" t="s">
        <v>527</v>
      </c>
      <c r="F150" s="941">
        <v>9011</v>
      </c>
      <c r="G150" s="942">
        <v>0</v>
      </c>
      <c r="I150" s="250">
        <v>0</v>
      </c>
      <c r="J150" s="250">
        <v>0</v>
      </c>
      <c r="K150" s="1012"/>
      <c r="L150" s="205" t="s">
        <v>416</v>
      </c>
      <c r="M150" s="86">
        <v>2015</v>
      </c>
      <c r="N150" s="993"/>
      <c r="O150" s="993"/>
    </row>
    <row r="151" spans="1:15" s="992" customFormat="1" ht="25.5" customHeight="1">
      <c r="A151" s="7"/>
      <c r="B151" s="928"/>
      <c r="C151" s="914">
        <v>80148</v>
      </c>
      <c r="D151" s="915"/>
      <c r="E151" s="916" t="s">
        <v>198</v>
      </c>
      <c r="F151" s="917">
        <f>F152</f>
        <v>6000</v>
      </c>
      <c r="G151" s="917">
        <f>G152</f>
        <v>0</v>
      </c>
      <c r="H151" s="917">
        <f>H152</f>
        <v>0</v>
      </c>
      <c r="I151" s="917">
        <f>I152</f>
        <v>5977.8</v>
      </c>
      <c r="J151" s="917">
        <f>J152</f>
        <v>0</v>
      </c>
      <c r="K151" s="918">
        <f t="shared" si="5"/>
        <v>99.63000000000001</v>
      </c>
      <c r="L151" s="175"/>
      <c r="M151" s="255"/>
      <c r="N151" s="993"/>
      <c r="O151" s="993"/>
    </row>
    <row r="152" spans="1:15" s="992" customFormat="1" ht="25.5" customHeight="1">
      <c r="A152" s="2">
        <v>89</v>
      </c>
      <c r="B152" s="928"/>
      <c r="C152" s="93"/>
      <c r="D152" s="2">
        <v>6060</v>
      </c>
      <c r="E152" s="370" t="s">
        <v>530</v>
      </c>
      <c r="F152" s="929">
        <v>6000</v>
      </c>
      <c r="G152" s="531">
        <v>0</v>
      </c>
      <c r="I152" s="96">
        <v>5977.8</v>
      </c>
      <c r="J152" s="96">
        <v>0</v>
      </c>
      <c r="K152" s="920">
        <f t="shared" si="5"/>
        <v>99.63000000000001</v>
      </c>
      <c r="L152" s="170" t="s">
        <v>531</v>
      </c>
      <c r="M152" s="255" t="s">
        <v>403</v>
      </c>
      <c r="N152" s="993"/>
      <c r="O152" s="993"/>
    </row>
    <row r="153" spans="1:15" s="992" customFormat="1" ht="26.25" customHeight="1">
      <c r="A153" s="7"/>
      <c r="B153" s="58">
        <v>852</v>
      </c>
      <c r="C153" s="58"/>
      <c r="D153" s="10"/>
      <c r="E153" s="332" t="s">
        <v>306</v>
      </c>
      <c r="F153" s="964">
        <f aca="true" t="shared" si="6" ref="F153:J154">F154</f>
        <v>15000</v>
      </c>
      <c r="G153" s="964">
        <f t="shared" si="6"/>
        <v>0</v>
      </c>
      <c r="H153" s="964">
        <f t="shared" si="6"/>
        <v>0</v>
      </c>
      <c r="I153" s="964">
        <f t="shared" si="6"/>
        <v>5200</v>
      </c>
      <c r="J153" s="964">
        <f t="shared" si="6"/>
        <v>0</v>
      </c>
      <c r="K153" s="908">
        <f t="shared" si="5"/>
        <v>34.66666666666667</v>
      </c>
      <c r="L153" s="175"/>
      <c r="M153" s="46"/>
      <c r="N153" s="993"/>
      <c r="O153" s="993"/>
    </row>
    <row r="154" spans="1:15" s="992" customFormat="1" ht="25.5" customHeight="1">
      <c r="A154" s="7"/>
      <c r="B154" s="103"/>
      <c r="C154" s="999">
        <v>85202</v>
      </c>
      <c r="D154" s="24"/>
      <c r="E154" s="25" t="s">
        <v>600</v>
      </c>
      <c r="F154" s="969">
        <f>F155</f>
        <v>15000</v>
      </c>
      <c r="G154" s="973">
        <f>G155</f>
        <v>0</v>
      </c>
      <c r="H154" s="973">
        <f t="shared" si="6"/>
        <v>0</v>
      </c>
      <c r="I154" s="973">
        <f t="shared" si="6"/>
        <v>5200</v>
      </c>
      <c r="J154" s="973">
        <f t="shared" si="6"/>
        <v>0</v>
      </c>
      <c r="K154" s="918">
        <f t="shared" si="5"/>
        <v>34.66666666666667</v>
      </c>
      <c r="L154" s="175"/>
      <c r="M154" s="255"/>
      <c r="N154" s="993"/>
      <c r="O154" s="993"/>
    </row>
    <row r="155" spans="1:15" s="992" customFormat="1" ht="28.5" customHeight="1">
      <c r="A155" s="2">
        <v>90</v>
      </c>
      <c r="B155" s="62"/>
      <c r="C155" s="1000"/>
      <c r="D155" s="2">
        <v>6060</v>
      </c>
      <c r="E155" s="370" t="s">
        <v>532</v>
      </c>
      <c r="F155" s="950">
        <v>15000</v>
      </c>
      <c r="G155" s="951">
        <v>0</v>
      </c>
      <c r="I155" s="96">
        <v>5200</v>
      </c>
      <c r="J155" s="96">
        <v>0</v>
      </c>
      <c r="K155" s="920">
        <f t="shared" si="5"/>
        <v>34.66666666666667</v>
      </c>
      <c r="L155" s="170" t="s">
        <v>533</v>
      </c>
      <c r="M155" s="255">
        <v>2015</v>
      </c>
      <c r="N155" s="993"/>
      <c r="O155" s="993"/>
    </row>
    <row r="156" spans="1:15" s="992" customFormat="1" ht="24" customHeight="1">
      <c r="A156" s="7"/>
      <c r="B156" s="58">
        <v>854</v>
      </c>
      <c r="C156" s="58"/>
      <c r="D156" s="10"/>
      <c r="E156" s="332" t="s">
        <v>275</v>
      </c>
      <c r="F156" s="964">
        <f>F157+F160</f>
        <v>27000</v>
      </c>
      <c r="G156" s="964">
        <f>G157+G160</f>
        <v>0</v>
      </c>
      <c r="H156" s="964">
        <f>H157+H160</f>
        <v>0</v>
      </c>
      <c r="I156" s="964">
        <f>I157+I160</f>
        <v>4980</v>
      </c>
      <c r="J156" s="964">
        <f>J157+J160</f>
        <v>0</v>
      </c>
      <c r="K156" s="908">
        <f t="shared" si="5"/>
        <v>18.444444444444443</v>
      </c>
      <c r="L156" s="175"/>
      <c r="M156" s="255"/>
      <c r="N156" s="993"/>
      <c r="O156" s="993"/>
    </row>
    <row r="157" spans="1:15" s="992" customFormat="1" ht="24" customHeight="1">
      <c r="A157" s="944"/>
      <c r="B157" s="63"/>
      <c r="C157" s="104">
        <v>85403</v>
      </c>
      <c r="D157" s="915"/>
      <c r="E157" s="916" t="s">
        <v>534</v>
      </c>
      <c r="F157" s="917">
        <f>SUM(F158:F159)</f>
        <v>13000</v>
      </c>
      <c r="G157" s="917">
        <f>SUM(G158:G159)</f>
        <v>0</v>
      </c>
      <c r="H157" s="917">
        <f>SUM(H158:H159)</f>
        <v>0</v>
      </c>
      <c r="I157" s="917">
        <f>SUM(I158:I159)</f>
        <v>4980</v>
      </c>
      <c r="J157" s="917">
        <f>SUM(J158:J159)</f>
        <v>0</v>
      </c>
      <c r="K157" s="918">
        <f t="shared" si="5"/>
        <v>38.30769230769231</v>
      </c>
      <c r="L157" s="175"/>
      <c r="M157" s="255"/>
      <c r="N157" s="993"/>
      <c r="O157" s="993"/>
    </row>
    <row r="158" spans="1:15" s="948" customFormat="1" ht="24" customHeight="1">
      <c r="A158" s="944">
        <v>91</v>
      </c>
      <c r="B158" s="71"/>
      <c r="C158" s="63"/>
      <c r="D158" s="4">
        <v>6060</v>
      </c>
      <c r="E158" s="432" t="s">
        <v>535</v>
      </c>
      <c r="F158" s="929">
        <v>8000</v>
      </c>
      <c r="G158" s="531">
        <v>0</v>
      </c>
      <c r="I158" s="96">
        <v>0</v>
      </c>
      <c r="J158" s="96">
        <v>0</v>
      </c>
      <c r="K158" s="920"/>
      <c r="L158" s="170" t="s">
        <v>416</v>
      </c>
      <c r="M158" s="255">
        <v>2015</v>
      </c>
      <c r="N158" s="562"/>
      <c r="O158" s="562"/>
    </row>
    <row r="159" spans="1:15" s="992" customFormat="1" ht="24" customHeight="1">
      <c r="A159" s="2">
        <v>92</v>
      </c>
      <c r="B159" s="71"/>
      <c r="C159" s="69"/>
      <c r="D159" s="8">
        <v>6060</v>
      </c>
      <c r="E159" s="370" t="s">
        <v>536</v>
      </c>
      <c r="F159" s="531">
        <v>5000</v>
      </c>
      <c r="G159" s="531">
        <v>0</v>
      </c>
      <c r="I159" s="554">
        <v>4980</v>
      </c>
      <c r="J159" s="554">
        <v>0</v>
      </c>
      <c r="K159" s="920">
        <f t="shared" si="5"/>
        <v>99.6</v>
      </c>
      <c r="L159" s="170" t="s">
        <v>525</v>
      </c>
      <c r="M159" s="255" t="s">
        <v>403</v>
      </c>
      <c r="N159" s="993"/>
      <c r="O159" s="993"/>
    </row>
    <row r="160" spans="1:15" s="992" customFormat="1" ht="34.5" customHeight="1">
      <c r="A160" s="16"/>
      <c r="B160" s="62"/>
      <c r="C160" s="914">
        <v>85406</v>
      </c>
      <c r="D160" s="24"/>
      <c r="E160" s="25" t="s">
        <v>537</v>
      </c>
      <c r="F160" s="926">
        <f>F161</f>
        <v>14000</v>
      </c>
      <c r="G160" s="926">
        <f>G161</f>
        <v>0</v>
      </c>
      <c r="H160" s="926">
        <f>H161</f>
        <v>0</v>
      </c>
      <c r="I160" s="926">
        <f>I161</f>
        <v>0</v>
      </c>
      <c r="J160" s="926">
        <f>J161</f>
        <v>0</v>
      </c>
      <c r="K160" s="918"/>
      <c r="L160" s="175"/>
      <c r="M160" s="255"/>
      <c r="N160" s="993"/>
      <c r="O160" s="993"/>
    </row>
    <row r="161" spans="1:15" s="992" customFormat="1" ht="32.25" customHeight="1">
      <c r="A161" s="2">
        <v>93</v>
      </c>
      <c r="B161" s="69"/>
      <c r="C161" s="309"/>
      <c r="D161" s="2">
        <v>6060</v>
      </c>
      <c r="E161" s="370" t="s">
        <v>538</v>
      </c>
      <c r="F161" s="531">
        <v>14000</v>
      </c>
      <c r="G161" s="531">
        <v>0</v>
      </c>
      <c r="I161" s="96">
        <v>0</v>
      </c>
      <c r="J161" s="96">
        <v>0</v>
      </c>
      <c r="K161" s="920"/>
      <c r="L161" s="170" t="s">
        <v>416</v>
      </c>
      <c r="M161" s="255">
        <v>2015</v>
      </c>
      <c r="N161" s="993"/>
      <c r="O161" s="993"/>
    </row>
    <row r="162" spans="1:13" ht="28.5" customHeight="1">
      <c r="A162" s="102"/>
      <c r="B162" s="1001" t="s">
        <v>86</v>
      </c>
      <c r="C162" s="1002"/>
      <c r="D162" s="14"/>
      <c r="E162" s="1003"/>
      <c r="F162" s="1004">
        <f>F11+F117</f>
        <v>50416852.97</v>
      </c>
      <c r="G162" s="132">
        <f>G11+G117</f>
        <v>8068984</v>
      </c>
      <c r="I162" s="132">
        <f>I117+I11</f>
        <v>16268224.989999998</v>
      </c>
      <c r="J162" s="132">
        <f>J117+J11</f>
        <v>4970698.86</v>
      </c>
      <c r="K162" s="908">
        <f t="shared" si="5"/>
        <v>32.267434462203006</v>
      </c>
      <c r="L162" s="170"/>
      <c r="M162" s="255"/>
    </row>
    <row r="163" spans="1:10" ht="21.75" customHeight="1">
      <c r="A163" s="116"/>
      <c r="B163" s="57"/>
      <c r="C163" s="57"/>
      <c r="D163" s="116"/>
      <c r="F163" s="987"/>
      <c r="G163" s="987"/>
      <c r="I163" s="1005"/>
      <c r="J163" s="575"/>
    </row>
    <row r="164" spans="1:10" ht="15" customHeight="1">
      <c r="A164" s="116"/>
      <c r="B164" s="124"/>
      <c r="C164" s="124"/>
      <c r="D164" s="116"/>
      <c r="F164" s="1006"/>
      <c r="G164" s="1006"/>
      <c r="I164" s="987"/>
      <c r="J164" s="1007"/>
    </row>
    <row r="165" spans="1:10" ht="12.75">
      <c r="A165" s="116"/>
      <c r="B165" s="124"/>
      <c r="C165" s="124"/>
      <c r="D165" s="116"/>
      <c r="F165" s="1006"/>
      <c r="G165" s="1006"/>
      <c r="H165" s="961"/>
      <c r="I165" s="987"/>
      <c r="J165" s="56"/>
    </row>
    <row r="166" spans="6:10" ht="12.75">
      <c r="F166" s="1006"/>
      <c r="G166" s="1006"/>
      <c r="I166" s="987"/>
      <c r="J166" s="56"/>
    </row>
    <row r="167" spans="6:10" ht="12.75">
      <c r="F167" s="1006"/>
      <c r="G167" s="1006"/>
      <c r="I167" s="987"/>
      <c r="J167" s="56"/>
    </row>
    <row r="168" spans="6:10" ht="12.75">
      <c r="F168" s="1006"/>
      <c r="G168" s="1006"/>
      <c r="I168" s="987"/>
      <c r="J168" s="56"/>
    </row>
    <row r="169" spans="6:10" ht="12.75">
      <c r="F169" s="1006"/>
      <c r="G169" s="1006"/>
      <c r="I169" s="987"/>
      <c r="J169" s="56"/>
    </row>
    <row r="170" spans="6:10" ht="12.75">
      <c r="F170" s="1006"/>
      <c r="G170" s="1006"/>
      <c r="I170" s="987"/>
      <c r="J170" s="56"/>
    </row>
    <row r="171" spans="6:7" ht="12.75">
      <c r="F171" s="1006"/>
      <c r="G171" s="1006"/>
    </row>
    <row r="172" spans="6:7" ht="12.75">
      <c r="F172" s="1006"/>
      <c r="G172" s="1006"/>
    </row>
    <row r="173" spans="6:7" ht="12.75">
      <c r="F173" s="1008"/>
      <c r="G173" s="1006"/>
    </row>
    <row r="174" spans="6:7" ht="12.75">
      <c r="F174" s="1006"/>
      <c r="G174" s="1006"/>
    </row>
    <row r="175" spans="6:7" ht="12.75">
      <c r="F175" s="1006"/>
      <c r="G175" s="1006"/>
    </row>
    <row r="176" spans="6:7" ht="12.75">
      <c r="F176" s="1006"/>
      <c r="G176" s="1006"/>
    </row>
    <row r="177" ht="12.75">
      <c r="F177" s="1006"/>
    </row>
    <row r="178" ht="12.75">
      <c r="F178" s="1006"/>
    </row>
    <row r="179" ht="12.75">
      <c r="F179" s="1006"/>
    </row>
    <row r="180" spans="6:7" ht="12.75">
      <c r="F180" s="1006"/>
      <c r="G180" s="1006"/>
    </row>
    <row r="181" ht="12.75">
      <c r="F181" s="1006"/>
    </row>
    <row r="182" ht="12.75">
      <c r="F182" s="1006"/>
    </row>
    <row r="183" ht="12.75">
      <c r="F183" s="1006"/>
    </row>
  </sheetData>
  <mergeCells count="9">
    <mergeCell ref="K8:K10"/>
    <mergeCell ref="L8:L10"/>
    <mergeCell ref="M8:M10"/>
    <mergeCell ref="A69:A70"/>
    <mergeCell ref="E69:E70"/>
    <mergeCell ref="A105:A107"/>
    <mergeCell ref="E105:E107"/>
    <mergeCell ref="L105:L107"/>
    <mergeCell ref="M105:M107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L27" sqref="L27"/>
    </sheetView>
  </sheetViews>
  <sheetFormatPr defaultColWidth="9.140625" defaultRowHeight="12.75"/>
  <cols>
    <col min="1" max="1" width="4.00390625" style="40" customWidth="1"/>
    <col min="2" max="2" width="5.28125" style="40" customWidth="1"/>
    <col min="3" max="3" width="5.00390625" style="40" customWidth="1"/>
    <col min="4" max="4" width="28.140625" style="254" customWidth="1"/>
    <col min="5" max="5" width="12.57421875" style="40" customWidth="1"/>
    <col min="6" max="6" width="11.8515625" style="40" customWidth="1"/>
    <col min="7" max="7" width="6.421875" style="40" customWidth="1"/>
    <col min="8" max="8" width="12.8515625" style="40" customWidth="1"/>
    <col min="9" max="9" width="11.28125" style="40" customWidth="1"/>
    <col min="10" max="10" width="6.7109375" style="40" customWidth="1"/>
    <col min="11" max="16384" width="9.140625" style="40" customWidth="1"/>
  </cols>
  <sheetData>
    <row r="1" spans="1:8" ht="19.5">
      <c r="A1" s="124"/>
      <c r="B1" s="124"/>
      <c r="C1" s="124"/>
      <c r="E1" s="256"/>
      <c r="F1" s="256"/>
      <c r="G1" s="256"/>
      <c r="H1" s="253" t="s">
        <v>710</v>
      </c>
    </row>
    <row r="2" spans="1:8" ht="19.5">
      <c r="A2" s="124"/>
      <c r="B2" s="124"/>
      <c r="C2" s="124"/>
      <c r="E2" s="256"/>
      <c r="F2" s="256"/>
      <c r="G2" s="256"/>
      <c r="H2" s="253"/>
    </row>
    <row r="3" spans="1:7" ht="12.75">
      <c r="A3" s="124"/>
      <c r="B3" s="124"/>
      <c r="C3" s="124"/>
      <c r="E3" s="442"/>
      <c r="F3" s="442"/>
      <c r="G3" s="442"/>
    </row>
    <row r="4" spans="1:7" ht="18.75">
      <c r="A4" s="306" t="s">
        <v>711</v>
      </c>
      <c r="B4" s="124"/>
      <c r="C4" s="124"/>
      <c r="E4" s="442"/>
      <c r="F4" s="442"/>
      <c r="G4" s="442"/>
    </row>
    <row r="5" spans="1:7" ht="18.75">
      <c r="A5" s="306" t="s">
        <v>73</v>
      </c>
      <c r="B5" s="124"/>
      <c r="C5" s="124"/>
      <c r="E5" s="442"/>
      <c r="F5" s="442"/>
      <c r="G5" s="442"/>
    </row>
    <row r="6" spans="1:7" ht="18.75">
      <c r="A6" s="412" t="s">
        <v>712</v>
      </c>
      <c r="B6" s="699"/>
      <c r="C6" s="699"/>
      <c r="D6" s="699"/>
      <c r="E6" s="442"/>
      <c r="F6" s="442"/>
      <c r="G6" s="442"/>
    </row>
    <row r="7" spans="1:7" ht="18.75">
      <c r="A7" s="412"/>
      <c r="B7" s="699"/>
      <c r="C7" s="699"/>
      <c r="D7" s="699"/>
      <c r="E7" s="442"/>
      <c r="F7" s="442"/>
      <c r="G7" s="442"/>
    </row>
    <row r="8" spans="1:7" ht="15.75">
      <c r="A8" s="698"/>
      <c r="B8" s="699"/>
      <c r="C8" s="699"/>
      <c r="D8" s="699"/>
      <c r="E8" s="442"/>
      <c r="F8" s="442"/>
      <c r="G8" s="442"/>
    </row>
    <row r="9" spans="1:9" ht="12.75">
      <c r="A9" s="414" t="s">
        <v>201</v>
      </c>
      <c r="B9" s="414"/>
      <c r="C9" s="414"/>
      <c r="D9" s="443"/>
      <c r="E9" s="444"/>
      <c r="F9" s="444"/>
      <c r="G9" s="444"/>
      <c r="H9" s="278"/>
      <c r="I9" s="278" t="s">
        <v>202</v>
      </c>
    </row>
    <row r="10" spans="1:10" ht="47.25" customHeight="1">
      <c r="A10" s="255" t="s">
        <v>203</v>
      </c>
      <c r="B10" s="255" t="s">
        <v>204</v>
      </c>
      <c r="C10" s="255" t="s">
        <v>320</v>
      </c>
      <c r="D10" s="507" t="s">
        <v>124</v>
      </c>
      <c r="E10" s="310" t="s">
        <v>237</v>
      </c>
      <c r="F10" s="310" t="s">
        <v>713</v>
      </c>
      <c r="G10" s="310" t="s">
        <v>714</v>
      </c>
      <c r="H10" s="310" t="s">
        <v>238</v>
      </c>
      <c r="I10" s="310" t="s">
        <v>713</v>
      </c>
      <c r="J10" s="310" t="s">
        <v>714</v>
      </c>
    </row>
    <row r="11" spans="1:10" ht="23.25" customHeight="1">
      <c r="A11" s="67">
        <v>600</v>
      </c>
      <c r="B11" s="508"/>
      <c r="C11" s="508"/>
      <c r="D11" s="445" t="s">
        <v>210</v>
      </c>
      <c r="E11" s="509">
        <f>E12</f>
        <v>1277383.6300000001</v>
      </c>
      <c r="F11" s="509">
        <f>F12</f>
        <v>630792.3</v>
      </c>
      <c r="G11" s="509">
        <f>F11*100/E11</f>
        <v>49.38158632892454</v>
      </c>
      <c r="H11" s="509">
        <f>H12</f>
        <v>1277383.6300000001</v>
      </c>
      <c r="I11" s="509">
        <f>I12</f>
        <v>630792.3</v>
      </c>
      <c r="J11" s="33">
        <f>I11*100/H11</f>
        <v>49.38158632892454</v>
      </c>
    </row>
    <row r="12" spans="1:10" ht="27.75" customHeight="1">
      <c r="A12" s="510"/>
      <c r="B12" s="31">
        <v>60004</v>
      </c>
      <c r="C12" s="511"/>
      <c r="D12" s="512" t="s">
        <v>212</v>
      </c>
      <c r="E12" s="125">
        <f>SUM(E13:E14)</f>
        <v>1277383.6300000001</v>
      </c>
      <c r="F12" s="125">
        <f>SUM(F13:F14)</f>
        <v>630792.3</v>
      </c>
      <c r="G12" s="701">
        <f>F12*100/E12</f>
        <v>49.38158632892454</v>
      </c>
      <c r="H12" s="125">
        <f>SUM(H13:H14)</f>
        <v>1277383.6300000001</v>
      </c>
      <c r="I12" s="125">
        <f>SUM(I13:I14)</f>
        <v>630792.3</v>
      </c>
      <c r="J12" s="52">
        <f>I12*100/H12</f>
        <v>49.38158632892454</v>
      </c>
    </row>
    <row r="13" spans="1:10" s="124" customFormat="1" ht="51" customHeight="1">
      <c r="A13" s="16"/>
      <c r="B13" s="13"/>
      <c r="C13" s="447">
        <v>2310</v>
      </c>
      <c r="D13" s="448" t="s">
        <v>87</v>
      </c>
      <c r="E13" s="513">
        <f>1254396.05+5542.46+17445.12</f>
        <v>1277383.6300000001</v>
      </c>
      <c r="F13" s="513">
        <v>630792.3</v>
      </c>
      <c r="G13" s="513"/>
      <c r="H13" s="514"/>
      <c r="I13" s="702"/>
      <c r="J13" s="514"/>
    </row>
    <row r="14" spans="1:10" ht="39" customHeight="1">
      <c r="A14" s="446"/>
      <c r="B14" s="295"/>
      <c r="C14" s="82">
        <v>2650</v>
      </c>
      <c r="D14" s="449" t="s">
        <v>189</v>
      </c>
      <c r="E14" s="515"/>
      <c r="F14" s="515"/>
      <c r="G14" s="515"/>
      <c r="H14" s="73">
        <f>1254396.05+5542.46+17445.12</f>
        <v>1277383.6300000001</v>
      </c>
      <c r="I14" s="52">
        <v>630792.3</v>
      </c>
      <c r="J14" s="52"/>
    </row>
    <row r="15" spans="1:10" ht="27" customHeight="1">
      <c r="A15" s="58">
        <v>851</v>
      </c>
      <c r="B15" s="703"/>
      <c r="C15" s="704"/>
      <c r="D15" s="450" t="s">
        <v>200</v>
      </c>
      <c r="E15" s="74">
        <f>E16</f>
        <v>10000</v>
      </c>
      <c r="F15" s="74">
        <f>F16</f>
        <v>0</v>
      </c>
      <c r="G15" s="74">
        <f>F15*100/E15</f>
        <v>0</v>
      </c>
      <c r="H15" s="74">
        <f>H16</f>
        <v>10000</v>
      </c>
      <c r="I15" s="74">
        <f>I16</f>
        <v>0</v>
      </c>
      <c r="J15" s="33"/>
    </row>
    <row r="16" spans="1:10" ht="25.5" customHeight="1">
      <c r="A16" s="510"/>
      <c r="B16" s="31">
        <v>85154</v>
      </c>
      <c r="C16" s="705"/>
      <c r="D16" s="512" t="s">
        <v>704</v>
      </c>
      <c r="E16" s="125">
        <f>SUM(E17)</f>
        <v>10000</v>
      </c>
      <c r="F16" s="125">
        <f>SUM(F17)</f>
        <v>0</v>
      </c>
      <c r="G16" s="125">
        <f>F16*100/E16</f>
        <v>0</v>
      </c>
      <c r="H16" s="125">
        <f>SUM(H18:H19)</f>
        <v>10000</v>
      </c>
      <c r="I16" s="125">
        <f>SUM(I18:I19)</f>
        <v>0</v>
      </c>
      <c r="J16" s="52"/>
    </row>
    <row r="17" spans="1:10" ht="48" customHeight="1">
      <c r="A17" s="706"/>
      <c r="B17" s="31"/>
      <c r="C17" s="447">
        <v>2310</v>
      </c>
      <c r="D17" s="448" t="s">
        <v>87</v>
      </c>
      <c r="E17" s="125">
        <v>10000</v>
      </c>
      <c r="F17" s="125">
        <v>0</v>
      </c>
      <c r="G17" s="125"/>
      <c r="H17" s="125"/>
      <c r="I17" s="420"/>
      <c r="J17" s="52"/>
    </row>
    <row r="18" spans="1:10" ht="27" customHeight="1">
      <c r="A18" s="16"/>
      <c r="B18" s="7"/>
      <c r="C18" s="447">
        <v>4210</v>
      </c>
      <c r="D18" s="448" t="s">
        <v>334</v>
      </c>
      <c r="E18" s="513"/>
      <c r="F18" s="513"/>
      <c r="G18" s="513"/>
      <c r="H18" s="52">
        <v>1100</v>
      </c>
      <c r="I18" s="52">
        <v>0</v>
      </c>
      <c r="J18" s="52"/>
    </row>
    <row r="19" spans="1:10" ht="27.75" customHeight="1">
      <c r="A19" s="446"/>
      <c r="B19" s="300"/>
      <c r="C19" s="447">
        <v>4300</v>
      </c>
      <c r="D19" s="163" t="s">
        <v>331</v>
      </c>
      <c r="E19" s="515"/>
      <c r="F19" s="515"/>
      <c r="G19" s="515"/>
      <c r="H19" s="52">
        <v>8900</v>
      </c>
      <c r="I19" s="52">
        <v>0</v>
      </c>
      <c r="J19" s="52"/>
    </row>
    <row r="20" spans="1:10" ht="28.5" customHeight="1">
      <c r="A20" s="3" t="s">
        <v>658</v>
      </c>
      <c r="B20" s="707"/>
      <c r="C20" s="517"/>
      <c r="D20" s="331"/>
      <c r="E20" s="518">
        <f>E11+E15</f>
        <v>1287383.6300000001</v>
      </c>
      <c r="F20" s="518">
        <f>F11+F15</f>
        <v>630792.3</v>
      </c>
      <c r="G20" s="518">
        <f>F20*100/E20</f>
        <v>48.99800535757939</v>
      </c>
      <c r="H20" s="518">
        <f>H11+H15</f>
        <v>1287383.6300000001</v>
      </c>
      <c r="I20" s="518">
        <f>I11+I15</f>
        <v>630792.3</v>
      </c>
      <c r="J20" s="33">
        <f>I20*100/H20</f>
        <v>48.99800535757939</v>
      </c>
    </row>
    <row r="21" spans="1:10" s="360" customFormat="1" ht="34.5" customHeight="1">
      <c r="A21" s="521">
        <v>853</v>
      </c>
      <c r="B21" s="58"/>
      <c r="C21" s="90"/>
      <c r="D21" s="522" t="s">
        <v>324</v>
      </c>
      <c r="E21" s="519">
        <f>E22</f>
        <v>18277.56</v>
      </c>
      <c r="F21" s="519">
        <f>F22</f>
        <v>13708.56</v>
      </c>
      <c r="G21" s="518">
        <f>F21*100/E21</f>
        <v>75.00213376402539</v>
      </c>
      <c r="H21" s="519">
        <f>H22</f>
        <v>18277.56</v>
      </c>
      <c r="I21" s="519">
        <f>I22</f>
        <v>0</v>
      </c>
      <c r="J21" s="33"/>
    </row>
    <row r="22" spans="1:10" ht="33.75" customHeight="1">
      <c r="A22" s="340"/>
      <c r="B22" s="35">
        <v>85311</v>
      </c>
      <c r="C22" s="75"/>
      <c r="D22" s="523" t="s">
        <v>268</v>
      </c>
      <c r="E22" s="520">
        <f>SUM(E23)</f>
        <v>18277.56</v>
      </c>
      <c r="F22" s="520">
        <f>SUM(F23)</f>
        <v>13708.56</v>
      </c>
      <c r="G22" s="213">
        <f>F22*100/E22</f>
        <v>75.00213376402539</v>
      </c>
      <c r="H22" s="520">
        <f>SUM(H24)</f>
        <v>18277.56</v>
      </c>
      <c r="I22" s="520">
        <f>SUM(I24)</f>
        <v>0</v>
      </c>
      <c r="J22" s="52"/>
    </row>
    <row r="23" spans="1:10" ht="50.25" customHeight="1">
      <c r="A23" s="340"/>
      <c r="B23" s="13"/>
      <c r="C23" s="255">
        <v>2320</v>
      </c>
      <c r="D23" s="448" t="s">
        <v>88</v>
      </c>
      <c r="E23" s="213">
        <v>18277.56</v>
      </c>
      <c r="F23" s="213">
        <v>13708.56</v>
      </c>
      <c r="G23" s="213"/>
      <c r="H23" s="52"/>
      <c r="I23" s="420"/>
      <c r="J23" s="52"/>
    </row>
    <row r="24" spans="1:10" ht="41.25" customHeight="1">
      <c r="A24" s="339"/>
      <c r="B24" s="1"/>
      <c r="C24" s="255">
        <v>2580</v>
      </c>
      <c r="D24" s="451" t="s">
        <v>269</v>
      </c>
      <c r="E24" s="213"/>
      <c r="F24" s="213"/>
      <c r="G24" s="213"/>
      <c r="H24" s="52">
        <v>18277.56</v>
      </c>
      <c r="I24" s="52">
        <v>0</v>
      </c>
      <c r="J24" s="52"/>
    </row>
    <row r="25" spans="1:10" ht="32.25" customHeight="1">
      <c r="A25" s="68">
        <v>921</v>
      </c>
      <c r="B25" s="58"/>
      <c r="C25" s="58"/>
      <c r="D25" s="450" t="s">
        <v>660</v>
      </c>
      <c r="E25" s="509">
        <f>SUM(E26)</f>
        <v>100000</v>
      </c>
      <c r="F25" s="509">
        <f>SUM(F26)</f>
        <v>52000</v>
      </c>
      <c r="G25" s="509">
        <f>F25*100/E25</f>
        <v>52</v>
      </c>
      <c r="H25" s="509">
        <f>SUM(H26)</f>
        <v>100000</v>
      </c>
      <c r="I25" s="509">
        <f>SUM(I26)</f>
        <v>52000</v>
      </c>
      <c r="J25" s="33">
        <f>I25*100/H25</f>
        <v>52</v>
      </c>
    </row>
    <row r="26" spans="1:10" ht="25.5" customHeight="1">
      <c r="A26" s="32"/>
      <c r="B26" s="23">
        <v>92116</v>
      </c>
      <c r="C26" s="46"/>
      <c r="D26" s="243" t="s">
        <v>325</v>
      </c>
      <c r="E26" s="524">
        <f>SUM(E27)</f>
        <v>100000</v>
      </c>
      <c r="F26" s="524">
        <f>SUM(F27)</f>
        <v>52000</v>
      </c>
      <c r="G26" s="701">
        <f>F26*100/E26</f>
        <v>52</v>
      </c>
      <c r="H26" s="524">
        <f>SUM(H28)</f>
        <v>100000</v>
      </c>
      <c r="I26" s="524">
        <f>SUM(I28)</f>
        <v>52000</v>
      </c>
      <c r="J26" s="52">
        <f>I26*100/H26</f>
        <v>52</v>
      </c>
    </row>
    <row r="27" spans="1:10" ht="61.5" customHeight="1">
      <c r="A27" s="32"/>
      <c r="B27" s="29"/>
      <c r="C27" s="76">
        <v>2320</v>
      </c>
      <c r="D27" s="449" t="s">
        <v>88</v>
      </c>
      <c r="E27" s="525">
        <v>100000</v>
      </c>
      <c r="F27" s="525">
        <v>52000</v>
      </c>
      <c r="G27" s="525"/>
      <c r="H27" s="52"/>
      <c r="I27" s="420"/>
      <c r="J27" s="52"/>
    </row>
    <row r="28" spans="1:10" ht="35.25" customHeight="1">
      <c r="A28" s="77"/>
      <c r="B28" s="78"/>
      <c r="C28" s="255">
        <v>2480</v>
      </c>
      <c r="D28" s="448" t="s">
        <v>640</v>
      </c>
      <c r="E28" s="524"/>
      <c r="F28" s="524"/>
      <c r="G28" s="524"/>
      <c r="H28" s="52">
        <v>100000</v>
      </c>
      <c r="I28" s="52">
        <v>52000</v>
      </c>
      <c r="J28" s="52"/>
    </row>
    <row r="29" spans="1:10" ht="23.25" customHeight="1">
      <c r="A29" s="3" t="s">
        <v>80</v>
      </c>
      <c r="B29" s="526"/>
      <c r="C29" s="516"/>
      <c r="D29" s="331"/>
      <c r="E29" s="527">
        <f>E21+E25</f>
        <v>118277.56</v>
      </c>
      <c r="F29" s="527">
        <f>F21+F25</f>
        <v>65708.56</v>
      </c>
      <c r="G29" s="527">
        <f>F29*100/E29</f>
        <v>55.55454475050043</v>
      </c>
      <c r="H29" s="527">
        <f>H21+H25</f>
        <v>118277.56</v>
      </c>
      <c r="I29" s="527">
        <f>I21+I25</f>
        <v>52000</v>
      </c>
      <c r="J29" s="33">
        <f>I29*100/H29</f>
        <v>43.96438343841385</v>
      </c>
    </row>
    <row r="30" spans="1:10" s="274" customFormat="1" ht="24" customHeight="1">
      <c r="A30" s="49" t="s">
        <v>652</v>
      </c>
      <c r="B30" s="526"/>
      <c r="C30" s="516"/>
      <c r="D30" s="528"/>
      <c r="E30" s="708">
        <f>SUM(E20,E29)</f>
        <v>1405661.1900000002</v>
      </c>
      <c r="F30" s="709">
        <f>SUM(F20,F29)</f>
        <v>696500.8600000001</v>
      </c>
      <c r="G30" s="709">
        <f>F30*100/E30</f>
        <v>49.54969696502754</v>
      </c>
      <c r="H30" s="709">
        <f>SUM(H20,H29)</f>
        <v>1405661.1900000002</v>
      </c>
      <c r="I30" s="709">
        <f>SUM(I20,I29)</f>
        <v>682792.3</v>
      </c>
      <c r="J30" s="33">
        <f>I30*100/H30</f>
        <v>48.574457689907476</v>
      </c>
    </row>
    <row r="31" spans="4:7" ht="15">
      <c r="D31" s="529"/>
      <c r="E31" s="274"/>
      <c r="F31" s="274"/>
      <c r="G31" s="274"/>
    </row>
    <row r="32" spans="4:7" ht="15">
      <c r="D32" s="529"/>
      <c r="E32" s="530"/>
      <c r="F32" s="530"/>
      <c r="G32" s="530"/>
    </row>
    <row r="33" spans="4:7" ht="12.75">
      <c r="D33" s="529"/>
      <c r="E33" s="48"/>
      <c r="F33" s="48"/>
      <c r="G33" s="48"/>
    </row>
    <row r="34" spans="4:7" ht="12.75">
      <c r="D34" s="529"/>
      <c r="E34" s="48"/>
      <c r="F34" s="48"/>
      <c r="G34" s="48"/>
    </row>
    <row r="35" ht="12.75">
      <c r="D35" s="529"/>
    </row>
    <row r="36" ht="11.25" customHeight="1">
      <c r="D36" s="529"/>
    </row>
    <row r="37" ht="12.75" hidden="1">
      <c r="D37" s="529"/>
    </row>
    <row r="38" ht="12" customHeight="1">
      <c r="D38" s="529"/>
    </row>
    <row r="39" ht="12.75">
      <c r="D39" s="529"/>
    </row>
    <row r="40" ht="12.75">
      <c r="D40" s="529"/>
    </row>
    <row r="41" ht="12.75">
      <c r="D41" s="529"/>
    </row>
    <row r="42" ht="12.75">
      <c r="D42" s="529"/>
    </row>
    <row r="43" ht="12.75">
      <c r="D43" s="529"/>
    </row>
    <row r="44" ht="12.75">
      <c r="D44" s="529"/>
    </row>
    <row r="45" ht="12.75">
      <c r="D45" s="529"/>
    </row>
    <row r="46" ht="12.75">
      <c r="D46" s="529"/>
    </row>
    <row r="47" ht="12.75">
      <c r="D47" s="529"/>
    </row>
    <row r="48" ht="12.75">
      <c r="D48" s="529"/>
    </row>
    <row r="49" ht="12.75">
      <c r="D49" s="529"/>
    </row>
    <row r="50" ht="12.75">
      <c r="D50" s="529"/>
    </row>
    <row r="51" ht="12.75">
      <c r="D51" s="529"/>
    </row>
    <row r="52" ht="12.75">
      <c r="D52" s="529"/>
    </row>
    <row r="53" ht="12.75">
      <c r="D53" s="529"/>
    </row>
    <row r="54" ht="12.75">
      <c r="D54" s="529"/>
    </row>
    <row r="55" ht="12.75">
      <c r="D55" s="529"/>
    </row>
    <row r="56" ht="12.75">
      <c r="D56" s="529"/>
    </row>
    <row r="57" ht="12.75">
      <c r="D57" s="529"/>
    </row>
    <row r="58" ht="12.75">
      <c r="D58" s="529"/>
    </row>
    <row r="59" ht="12.75">
      <c r="D59" s="529"/>
    </row>
    <row r="60" ht="12.75">
      <c r="D60" s="529"/>
    </row>
    <row r="61" ht="12.75">
      <c r="D61" s="529"/>
    </row>
    <row r="62" ht="12.75">
      <c r="D62" s="529"/>
    </row>
    <row r="63" ht="12.75">
      <c r="D63" s="529"/>
    </row>
    <row r="64" ht="12.75">
      <c r="D64" s="529"/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G34" sqref="G34"/>
    </sheetView>
  </sheetViews>
  <sheetFormatPr defaultColWidth="9.140625" defaultRowHeight="12.75"/>
  <cols>
    <col min="1" max="1" width="5.28125" style="224" customWidth="1"/>
    <col min="2" max="2" width="6.57421875" style="224" customWidth="1"/>
    <col min="3" max="3" width="5.421875" style="224" customWidth="1"/>
    <col min="4" max="4" width="32.421875" style="224" customWidth="1"/>
    <col min="5" max="5" width="19.57421875" style="224" customWidth="1"/>
    <col min="6" max="6" width="18.00390625" style="224" customWidth="1"/>
    <col min="7" max="7" width="7.421875" style="224" customWidth="1"/>
    <col min="8" max="8" width="9.140625" style="224" customWidth="1"/>
    <col min="9" max="9" width="10.00390625" style="224" bestFit="1" customWidth="1"/>
    <col min="10" max="10" width="10.00390625" style="454" bestFit="1" customWidth="1"/>
    <col min="11" max="16384" width="9.140625" style="224" customWidth="1"/>
  </cols>
  <sheetData>
    <row r="1" spans="1:10" s="456" customFormat="1" ht="20.25">
      <c r="A1" s="455"/>
      <c r="B1" s="455"/>
      <c r="C1" s="455"/>
      <c r="D1" s="455"/>
      <c r="F1" s="457" t="s">
        <v>715</v>
      </c>
      <c r="G1" s="441"/>
      <c r="J1" s="455"/>
    </row>
    <row r="2" spans="1:10" s="456" customFormat="1" ht="20.25">
      <c r="A2" s="455"/>
      <c r="B2" s="455"/>
      <c r="C2" s="455"/>
      <c r="D2" s="455"/>
      <c r="F2" s="457"/>
      <c r="G2" s="441"/>
      <c r="J2" s="455"/>
    </row>
    <row r="3" spans="1:8" ht="12.75">
      <c r="A3" s="454"/>
      <c r="B3" s="454"/>
      <c r="C3" s="454"/>
      <c r="D3" s="454"/>
      <c r="H3" s="710"/>
    </row>
    <row r="4" spans="1:10" s="456" customFormat="1" ht="18.75">
      <c r="A4" s="306" t="s">
        <v>716</v>
      </c>
      <c r="B4" s="124"/>
      <c r="C4" s="124"/>
      <c r="D4" s="124"/>
      <c r="E4" s="442"/>
      <c r="F4" s="442"/>
      <c r="G4" s="442"/>
      <c r="H4" s="458"/>
      <c r="J4" s="455"/>
    </row>
    <row r="5" spans="1:10" s="456" customFormat="1" ht="18.75">
      <c r="A5" s="306" t="s">
        <v>717</v>
      </c>
      <c r="B5" s="124"/>
      <c r="C5" s="124"/>
      <c r="D5" s="124"/>
      <c r="E5" s="442"/>
      <c r="F5" s="442"/>
      <c r="G5" s="442"/>
      <c r="H5" s="458"/>
      <c r="J5" s="455"/>
    </row>
    <row r="6" spans="1:10" s="456" customFormat="1" ht="18.75">
      <c r="A6" s="412" t="s">
        <v>718</v>
      </c>
      <c r="B6" s="459"/>
      <c r="C6" s="414"/>
      <c r="D6" s="415"/>
      <c r="E6" s="442"/>
      <c r="F6" s="442"/>
      <c r="G6" s="442"/>
      <c r="H6" s="458"/>
      <c r="J6" s="455"/>
    </row>
    <row r="7" spans="1:10" s="456" customFormat="1" ht="18.75">
      <c r="A7" s="506" t="s">
        <v>719</v>
      </c>
      <c r="B7" s="460"/>
      <c r="C7" s="461"/>
      <c r="D7" s="462"/>
      <c r="E7" s="458"/>
      <c r="F7" s="458"/>
      <c r="G7" s="458"/>
      <c r="H7" s="458"/>
      <c r="J7" s="455"/>
    </row>
    <row r="8" spans="1:10" s="456" customFormat="1" ht="18.75">
      <c r="A8" s="506"/>
      <c r="B8" s="460"/>
      <c r="C8" s="461"/>
      <c r="D8" s="462"/>
      <c r="E8" s="458"/>
      <c r="F8" s="458"/>
      <c r="G8" s="458"/>
      <c r="H8" s="458"/>
      <c r="J8" s="455"/>
    </row>
    <row r="9" spans="1:10" s="456" customFormat="1" ht="12.75">
      <c r="A9" s="461"/>
      <c r="B9" s="460"/>
      <c r="C9" s="461"/>
      <c r="D9" s="462"/>
      <c r="E9" s="463"/>
      <c r="F9" s="464" t="s">
        <v>81</v>
      </c>
      <c r="G9" s="464"/>
      <c r="H9" s="458"/>
      <c r="J9" s="455"/>
    </row>
    <row r="10" spans="1:10" s="456" customFormat="1" ht="39" customHeight="1">
      <c r="A10" s="711" t="s">
        <v>203</v>
      </c>
      <c r="B10" s="711" t="s">
        <v>204</v>
      </c>
      <c r="C10" s="711" t="s">
        <v>320</v>
      </c>
      <c r="D10" s="712" t="s">
        <v>124</v>
      </c>
      <c r="E10" s="713" t="s">
        <v>82</v>
      </c>
      <c r="F10" s="713" t="s">
        <v>713</v>
      </c>
      <c r="G10" s="713" t="s">
        <v>714</v>
      </c>
      <c r="H10" s="714"/>
      <c r="J10" s="455"/>
    </row>
    <row r="11" spans="1:10" s="456" customFormat="1" ht="23.25" customHeight="1">
      <c r="A11" s="1044" t="s">
        <v>347</v>
      </c>
      <c r="B11" s="1045"/>
      <c r="C11" s="1045"/>
      <c r="D11" s="1046"/>
      <c r="E11" s="465">
        <f>E12+E15</f>
        <v>625300</v>
      </c>
      <c r="F11" s="465">
        <f>F12+F15</f>
        <v>344027.09</v>
      </c>
      <c r="G11" s="465">
        <f>F11*100/E11</f>
        <v>55.017925795618105</v>
      </c>
      <c r="H11" s="715"/>
      <c r="J11" s="455"/>
    </row>
    <row r="12" spans="1:10" s="456" customFormat="1" ht="21" customHeight="1">
      <c r="A12" s="466">
        <v>750</v>
      </c>
      <c r="B12" s="467" t="s">
        <v>201</v>
      </c>
      <c r="C12" s="467"/>
      <c r="D12" s="468" t="s">
        <v>251</v>
      </c>
      <c r="E12" s="469">
        <f>E13</f>
        <v>0</v>
      </c>
      <c r="F12" s="469">
        <f>F13</f>
        <v>1736</v>
      </c>
      <c r="G12" s="469"/>
      <c r="H12" s="715"/>
      <c r="J12" s="455"/>
    </row>
    <row r="13" spans="1:10" s="456" customFormat="1" ht="18.75" customHeight="1">
      <c r="A13" s="470"/>
      <c r="B13" s="471">
        <v>75011</v>
      </c>
      <c r="C13" s="472"/>
      <c r="D13" s="473" t="s">
        <v>348</v>
      </c>
      <c r="E13" s="474">
        <f>SUM(E14:E14)</f>
        <v>0</v>
      </c>
      <c r="F13" s="474">
        <f>SUM(F14:F14)</f>
        <v>1736</v>
      </c>
      <c r="G13" s="474"/>
      <c r="H13" s="715"/>
      <c r="J13" s="455"/>
    </row>
    <row r="14" spans="1:10" s="456" customFormat="1" ht="23.25" customHeight="1">
      <c r="A14" s="476"/>
      <c r="B14" s="477"/>
      <c r="C14" s="478" t="s">
        <v>349</v>
      </c>
      <c r="D14" s="716" t="s">
        <v>350</v>
      </c>
      <c r="E14" s="480">
        <v>0</v>
      </c>
      <c r="F14" s="480">
        <v>1736</v>
      </c>
      <c r="G14" s="481"/>
      <c r="H14" s="715"/>
      <c r="J14" s="455"/>
    </row>
    <row r="15" spans="1:10" s="456" customFormat="1" ht="21" customHeight="1">
      <c r="A15" s="466">
        <v>852</v>
      </c>
      <c r="B15" s="467" t="s">
        <v>201</v>
      </c>
      <c r="C15" s="467"/>
      <c r="D15" s="468" t="s">
        <v>306</v>
      </c>
      <c r="E15" s="469">
        <f>E16+E18+E23</f>
        <v>625300</v>
      </c>
      <c r="F15" s="469">
        <f>F16+F18+F23</f>
        <v>342291.09</v>
      </c>
      <c r="G15" s="469">
        <f>F15*100/E15</f>
        <v>54.740299056452905</v>
      </c>
      <c r="H15" s="717"/>
      <c r="I15" s="539"/>
      <c r="J15" s="455"/>
    </row>
    <row r="16" spans="1:11" s="475" customFormat="1" ht="21" customHeight="1">
      <c r="A16" s="470"/>
      <c r="B16" s="471">
        <v>85203</v>
      </c>
      <c r="C16" s="472"/>
      <c r="D16" s="473" t="s">
        <v>351</v>
      </c>
      <c r="E16" s="474">
        <f>SUM(E17:E17)</f>
        <v>1000</v>
      </c>
      <c r="F16" s="474">
        <f>SUM(F17:F17)</f>
        <v>996.84</v>
      </c>
      <c r="G16" s="474">
        <f>F16*100/E16</f>
        <v>99.684</v>
      </c>
      <c r="H16" s="718"/>
      <c r="J16" s="719"/>
      <c r="K16" s="720"/>
    </row>
    <row r="17" spans="1:11" s="482" customFormat="1" ht="18" customHeight="1">
      <c r="A17" s="476"/>
      <c r="B17" s="477"/>
      <c r="C17" s="478" t="s">
        <v>352</v>
      </c>
      <c r="D17" s="479" t="s">
        <v>353</v>
      </c>
      <c r="E17" s="480">
        <v>1000</v>
      </c>
      <c r="F17" s="480">
        <v>996.84</v>
      </c>
      <c r="G17" s="481">
        <f>F17*100/E17</f>
        <v>99.684</v>
      </c>
      <c r="H17" s="721"/>
      <c r="J17" s="719"/>
      <c r="K17" s="720"/>
    </row>
    <row r="18" spans="1:11" s="475" customFormat="1" ht="56.25" customHeight="1">
      <c r="A18" s="483"/>
      <c r="B18" s="472">
        <v>85212</v>
      </c>
      <c r="C18" s="484"/>
      <c r="D18" s="485" t="s">
        <v>610</v>
      </c>
      <c r="E18" s="486">
        <f>SUM(E19:E22)</f>
        <v>614300</v>
      </c>
      <c r="F18" s="486">
        <f>SUM(F19:F22)</f>
        <v>334720.94</v>
      </c>
      <c r="G18" s="486">
        <f>F18*100/E18</f>
        <v>54.488188181670196</v>
      </c>
      <c r="H18" s="718"/>
      <c r="J18" s="719"/>
      <c r="K18" s="720"/>
    </row>
    <row r="19" spans="1:11" s="475" customFormat="1" ht="23.25" customHeight="1">
      <c r="A19" s="483"/>
      <c r="B19" s="722"/>
      <c r="C19" s="478" t="s">
        <v>349</v>
      </c>
      <c r="D19" s="716" t="s">
        <v>350</v>
      </c>
      <c r="E19" s="502">
        <v>0</v>
      </c>
      <c r="F19" s="502">
        <v>440.86</v>
      </c>
      <c r="G19" s="723"/>
      <c r="H19" s="718"/>
      <c r="J19" s="719"/>
      <c r="K19" s="720"/>
    </row>
    <row r="20" spans="1:11" s="475" customFormat="1" ht="23.25" customHeight="1">
      <c r="A20" s="483"/>
      <c r="B20" s="722"/>
      <c r="C20" s="478" t="s">
        <v>240</v>
      </c>
      <c r="D20" s="716" t="s">
        <v>264</v>
      </c>
      <c r="E20" s="502">
        <v>0</v>
      </c>
      <c r="F20" s="502">
        <v>40428.11</v>
      </c>
      <c r="G20" s="723"/>
      <c r="H20" s="718"/>
      <c r="J20" s="719"/>
      <c r="K20" s="720"/>
    </row>
    <row r="21" spans="1:11" s="475" customFormat="1" ht="23.25" customHeight="1">
      <c r="A21" s="483"/>
      <c r="B21" s="722"/>
      <c r="C21" s="478" t="s">
        <v>218</v>
      </c>
      <c r="D21" s="716" t="s">
        <v>219</v>
      </c>
      <c r="E21" s="502">
        <v>0</v>
      </c>
      <c r="F21" s="502">
        <v>24762.55</v>
      </c>
      <c r="G21" s="723"/>
      <c r="H21" s="718"/>
      <c r="J21" s="719"/>
      <c r="K21" s="720"/>
    </row>
    <row r="22" spans="1:11" s="482" customFormat="1" ht="35.25" customHeight="1">
      <c r="A22" s="476"/>
      <c r="B22" s="477"/>
      <c r="C22" s="478" t="s">
        <v>83</v>
      </c>
      <c r="D22" s="479" t="s">
        <v>84</v>
      </c>
      <c r="E22" s="480">
        <v>614300</v>
      </c>
      <c r="F22" s="480">
        <v>269089.42</v>
      </c>
      <c r="G22" s="481">
        <f>F22*100/E22</f>
        <v>43.80423571544848</v>
      </c>
      <c r="H22" s="721"/>
      <c r="J22" s="719"/>
      <c r="K22" s="720"/>
    </row>
    <row r="23" spans="1:11" s="456" customFormat="1" ht="30" customHeight="1">
      <c r="A23" s="487"/>
      <c r="B23" s="488">
        <v>85228</v>
      </c>
      <c r="C23" s="489" t="s">
        <v>201</v>
      </c>
      <c r="D23" s="473" t="s">
        <v>549</v>
      </c>
      <c r="E23" s="474">
        <f>SUM(E24:E25)</f>
        <v>10000</v>
      </c>
      <c r="F23" s="474">
        <f>SUM(F24:F25)</f>
        <v>6573.3099999999995</v>
      </c>
      <c r="G23" s="474">
        <f>F23*100/E23</f>
        <v>65.7331</v>
      </c>
      <c r="H23" s="724"/>
      <c r="J23" s="719"/>
      <c r="K23" s="720"/>
    </row>
    <row r="24" spans="1:11" s="456" customFormat="1" ht="21" customHeight="1">
      <c r="A24" s="499"/>
      <c r="B24" s="500"/>
      <c r="C24" s="478" t="s">
        <v>349</v>
      </c>
      <c r="D24" s="716" t="s">
        <v>350</v>
      </c>
      <c r="E24" s="502">
        <v>0</v>
      </c>
      <c r="F24" s="502">
        <v>23.2</v>
      </c>
      <c r="G24" s="723"/>
      <c r="H24" s="724"/>
      <c r="J24" s="719"/>
      <c r="K24" s="720"/>
    </row>
    <row r="25" spans="1:11" s="482" customFormat="1" ht="21" customHeight="1">
      <c r="A25" s="490"/>
      <c r="B25" s="725"/>
      <c r="C25" s="491" t="s">
        <v>352</v>
      </c>
      <c r="D25" s="492" t="s">
        <v>353</v>
      </c>
      <c r="E25" s="480">
        <v>10000</v>
      </c>
      <c r="F25" s="480">
        <v>6550.11</v>
      </c>
      <c r="G25" s="481">
        <f aca="true" t="shared" si="0" ref="G25:G33">F25*100/E25</f>
        <v>65.5011</v>
      </c>
      <c r="H25" s="726"/>
      <c r="J25" s="719"/>
      <c r="K25" s="720"/>
    </row>
    <row r="26" spans="1:11" s="456" customFormat="1" ht="27" customHeight="1">
      <c r="A26" s="1044" t="s">
        <v>135</v>
      </c>
      <c r="B26" s="1047"/>
      <c r="C26" s="1045"/>
      <c r="D26" s="1046"/>
      <c r="E26" s="465">
        <f>E27+E35+E38+E44+E47</f>
        <v>3189284</v>
      </c>
      <c r="F26" s="465">
        <f>F27+F35+F38+F44+F47</f>
        <v>3476586.4100000006</v>
      </c>
      <c r="G26" s="465">
        <f t="shared" si="0"/>
        <v>109.00836708176507</v>
      </c>
      <c r="H26" s="715"/>
      <c r="J26" s="719"/>
      <c r="K26" s="720"/>
    </row>
    <row r="27" spans="1:11" s="456" customFormat="1" ht="22.5" customHeight="1">
      <c r="A27" s="466">
        <v>700</v>
      </c>
      <c r="B27" s="467"/>
      <c r="C27" s="467"/>
      <c r="D27" s="493" t="s">
        <v>277</v>
      </c>
      <c r="E27" s="469">
        <f>SUM(E28)</f>
        <v>3117000</v>
      </c>
      <c r="F27" s="469">
        <f>SUM(F28)</f>
        <v>3440473.9100000006</v>
      </c>
      <c r="G27" s="465">
        <f t="shared" si="0"/>
        <v>110.3777321142124</v>
      </c>
      <c r="H27" s="717"/>
      <c r="J27" s="719"/>
      <c r="K27" s="720"/>
    </row>
    <row r="28" spans="1:11" s="456" customFormat="1" ht="29.25" customHeight="1">
      <c r="A28" s="494"/>
      <c r="B28" s="489">
        <v>70005</v>
      </c>
      <c r="C28" s="489"/>
      <c r="D28" s="495" t="s">
        <v>249</v>
      </c>
      <c r="E28" s="474">
        <f>SUM(E29:E34)</f>
        <v>3117000</v>
      </c>
      <c r="F28" s="474">
        <f>SUM(F29:F34)</f>
        <v>3440473.9100000006</v>
      </c>
      <c r="G28" s="727">
        <f t="shared" si="0"/>
        <v>110.3777321142124</v>
      </c>
      <c r="H28" s="724"/>
      <c r="I28" s="539"/>
      <c r="J28" s="719"/>
      <c r="K28" s="720"/>
    </row>
    <row r="29" spans="1:11" s="482" customFormat="1" ht="42.75" customHeight="1">
      <c r="A29" s="490"/>
      <c r="B29" s="496"/>
      <c r="C29" s="497" t="s">
        <v>354</v>
      </c>
      <c r="D29" s="498" t="s">
        <v>85</v>
      </c>
      <c r="E29" s="480">
        <v>2750000</v>
      </c>
      <c r="F29" s="480">
        <v>2889696.68</v>
      </c>
      <c r="G29" s="727">
        <f t="shared" si="0"/>
        <v>105.07987927272727</v>
      </c>
      <c r="H29" s="726"/>
      <c r="I29" s="720"/>
      <c r="J29" s="719"/>
      <c r="K29" s="720"/>
    </row>
    <row r="30" spans="1:11" s="482" customFormat="1" ht="75" customHeight="1">
      <c r="A30" s="490"/>
      <c r="B30" s="496"/>
      <c r="C30" s="497" t="s">
        <v>355</v>
      </c>
      <c r="D30" s="498" t="s">
        <v>213</v>
      </c>
      <c r="E30" s="480">
        <v>12000</v>
      </c>
      <c r="F30" s="480">
        <v>7901.95</v>
      </c>
      <c r="G30" s="727">
        <f t="shared" si="0"/>
        <v>65.84958333333333</v>
      </c>
      <c r="H30" s="726"/>
      <c r="I30" s="720"/>
      <c r="J30" s="719"/>
      <c r="K30" s="720"/>
    </row>
    <row r="31" spans="1:11" s="482" customFormat="1" ht="42.75" customHeight="1">
      <c r="A31" s="490"/>
      <c r="B31" s="496"/>
      <c r="C31" s="497" t="s">
        <v>214</v>
      </c>
      <c r="D31" s="498" t="s">
        <v>215</v>
      </c>
      <c r="E31" s="480">
        <v>240000</v>
      </c>
      <c r="F31" s="480">
        <v>240589.68</v>
      </c>
      <c r="G31" s="727">
        <f t="shared" si="0"/>
        <v>100.2457</v>
      </c>
      <c r="H31" s="726"/>
      <c r="I31" s="720"/>
      <c r="J31" s="719"/>
      <c r="K31" s="720"/>
    </row>
    <row r="32" spans="1:11" s="482" customFormat="1" ht="42" customHeight="1">
      <c r="A32" s="490"/>
      <c r="B32" s="496"/>
      <c r="C32" s="497" t="s">
        <v>216</v>
      </c>
      <c r="D32" s="498" t="s">
        <v>217</v>
      </c>
      <c r="E32" s="480">
        <v>85000</v>
      </c>
      <c r="F32" s="480">
        <v>47572.42</v>
      </c>
      <c r="G32" s="727">
        <f t="shared" si="0"/>
        <v>55.96755294117647</v>
      </c>
      <c r="H32" s="726"/>
      <c r="I32" s="720"/>
      <c r="J32" s="719"/>
      <c r="K32" s="720"/>
    </row>
    <row r="33" spans="1:11" s="482" customFormat="1" ht="24.75" customHeight="1">
      <c r="A33" s="490"/>
      <c r="B33" s="496"/>
      <c r="C33" s="497" t="s">
        <v>240</v>
      </c>
      <c r="D33" s="498" t="s">
        <v>264</v>
      </c>
      <c r="E33" s="480">
        <v>30000</v>
      </c>
      <c r="F33" s="480">
        <v>25787.43</v>
      </c>
      <c r="G33" s="727">
        <f t="shared" si="0"/>
        <v>85.9581</v>
      </c>
      <c r="H33" s="726"/>
      <c r="I33" s="720"/>
      <c r="J33" s="719"/>
      <c r="K33" s="720"/>
    </row>
    <row r="34" spans="1:11" s="482" customFormat="1" ht="24.75" customHeight="1">
      <c r="A34" s="490"/>
      <c r="B34" s="496"/>
      <c r="C34" s="478" t="s">
        <v>218</v>
      </c>
      <c r="D34" s="716" t="s">
        <v>219</v>
      </c>
      <c r="E34" s="480">
        <v>0</v>
      </c>
      <c r="F34" s="480">
        <v>228925.75</v>
      </c>
      <c r="G34" s="481"/>
      <c r="H34" s="726"/>
      <c r="I34" s="720"/>
      <c r="J34" s="719"/>
      <c r="K34" s="720"/>
    </row>
    <row r="35" spans="1:11" s="482" customFormat="1" ht="24.75" customHeight="1">
      <c r="A35" s="466">
        <v>710</v>
      </c>
      <c r="B35" s="467"/>
      <c r="C35" s="467"/>
      <c r="D35" s="493" t="s">
        <v>259</v>
      </c>
      <c r="E35" s="469">
        <f>SUM(E36)</f>
        <v>0</v>
      </c>
      <c r="F35" s="469">
        <f>SUM(F36)</f>
        <v>11.6</v>
      </c>
      <c r="G35" s="465"/>
      <c r="H35" s="726"/>
      <c r="I35" s="720"/>
      <c r="J35" s="719"/>
      <c r="K35" s="720"/>
    </row>
    <row r="36" spans="1:11" s="482" customFormat="1" ht="24.75" customHeight="1">
      <c r="A36" s="494"/>
      <c r="B36" s="489">
        <v>71015</v>
      </c>
      <c r="C36" s="489"/>
      <c r="D36" s="495" t="s">
        <v>592</v>
      </c>
      <c r="E36" s="474">
        <f>E37</f>
        <v>0</v>
      </c>
      <c r="F36" s="474">
        <f>F37</f>
        <v>11.6</v>
      </c>
      <c r="G36" s="727"/>
      <c r="H36" s="726"/>
      <c r="I36" s="720"/>
      <c r="J36" s="719"/>
      <c r="K36" s="720"/>
    </row>
    <row r="37" spans="1:11" s="482" customFormat="1" ht="24.75" customHeight="1">
      <c r="A37" s="490"/>
      <c r="B37" s="496"/>
      <c r="C37" s="501" t="s">
        <v>349</v>
      </c>
      <c r="D37" s="479" t="s">
        <v>350</v>
      </c>
      <c r="E37" s="480">
        <v>0</v>
      </c>
      <c r="F37" s="480">
        <v>11.6</v>
      </c>
      <c r="G37" s="727"/>
      <c r="H37" s="726"/>
      <c r="I37" s="720"/>
      <c r="J37" s="719"/>
      <c r="K37" s="720"/>
    </row>
    <row r="38" spans="1:11" s="456" customFormat="1" ht="27" customHeight="1">
      <c r="A38" s="466">
        <v>754</v>
      </c>
      <c r="B38" s="467"/>
      <c r="C38" s="467"/>
      <c r="D38" s="493" t="s">
        <v>252</v>
      </c>
      <c r="E38" s="469">
        <f>SUM(E39)</f>
        <v>9623</v>
      </c>
      <c r="F38" s="469">
        <f>SUM(F39)</f>
        <v>9144.900000000001</v>
      </c>
      <c r="G38" s="469">
        <f>F38*100/E38</f>
        <v>95.03169489764107</v>
      </c>
      <c r="H38" s="728"/>
      <c r="I38" s="539"/>
      <c r="J38" s="719"/>
      <c r="K38" s="720"/>
    </row>
    <row r="39" spans="1:11" s="456" customFormat="1" ht="28.5" customHeight="1">
      <c r="A39" s="494"/>
      <c r="B39" s="488">
        <v>75411</v>
      </c>
      <c r="C39" s="489"/>
      <c r="D39" s="495" t="s">
        <v>276</v>
      </c>
      <c r="E39" s="474">
        <f>SUM(E40:E43)</f>
        <v>9623</v>
      </c>
      <c r="F39" s="474">
        <f>SUM(F40:F43)</f>
        <v>9144.900000000001</v>
      </c>
      <c r="G39" s="474">
        <f>F39*100/E39</f>
        <v>95.03169489764107</v>
      </c>
      <c r="H39" s="728"/>
      <c r="I39" s="539"/>
      <c r="J39" s="719"/>
      <c r="K39" s="720"/>
    </row>
    <row r="40" spans="1:11" s="456" customFormat="1" ht="21.75" customHeight="1">
      <c r="A40" s="499"/>
      <c r="B40" s="500"/>
      <c r="C40" s="501" t="s">
        <v>349</v>
      </c>
      <c r="D40" s="479" t="s">
        <v>350</v>
      </c>
      <c r="E40" s="502">
        <v>58</v>
      </c>
      <c r="F40" s="502">
        <v>34.8</v>
      </c>
      <c r="G40" s="481">
        <f>F40*100/E40</f>
        <v>59.99999999999999</v>
      </c>
      <c r="H40" s="728"/>
      <c r="J40" s="719"/>
      <c r="K40" s="720"/>
    </row>
    <row r="41" spans="1:11" s="456" customFormat="1" ht="72.75" customHeight="1">
      <c r="A41" s="499"/>
      <c r="B41" s="503"/>
      <c r="C41" s="504" t="s">
        <v>355</v>
      </c>
      <c r="D41" s="492" t="s">
        <v>213</v>
      </c>
      <c r="E41" s="502">
        <v>9505</v>
      </c>
      <c r="F41" s="502">
        <v>6695.87</v>
      </c>
      <c r="G41" s="481">
        <f>F41*100/E41</f>
        <v>70.44576538663861</v>
      </c>
      <c r="H41" s="728"/>
      <c r="J41" s="719"/>
      <c r="K41" s="720"/>
    </row>
    <row r="42" spans="1:11" s="456" customFormat="1" ht="21" customHeight="1">
      <c r="A42" s="499"/>
      <c r="B42" s="503"/>
      <c r="C42" s="497" t="s">
        <v>240</v>
      </c>
      <c r="D42" s="498" t="s">
        <v>264</v>
      </c>
      <c r="E42" s="502">
        <v>0</v>
      </c>
      <c r="F42" s="502">
        <v>0.18</v>
      </c>
      <c r="G42" s="481"/>
      <c r="H42" s="728"/>
      <c r="J42" s="719"/>
      <c r="K42" s="720"/>
    </row>
    <row r="43" spans="1:11" s="482" customFormat="1" ht="21" customHeight="1">
      <c r="A43" s="490"/>
      <c r="B43" s="496"/>
      <c r="C43" s="491" t="s">
        <v>218</v>
      </c>
      <c r="D43" s="492" t="s">
        <v>219</v>
      </c>
      <c r="E43" s="502">
        <v>60</v>
      </c>
      <c r="F43" s="502">
        <v>2414.05</v>
      </c>
      <c r="G43" s="481"/>
      <c r="H43" s="726"/>
      <c r="J43" s="719"/>
      <c r="K43" s="720"/>
    </row>
    <row r="44" spans="1:11" s="482" customFormat="1" ht="27.75" customHeight="1">
      <c r="A44" s="466">
        <v>853</v>
      </c>
      <c r="B44" s="467"/>
      <c r="C44" s="467"/>
      <c r="D44" s="332" t="s">
        <v>78</v>
      </c>
      <c r="E44" s="469">
        <f>SUM(E45)</f>
        <v>62661</v>
      </c>
      <c r="F44" s="469">
        <f>SUM(F45)</f>
        <v>22616</v>
      </c>
      <c r="G44" s="469">
        <f>F44*100/E44</f>
        <v>36.09262539697739</v>
      </c>
      <c r="H44" s="726"/>
      <c r="J44" s="719"/>
      <c r="K44" s="720"/>
    </row>
    <row r="45" spans="1:11" s="482" customFormat="1" ht="27.75" customHeight="1">
      <c r="A45" s="494"/>
      <c r="B45" s="24">
        <v>85321</v>
      </c>
      <c r="C45" s="425"/>
      <c r="D45" s="505" t="s">
        <v>636</v>
      </c>
      <c r="E45" s="474">
        <f>SUM(E46)</f>
        <v>62661</v>
      </c>
      <c r="F45" s="474">
        <f>SUM(F46)</f>
        <v>22616</v>
      </c>
      <c r="G45" s="486">
        <f>F45*100/E45</f>
        <v>36.09262539697739</v>
      </c>
      <c r="H45" s="726"/>
      <c r="J45" s="719"/>
      <c r="K45" s="720"/>
    </row>
    <row r="46" spans="1:11" s="482" customFormat="1" ht="25.5" customHeight="1">
      <c r="A46" s="499"/>
      <c r="B46" s="500"/>
      <c r="C46" s="501" t="s">
        <v>349</v>
      </c>
      <c r="D46" s="479" t="s">
        <v>350</v>
      </c>
      <c r="E46" s="502">
        <v>62661</v>
      </c>
      <c r="F46" s="502">
        <v>22616</v>
      </c>
      <c r="G46" s="502">
        <f>F46*100/E46</f>
        <v>36.09262539697739</v>
      </c>
      <c r="H46" s="726"/>
      <c r="J46" s="719"/>
      <c r="K46" s="720"/>
    </row>
    <row r="47" spans="1:11" s="482" customFormat="1" ht="25.5" customHeight="1">
      <c r="A47" s="466">
        <v>900</v>
      </c>
      <c r="B47" s="467"/>
      <c r="C47" s="467"/>
      <c r="D47" s="332" t="s">
        <v>258</v>
      </c>
      <c r="E47" s="469">
        <f>E48</f>
        <v>0</v>
      </c>
      <c r="F47" s="469">
        <f>F48</f>
        <v>4340</v>
      </c>
      <c r="G47" s="469"/>
      <c r="H47" s="726"/>
      <c r="J47" s="719"/>
      <c r="K47" s="720"/>
    </row>
    <row r="48" spans="1:11" s="482" customFormat="1" ht="25.5" customHeight="1">
      <c r="A48" s="494"/>
      <c r="B48" s="24">
        <v>90095</v>
      </c>
      <c r="C48" s="425"/>
      <c r="D48" s="505" t="s">
        <v>250</v>
      </c>
      <c r="E48" s="474">
        <f>E49</f>
        <v>0</v>
      </c>
      <c r="F48" s="474">
        <f>F49</f>
        <v>4340</v>
      </c>
      <c r="G48" s="486"/>
      <c r="H48" s="726"/>
      <c r="J48" s="719"/>
      <c r="K48" s="720"/>
    </row>
    <row r="49" spans="1:11" s="482" customFormat="1" ht="25.5" customHeight="1">
      <c r="A49" s="499"/>
      <c r="B49" s="500"/>
      <c r="C49" s="501" t="s">
        <v>349</v>
      </c>
      <c r="D49" s="479" t="s">
        <v>350</v>
      </c>
      <c r="E49" s="502">
        <v>0</v>
      </c>
      <c r="F49" s="502">
        <v>4340</v>
      </c>
      <c r="G49" s="502"/>
      <c r="H49" s="726"/>
      <c r="J49" s="719"/>
      <c r="K49" s="720"/>
    </row>
    <row r="50" spans="1:11" s="456" customFormat="1" ht="27" customHeight="1">
      <c r="A50" s="1048" t="s">
        <v>86</v>
      </c>
      <c r="B50" s="1049"/>
      <c r="C50" s="1049"/>
      <c r="D50" s="1050"/>
      <c r="E50" s="469">
        <f>E26+E11</f>
        <v>3814584</v>
      </c>
      <c r="F50" s="469">
        <f>F26+F11</f>
        <v>3820613.5000000005</v>
      </c>
      <c r="G50" s="469">
        <f>F50*100/E50</f>
        <v>100.15806441803355</v>
      </c>
      <c r="H50" s="717"/>
      <c r="I50" s="539"/>
      <c r="J50" s="719"/>
      <c r="K50" s="720"/>
    </row>
    <row r="51" s="456" customFormat="1" ht="12.75">
      <c r="J51" s="455"/>
    </row>
  </sheetData>
  <mergeCells count="3">
    <mergeCell ref="A11:D11"/>
    <mergeCell ref="A26:D26"/>
    <mergeCell ref="A50:D50"/>
  </mergeCells>
  <printOptions/>
  <pageMargins left="0.3937007874015748" right="0" top="0.7874015748031497" bottom="0.787401574803149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63"/>
  <sheetViews>
    <sheetView workbookViewId="0" topLeftCell="A1">
      <selection activeCell="N11" sqref="N11"/>
    </sheetView>
  </sheetViews>
  <sheetFormatPr defaultColWidth="9.140625" defaultRowHeight="12.75"/>
  <cols>
    <col min="1" max="1" width="5.140625" style="40" customWidth="1"/>
    <col min="2" max="2" width="6.421875" style="40" customWidth="1"/>
    <col min="3" max="3" width="4.8515625" style="40" customWidth="1"/>
    <col min="4" max="4" width="22.8515625" style="254" customWidth="1"/>
    <col min="5" max="5" width="12.00390625" style="40" customWidth="1"/>
    <col min="6" max="6" width="12.421875" style="40" customWidth="1"/>
    <col min="7" max="7" width="6.421875" style="40" customWidth="1"/>
    <col min="8" max="8" width="12.421875" style="40" customWidth="1"/>
    <col min="9" max="9" width="11.8515625" style="40" customWidth="1"/>
    <col min="10" max="10" width="6.57421875" style="40" customWidth="1"/>
    <col min="11" max="16384" width="9.140625" style="40" customWidth="1"/>
  </cols>
  <sheetData>
    <row r="2" spans="5:8" ht="19.5">
      <c r="E2" s="253"/>
      <c r="F2" s="253"/>
      <c r="G2" s="253"/>
      <c r="H2" s="253" t="s">
        <v>613</v>
      </c>
    </row>
    <row r="3" spans="5:8" ht="19.5">
      <c r="E3" s="253"/>
      <c r="F3" s="253"/>
      <c r="G3" s="253"/>
      <c r="H3" s="253"/>
    </row>
    <row r="4" spans="1:7" ht="12.75">
      <c r="A4" s="124"/>
      <c r="B4" s="124"/>
      <c r="C4" s="124"/>
      <c r="E4" s="442"/>
      <c r="F4" s="442"/>
      <c r="G4" s="442"/>
    </row>
    <row r="5" spans="1:7" ht="18.75">
      <c r="A5" s="306" t="s">
        <v>720</v>
      </c>
      <c r="B5" s="124"/>
      <c r="C5" s="124"/>
      <c r="E5" s="442"/>
      <c r="F5" s="442"/>
      <c r="G5" s="442"/>
    </row>
    <row r="6" spans="1:7" ht="18.75">
      <c r="A6" s="306" t="s">
        <v>721</v>
      </c>
      <c r="B6" s="124"/>
      <c r="C6" s="124"/>
      <c r="E6" s="442"/>
      <c r="F6" s="442"/>
      <c r="G6" s="442"/>
    </row>
    <row r="7" spans="1:7" ht="18.75">
      <c r="A7" s="306" t="s">
        <v>719</v>
      </c>
      <c r="B7" s="124"/>
      <c r="C7" s="124"/>
      <c r="E7" s="442"/>
      <c r="F7" s="442"/>
      <c r="G7" s="442"/>
    </row>
    <row r="8" spans="1:7" ht="12.75">
      <c r="A8" s="360"/>
      <c r="B8" s="124"/>
      <c r="C8" s="124"/>
      <c r="E8" s="442"/>
      <c r="F8" s="442"/>
      <c r="G8" s="442"/>
    </row>
    <row r="9" spans="1:9" ht="16.5" customHeight="1">
      <c r="A9" s="414" t="s">
        <v>201</v>
      </c>
      <c r="B9" s="414"/>
      <c r="C9" s="414"/>
      <c r="D9" s="443"/>
      <c r="E9" s="444"/>
      <c r="F9" s="444"/>
      <c r="G9" s="444"/>
      <c r="H9" s="320"/>
      <c r="I9" s="278" t="s">
        <v>202</v>
      </c>
    </row>
    <row r="10" spans="1:10" ht="69.75" customHeight="1">
      <c r="A10" s="729" t="s">
        <v>203</v>
      </c>
      <c r="B10" s="729" t="s">
        <v>204</v>
      </c>
      <c r="C10" s="729" t="s">
        <v>320</v>
      </c>
      <c r="D10" s="730" t="s">
        <v>124</v>
      </c>
      <c r="E10" s="310" t="s">
        <v>237</v>
      </c>
      <c r="F10" s="310" t="s">
        <v>713</v>
      </c>
      <c r="G10" s="310" t="s">
        <v>714</v>
      </c>
      <c r="H10" s="310" t="s">
        <v>238</v>
      </c>
      <c r="I10" s="310" t="s">
        <v>713</v>
      </c>
      <c r="J10" s="310" t="s">
        <v>714</v>
      </c>
    </row>
    <row r="11" spans="1:10" s="274" customFormat="1" ht="39" customHeight="1">
      <c r="A11" s="731">
        <v>750</v>
      </c>
      <c r="B11" s="732"/>
      <c r="C11" s="731"/>
      <c r="D11" s="733" t="s">
        <v>251</v>
      </c>
      <c r="E11" s="314">
        <f>SUM(E12)</f>
        <v>3000</v>
      </c>
      <c r="F11" s="314">
        <f>SUM(F12)</f>
        <v>2925</v>
      </c>
      <c r="G11" s="314">
        <f>F11*100/E11</f>
        <v>97.5</v>
      </c>
      <c r="H11" s="314">
        <f>SUM(H12)</f>
        <v>3000</v>
      </c>
      <c r="I11" s="314">
        <f>SUM(I12)</f>
        <v>2925</v>
      </c>
      <c r="J11" s="734">
        <f>I11*100/H11</f>
        <v>97.5</v>
      </c>
    </row>
    <row r="12" spans="1:10" s="274" customFormat="1" ht="30.75" customHeight="1">
      <c r="A12" s="735"/>
      <c r="B12" s="736">
        <v>75045</v>
      </c>
      <c r="C12" s="46"/>
      <c r="D12" s="737" t="s">
        <v>367</v>
      </c>
      <c r="E12" s="452">
        <f>SUM(E13)</f>
        <v>3000</v>
      </c>
      <c r="F12" s="452">
        <f>SUM(F13)</f>
        <v>2925</v>
      </c>
      <c r="G12" s="738">
        <f>F12*100/E12</f>
        <v>97.5</v>
      </c>
      <c r="H12" s="452">
        <f>H14</f>
        <v>3000</v>
      </c>
      <c r="I12" s="452">
        <f>I14</f>
        <v>2925</v>
      </c>
      <c r="J12" s="427">
        <f>I12*100/H12</f>
        <v>97.5</v>
      </c>
    </row>
    <row r="13" spans="1:10" ht="80.25" customHeight="1">
      <c r="A13" s="735"/>
      <c r="B13" s="739"/>
      <c r="C13" s="255">
        <v>2120</v>
      </c>
      <c r="D13" s="448" t="s">
        <v>594</v>
      </c>
      <c r="E13" s="740">
        <f>3000</f>
        <v>3000</v>
      </c>
      <c r="F13" s="740">
        <v>2925</v>
      </c>
      <c r="G13" s="740"/>
      <c r="H13" s="420"/>
      <c r="I13" s="420"/>
      <c r="J13" s="52"/>
    </row>
    <row r="14" spans="1:10" ht="31.5" customHeight="1">
      <c r="A14" s="741"/>
      <c r="B14" s="453"/>
      <c r="C14" s="76">
        <v>4300</v>
      </c>
      <c r="D14" s="449" t="s">
        <v>331</v>
      </c>
      <c r="E14" s="742"/>
      <c r="F14" s="742"/>
      <c r="G14" s="742"/>
      <c r="H14" s="742">
        <v>3000</v>
      </c>
      <c r="I14" s="742">
        <v>2925</v>
      </c>
      <c r="J14" s="52"/>
    </row>
    <row r="15" spans="1:10" s="748" customFormat="1" ht="29.25" customHeight="1">
      <c r="A15" s="743" t="s">
        <v>80</v>
      </c>
      <c r="B15" s="744"/>
      <c r="C15" s="745"/>
      <c r="D15" s="746"/>
      <c r="E15" s="354">
        <f>SUM(E11,)</f>
        <v>3000</v>
      </c>
      <c r="F15" s="354">
        <f>SUM(F11,)</f>
        <v>2925</v>
      </c>
      <c r="G15" s="354">
        <f>F15*100/E15</f>
        <v>97.5</v>
      </c>
      <c r="H15" s="354">
        <f>SUM(H11,)</f>
        <v>3000</v>
      </c>
      <c r="I15" s="354">
        <f>SUM(I11,)</f>
        <v>2925</v>
      </c>
      <c r="J15" s="747">
        <f>I15*100/H15</f>
        <v>97.5</v>
      </c>
    </row>
    <row r="16" spans="1:10" s="359" customFormat="1" ht="27.75" customHeight="1">
      <c r="A16" s="1051" t="s">
        <v>652</v>
      </c>
      <c r="B16" s="1052"/>
      <c r="C16" s="1052"/>
      <c r="D16" s="1053"/>
      <c r="E16" s="344">
        <f>E15</f>
        <v>3000</v>
      </c>
      <c r="F16" s="344">
        <f>F15</f>
        <v>2925</v>
      </c>
      <c r="G16" s="344">
        <f>F16*100/E16</f>
        <v>97.5</v>
      </c>
      <c r="H16" s="344">
        <f>H15</f>
        <v>3000</v>
      </c>
      <c r="I16" s="344">
        <f>I15</f>
        <v>2925</v>
      </c>
      <c r="J16" s="734">
        <f>I16*100/H16</f>
        <v>97.5</v>
      </c>
    </row>
    <row r="17" spans="1:7" ht="12.75">
      <c r="A17" s="439"/>
      <c r="B17" s="439"/>
      <c r="C17" s="749"/>
      <c r="D17" s="750"/>
      <c r="E17" s="439"/>
      <c r="F17" s="439"/>
      <c r="G17" s="439"/>
    </row>
    <row r="18" spans="1:7" ht="12.75">
      <c r="A18" s="439"/>
      <c r="B18" s="439"/>
      <c r="C18" s="749"/>
      <c r="D18" s="750"/>
      <c r="E18" s="439"/>
      <c r="F18" s="439"/>
      <c r="G18" s="439"/>
    </row>
    <row r="19" spans="3:4" ht="12.75">
      <c r="C19" s="751"/>
      <c r="D19" s="752"/>
    </row>
    <row r="20" spans="3:4" ht="12.75">
      <c r="C20" s="751"/>
      <c r="D20" s="752"/>
    </row>
    <row r="21" spans="3:4" ht="12.75">
      <c r="C21" s="751"/>
      <c r="D21" s="752"/>
    </row>
    <row r="22" spans="3:4" ht="12.75">
      <c r="C22" s="751"/>
      <c r="D22" s="752"/>
    </row>
    <row r="23" spans="3:4" ht="12.75">
      <c r="C23" s="751"/>
      <c r="D23" s="752"/>
    </row>
    <row r="24" spans="3:4" ht="12.75">
      <c r="C24" s="751"/>
      <c r="D24" s="752"/>
    </row>
    <row r="25" spans="3:4" ht="12.75">
      <c r="C25" s="751"/>
      <c r="D25" s="752"/>
    </row>
    <row r="26" spans="3:4" ht="12.75">
      <c r="C26" s="751"/>
      <c r="D26" s="752"/>
    </row>
    <row r="27" ht="12.75">
      <c r="C27" s="751"/>
    </row>
    <row r="28" ht="12.75">
      <c r="C28" s="751"/>
    </row>
    <row r="29" ht="12.75">
      <c r="C29" s="751"/>
    </row>
    <row r="30" ht="12.75">
      <c r="C30" s="751"/>
    </row>
    <row r="31" ht="12.75">
      <c r="C31" s="751"/>
    </row>
    <row r="32" ht="12.75">
      <c r="C32" s="751"/>
    </row>
    <row r="33" ht="12.75">
      <c r="C33" s="751"/>
    </row>
    <row r="34" ht="12.75">
      <c r="C34" s="751"/>
    </row>
    <row r="35" ht="12.75">
      <c r="C35" s="751"/>
    </row>
    <row r="36" ht="12.75">
      <c r="C36" s="751"/>
    </row>
    <row r="37" ht="12.75">
      <c r="C37" s="751"/>
    </row>
    <row r="38" ht="12.75">
      <c r="C38" s="751"/>
    </row>
    <row r="39" ht="12.75">
      <c r="C39" s="751"/>
    </row>
    <row r="40" ht="12.75">
      <c r="C40" s="751"/>
    </row>
    <row r="41" ht="12.75">
      <c r="C41" s="751"/>
    </row>
    <row r="42" ht="12.75">
      <c r="C42" s="751"/>
    </row>
    <row r="43" ht="12.75">
      <c r="C43" s="751"/>
    </row>
    <row r="44" ht="12.75">
      <c r="C44" s="751"/>
    </row>
    <row r="45" ht="12.75">
      <c r="C45" s="751"/>
    </row>
    <row r="46" ht="12.75">
      <c r="C46" s="751"/>
    </row>
    <row r="47" ht="12.75">
      <c r="C47" s="751"/>
    </row>
    <row r="48" ht="12.75">
      <c r="C48" s="751"/>
    </row>
    <row r="49" ht="12.75">
      <c r="C49" s="751"/>
    </row>
    <row r="50" ht="12.75">
      <c r="C50" s="751"/>
    </row>
    <row r="51" ht="12.75">
      <c r="C51" s="751"/>
    </row>
    <row r="52" ht="12.75">
      <c r="C52" s="751"/>
    </row>
    <row r="53" ht="12.75">
      <c r="C53" s="751"/>
    </row>
    <row r="54" ht="12.75">
      <c r="C54" s="751"/>
    </row>
    <row r="55" ht="12.75">
      <c r="C55" s="751"/>
    </row>
    <row r="56" ht="12.75">
      <c r="C56" s="751"/>
    </row>
    <row r="57" ht="12.75">
      <c r="C57" s="751"/>
    </row>
    <row r="58" ht="12.75">
      <c r="C58" s="751"/>
    </row>
    <row r="59" ht="12.75">
      <c r="C59" s="751"/>
    </row>
    <row r="60" ht="12.75">
      <c r="C60" s="751"/>
    </row>
    <row r="61" ht="12.75">
      <c r="C61" s="751"/>
    </row>
    <row r="62" ht="12.75">
      <c r="C62" s="751"/>
    </row>
    <row r="63" ht="12.75">
      <c r="C63" s="751"/>
    </row>
  </sheetData>
  <mergeCells count="1">
    <mergeCell ref="A16:D16"/>
  </mergeCells>
  <printOptions/>
  <pageMargins left="0.3937007874015748" right="0" top="0.7874015748031497" bottom="0.7874015748031497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4">
      <selection activeCell="N15" sqref="N15"/>
    </sheetView>
  </sheetViews>
  <sheetFormatPr defaultColWidth="9.140625" defaultRowHeight="12.75"/>
  <cols>
    <col min="1" max="1" width="5.140625" style="40" customWidth="1"/>
    <col min="2" max="2" width="6.7109375" style="40" customWidth="1"/>
    <col min="3" max="3" width="5.421875" style="40" customWidth="1"/>
    <col min="4" max="4" width="26.00390625" style="40" customWidth="1"/>
    <col min="5" max="5" width="11.57421875" style="40" customWidth="1"/>
    <col min="6" max="6" width="11.28125" style="40" customWidth="1"/>
    <col min="7" max="7" width="6.421875" style="40" customWidth="1"/>
    <col min="8" max="8" width="11.421875" style="40" customWidth="1"/>
    <col min="9" max="9" width="11.57421875" style="40" customWidth="1"/>
    <col min="10" max="10" width="7.140625" style="40" customWidth="1"/>
    <col min="11" max="16384" width="9.140625" style="40" customWidth="1"/>
  </cols>
  <sheetData>
    <row r="1" spans="1:7" ht="19.5" customHeight="1">
      <c r="A1" s="124"/>
      <c r="B1" s="124"/>
      <c r="C1" s="124"/>
      <c r="D1" s="124"/>
      <c r="E1" s="253"/>
      <c r="F1" s="253"/>
      <c r="G1" s="253"/>
    </row>
    <row r="2" spans="1:8" ht="19.5" customHeight="1">
      <c r="A2" s="124"/>
      <c r="B2" s="124"/>
      <c r="C2" s="124"/>
      <c r="D2" s="124"/>
      <c r="E2" s="256"/>
      <c r="F2" s="256"/>
      <c r="G2" s="256"/>
      <c r="H2" s="753" t="s">
        <v>722</v>
      </c>
    </row>
    <row r="3" spans="1:7" ht="19.5" customHeight="1">
      <c r="A3" s="124"/>
      <c r="B3" s="124"/>
      <c r="C3" s="124"/>
      <c r="D3" s="124"/>
      <c r="E3" s="124"/>
      <c r="F3" s="124"/>
      <c r="G3" s="124"/>
    </row>
    <row r="4" spans="1:7" ht="12.75">
      <c r="A4" s="124"/>
      <c r="B4" s="124"/>
      <c r="C4" s="124"/>
      <c r="D4" s="124"/>
      <c r="E4" s="124"/>
      <c r="F4" s="124"/>
      <c r="G4" s="124"/>
    </row>
    <row r="5" spans="1:7" ht="18.75">
      <c r="A5" s="306" t="s">
        <v>711</v>
      </c>
      <c r="B5" s="124"/>
      <c r="C5" s="124"/>
      <c r="D5" s="124"/>
      <c r="E5" s="124"/>
      <c r="F5" s="124"/>
      <c r="G5" s="124"/>
    </row>
    <row r="6" spans="1:7" ht="18.75">
      <c r="A6" s="306" t="s">
        <v>73</v>
      </c>
      <c r="B6" s="124"/>
      <c r="C6" s="124"/>
      <c r="D6" s="124"/>
      <c r="E6" s="124"/>
      <c r="F6" s="124"/>
      <c r="G6" s="124"/>
    </row>
    <row r="7" spans="1:7" ht="18.75">
      <c r="A7" s="412" t="s">
        <v>723</v>
      </c>
      <c r="B7" s="413"/>
      <c r="C7" s="414"/>
      <c r="D7" s="415"/>
      <c r="E7" s="415"/>
      <c r="F7" s="415"/>
      <c r="G7" s="415"/>
    </row>
    <row r="8" spans="1:7" ht="18.75">
      <c r="A8" s="306" t="s">
        <v>719</v>
      </c>
      <c r="B8" s="413"/>
      <c r="C8" s="414"/>
      <c r="D8" s="415"/>
      <c r="E8" s="415"/>
      <c r="F8" s="415"/>
      <c r="G8" s="415"/>
    </row>
    <row r="9" spans="1:7" ht="18.75">
      <c r="A9" s="306"/>
      <c r="B9" s="413"/>
      <c r="C9" s="414"/>
      <c r="D9" s="415"/>
      <c r="E9" s="415"/>
      <c r="F9" s="415"/>
      <c r="G9" s="415"/>
    </row>
    <row r="10" spans="1:9" ht="12.75">
      <c r="A10" s="414" t="s">
        <v>201</v>
      </c>
      <c r="B10" s="414"/>
      <c r="C10" s="414"/>
      <c r="D10" s="415"/>
      <c r="E10" s="415"/>
      <c r="F10" s="415"/>
      <c r="G10" s="415"/>
      <c r="I10" s="278" t="s">
        <v>202</v>
      </c>
    </row>
    <row r="11" spans="1:10" s="124" customFormat="1" ht="65.25" customHeight="1">
      <c r="A11" s="63" t="s">
        <v>203</v>
      </c>
      <c r="B11" s="63" t="s">
        <v>204</v>
      </c>
      <c r="C11" s="63" t="s">
        <v>320</v>
      </c>
      <c r="D11" s="416" t="s">
        <v>124</v>
      </c>
      <c r="E11" s="310" t="s">
        <v>237</v>
      </c>
      <c r="F11" s="310" t="s">
        <v>713</v>
      </c>
      <c r="G11" s="310" t="s">
        <v>714</v>
      </c>
      <c r="H11" s="310" t="s">
        <v>238</v>
      </c>
      <c r="I11" s="310" t="s">
        <v>713</v>
      </c>
      <c r="J11" s="310" t="s">
        <v>714</v>
      </c>
    </row>
    <row r="12" spans="1:10" ht="24.75" customHeight="1">
      <c r="A12" s="49" t="s">
        <v>135</v>
      </c>
      <c r="B12" s="417"/>
      <c r="C12" s="417"/>
      <c r="D12" s="418"/>
      <c r="E12" s="419"/>
      <c r="F12" s="419"/>
      <c r="G12" s="419"/>
      <c r="H12" s="420"/>
      <c r="I12" s="420"/>
      <c r="J12" s="420"/>
    </row>
    <row r="13" spans="1:10" ht="45" customHeight="1">
      <c r="A13" s="421">
        <v>853</v>
      </c>
      <c r="B13" s="421"/>
      <c r="C13" s="421"/>
      <c r="D13" s="422" t="s">
        <v>78</v>
      </c>
      <c r="E13" s="423">
        <f>SUM(E14)</f>
        <v>297490</v>
      </c>
      <c r="F13" s="423">
        <f>SUM(F14)</f>
        <v>160188</v>
      </c>
      <c r="G13" s="423">
        <f>F13*100/E13</f>
        <v>53.846515849272244</v>
      </c>
      <c r="H13" s="423">
        <f>H14</f>
        <v>297490</v>
      </c>
      <c r="I13" s="423">
        <f>I14</f>
        <v>160188</v>
      </c>
      <c r="J13" s="734">
        <f>I13*100/H13</f>
        <v>53.846515849272244</v>
      </c>
    </row>
    <row r="14" spans="1:10" s="320" customFormat="1" ht="40.5" customHeight="1">
      <c r="A14" s="424"/>
      <c r="B14" s="94">
        <v>85321</v>
      </c>
      <c r="C14" s="94"/>
      <c r="D14" s="754" t="s">
        <v>636</v>
      </c>
      <c r="E14" s="426">
        <f>SUM(E15)</f>
        <v>297490</v>
      </c>
      <c r="F14" s="426">
        <f>SUM(F15)</f>
        <v>160188</v>
      </c>
      <c r="G14" s="435">
        <f>F14*100/E14</f>
        <v>53.846515849272244</v>
      </c>
      <c r="H14" s="426">
        <f>SUM(H16:H22)</f>
        <v>297490</v>
      </c>
      <c r="I14" s="426">
        <f>SUM(I16:I22)</f>
        <v>160188</v>
      </c>
      <c r="J14" s="427">
        <f>I14*100/H14</f>
        <v>53.846515849272244</v>
      </c>
    </row>
    <row r="15" spans="1:10" ht="78.75" customHeight="1">
      <c r="A15" s="428"/>
      <c r="B15" s="424"/>
      <c r="C15" s="2">
        <v>2320</v>
      </c>
      <c r="D15" s="370" t="s">
        <v>602</v>
      </c>
      <c r="E15" s="429">
        <v>297490</v>
      </c>
      <c r="F15" s="429">
        <v>160188</v>
      </c>
      <c r="G15" s="435">
        <f>F15*100/E15</f>
        <v>53.846515849272244</v>
      </c>
      <c r="H15" s="420"/>
      <c r="I15" s="420"/>
      <c r="J15" s="427"/>
    </row>
    <row r="16" spans="1:10" ht="27.75" customHeight="1">
      <c r="A16" s="430"/>
      <c r="B16" s="431"/>
      <c r="C16" s="8">
        <v>4010</v>
      </c>
      <c r="D16" s="432" t="s">
        <v>378</v>
      </c>
      <c r="E16" s="429"/>
      <c r="F16" s="429"/>
      <c r="G16" s="429"/>
      <c r="H16" s="427">
        <v>160760.62</v>
      </c>
      <c r="I16" s="427">
        <v>83838.38</v>
      </c>
      <c r="J16" s="427">
        <f aca="true" t="shared" si="0" ref="J16:J23">I16*100/H16</f>
        <v>52.151067842360895</v>
      </c>
    </row>
    <row r="17" spans="1:10" ht="20.25" customHeight="1">
      <c r="A17" s="430"/>
      <c r="B17" s="431"/>
      <c r="C17" s="8">
        <v>4040</v>
      </c>
      <c r="D17" s="432" t="s">
        <v>379</v>
      </c>
      <c r="E17" s="433"/>
      <c r="F17" s="433"/>
      <c r="G17" s="433"/>
      <c r="H17" s="427">
        <v>18142.55</v>
      </c>
      <c r="I17" s="427">
        <v>18142.55</v>
      </c>
      <c r="J17" s="427">
        <f t="shared" si="0"/>
        <v>100</v>
      </c>
    </row>
    <row r="18" spans="1:10" ht="20.25" customHeight="1">
      <c r="A18" s="430"/>
      <c r="B18" s="431"/>
      <c r="C18" s="8">
        <v>4110</v>
      </c>
      <c r="D18" s="432" t="s">
        <v>565</v>
      </c>
      <c r="E18" s="433"/>
      <c r="F18" s="433"/>
      <c r="G18" s="433"/>
      <c r="H18" s="427">
        <f>17344+13907</f>
        <v>31251</v>
      </c>
      <c r="I18" s="427">
        <v>19225.35</v>
      </c>
      <c r="J18" s="427">
        <f t="shared" si="0"/>
        <v>61.5191513871556</v>
      </c>
    </row>
    <row r="19" spans="1:10" ht="20.25" customHeight="1">
      <c r="A19" s="430"/>
      <c r="B19" s="431"/>
      <c r="C19" s="15">
        <v>4120</v>
      </c>
      <c r="D19" s="434" t="s">
        <v>566</v>
      </c>
      <c r="E19" s="433"/>
      <c r="F19" s="433"/>
      <c r="G19" s="433"/>
      <c r="H19" s="427">
        <f>2473+1983</f>
        <v>4456</v>
      </c>
      <c r="I19" s="427">
        <v>2631.81</v>
      </c>
      <c r="J19" s="427">
        <f t="shared" si="0"/>
        <v>59.062163375224415</v>
      </c>
    </row>
    <row r="20" spans="1:10" ht="20.25" customHeight="1">
      <c r="A20" s="430"/>
      <c r="B20" s="431"/>
      <c r="C20" s="15">
        <v>4170</v>
      </c>
      <c r="D20" s="434" t="s">
        <v>572</v>
      </c>
      <c r="E20" s="433"/>
      <c r="F20" s="433"/>
      <c r="G20" s="433"/>
      <c r="H20" s="427">
        <f>13209+10591</f>
        <v>23800</v>
      </c>
      <c r="I20" s="427">
        <v>9129.04</v>
      </c>
      <c r="J20" s="427">
        <f t="shared" si="0"/>
        <v>38.357310924369756</v>
      </c>
    </row>
    <row r="21" spans="1:10" ht="20.25" customHeight="1">
      <c r="A21" s="430"/>
      <c r="B21" s="431"/>
      <c r="C21" s="8">
        <v>4300</v>
      </c>
      <c r="D21" s="432" t="s">
        <v>331</v>
      </c>
      <c r="E21" s="433"/>
      <c r="F21" s="433"/>
      <c r="G21" s="433"/>
      <c r="H21" s="427">
        <f>22802+28438</f>
        <v>51240</v>
      </c>
      <c r="I21" s="427">
        <v>21341</v>
      </c>
      <c r="J21" s="427">
        <f t="shared" si="0"/>
        <v>41.64910226385636</v>
      </c>
    </row>
    <row r="22" spans="1:10" ht="30" customHeight="1">
      <c r="A22" s="430"/>
      <c r="B22" s="431"/>
      <c r="C22" s="15">
        <v>4440</v>
      </c>
      <c r="D22" s="434" t="s">
        <v>567</v>
      </c>
      <c r="E22" s="435"/>
      <c r="F22" s="435"/>
      <c r="G22" s="435"/>
      <c r="H22" s="427">
        <v>7839.83</v>
      </c>
      <c r="I22" s="427">
        <v>5879.87</v>
      </c>
      <c r="J22" s="427">
        <f t="shared" si="0"/>
        <v>74.99996811155344</v>
      </c>
    </row>
    <row r="23" spans="1:10" ht="28.5" customHeight="1">
      <c r="A23" s="436" t="s">
        <v>79</v>
      </c>
      <c r="B23" s="417"/>
      <c r="C23" s="417"/>
      <c r="D23" s="437"/>
      <c r="E23" s="423">
        <f>SUM(E13)</f>
        <v>297490</v>
      </c>
      <c r="F23" s="423">
        <f>SUM(F13)</f>
        <v>160188</v>
      </c>
      <c r="G23" s="423">
        <f>F23*100/E23</f>
        <v>53.846515849272244</v>
      </c>
      <c r="H23" s="438">
        <f>SUM(H16:H22)</f>
        <v>297490</v>
      </c>
      <c r="I23" s="438">
        <f>SUM(I16:I22)</f>
        <v>160188</v>
      </c>
      <c r="J23" s="734">
        <f t="shared" si="0"/>
        <v>53.846515849272244</v>
      </c>
    </row>
    <row r="24" spans="1:7" ht="12.75">
      <c r="A24" s="439"/>
      <c r="B24" s="439"/>
      <c r="C24" s="439"/>
      <c r="D24" s="439"/>
      <c r="E24" s="440"/>
      <c r="F24" s="440"/>
      <c r="G24" s="440"/>
    </row>
    <row r="25" spans="1:7" ht="12.75">
      <c r="A25" s="439"/>
      <c r="B25" s="439"/>
      <c r="C25" s="439"/>
      <c r="D25" s="439"/>
      <c r="E25" s="439"/>
      <c r="F25" s="439"/>
      <c r="G25" s="439"/>
    </row>
    <row r="26" spans="1:7" ht="12.75">
      <c r="A26" s="439"/>
      <c r="B26" s="439"/>
      <c r="C26" s="439"/>
      <c r="D26" s="439"/>
      <c r="E26" s="439"/>
      <c r="F26" s="439"/>
      <c r="G26" s="439"/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3"/>
  <sheetViews>
    <sheetView workbookViewId="0" topLeftCell="A7">
      <selection activeCell="J10" sqref="J10:L23"/>
    </sheetView>
  </sheetViews>
  <sheetFormatPr defaultColWidth="9.140625" defaultRowHeight="12.75"/>
  <cols>
    <col min="1" max="1" width="3.57421875" style="40" customWidth="1"/>
    <col min="2" max="2" width="38.8515625" style="40" customWidth="1"/>
    <col min="3" max="3" width="16.28125" style="40" customWidth="1"/>
    <col min="4" max="4" width="17.421875" style="40" customWidth="1"/>
    <col min="5" max="5" width="16.7109375" style="40" customWidth="1"/>
    <col min="6" max="6" width="18.00390625" style="40" customWidth="1"/>
    <col min="7" max="7" width="16.8515625" style="40" customWidth="1"/>
    <col min="8" max="8" width="17.140625" style="40" customWidth="1"/>
    <col min="9" max="9" width="21.421875" style="215" customWidth="1"/>
    <col min="10" max="10" width="21.8515625" style="40" customWidth="1"/>
    <col min="11" max="11" width="20.57421875" style="124" customWidth="1"/>
    <col min="12" max="12" width="14.57421875" style="40" customWidth="1"/>
    <col min="13" max="13" width="9.140625" style="40" customWidth="1"/>
    <col min="14" max="14" width="18.00390625" style="40" customWidth="1"/>
    <col min="15" max="15" width="21.28125" style="40" customWidth="1"/>
    <col min="16" max="18" width="9.140625" style="40" customWidth="1"/>
    <col min="19" max="19" width="20.57421875" style="40" customWidth="1"/>
    <col min="20" max="16384" width="9.140625" style="40" customWidth="1"/>
  </cols>
  <sheetData>
    <row r="1" spans="3:11" s="72" customFormat="1" ht="20.25">
      <c r="C1" s="257"/>
      <c r="D1" s="257"/>
      <c r="E1" s="257"/>
      <c r="F1" s="304" t="s">
        <v>208</v>
      </c>
      <c r="G1" s="162"/>
      <c r="I1" s="649"/>
      <c r="K1" s="650"/>
    </row>
    <row r="2" spans="3:11" s="72" customFormat="1" ht="18.75">
      <c r="C2" s="162"/>
      <c r="D2" s="162"/>
      <c r="E2" s="162"/>
      <c r="F2" s="162"/>
      <c r="G2" s="162"/>
      <c r="I2" s="649"/>
      <c r="K2" s="650"/>
    </row>
    <row r="3" spans="2:13" s="72" customFormat="1" ht="15.75">
      <c r="B3" s="258"/>
      <c r="C3" s="258"/>
      <c r="D3" s="258"/>
      <c r="E3" s="258"/>
      <c r="F3" s="258"/>
      <c r="G3" s="258"/>
      <c r="H3" s="651"/>
      <c r="I3" s="652"/>
      <c r="J3" s="258"/>
      <c r="K3" s="651"/>
      <c r="L3" s="258"/>
      <c r="M3" s="258"/>
    </row>
    <row r="4" spans="2:13" s="72" customFormat="1" ht="19.5">
      <c r="B4" s="653" t="s">
        <v>209</v>
      </c>
      <c r="C4" s="258"/>
      <c r="D4" s="258"/>
      <c r="E4" s="258"/>
      <c r="F4" s="258"/>
      <c r="G4" s="258"/>
      <c r="H4" s="651"/>
      <c r="I4" s="652"/>
      <c r="J4" s="258"/>
      <c r="K4" s="651"/>
      <c r="L4" s="258"/>
      <c r="M4" s="258"/>
    </row>
    <row r="5" spans="1:25" s="54" customFormat="1" ht="19.5">
      <c r="A5" s="654"/>
      <c r="B5" s="655" t="s">
        <v>77</v>
      </c>
      <c r="C5" s="655"/>
      <c r="D5" s="656"/>
      <c r="E5" s="657"/>
      <c r="F5" s="658"/>
      <c r="G5" s="657"/>
      <c r="H5" s="658"/>
      <c r="I5" s="574"/>
      <c r="J5" s="574"/>
      <c r="K5" s="574"/>
      <c r="L5" s="565"/>
      <c r="M5" s="574"/>
      <c r="N5" s="574"/>
      <c r="O5" s="574"/>
      <c r="P5" s="574"/>
      <c r="Q5" s="574"/>
      <c r="R5" s="574"/>
      <c r="S5" s="574"/>
      <c r="T5" s="638"/>
      <c r="U5" s="638"/>
      <c r="V5" s="638"/>
      <c r="W5" s="638"/>
      <c r="X5" s="638"/>
      <c r="Y5" s="638"/>
    </row>
    <row r="7" spans="3:7" ht="20.25">
      <c r="C7" s="304"/>
      <c r="D7" s="304"/>
      <c r="E7" s="304"/>
      <c r="F7" s="304"/>
      <c r="G7" s="276"/>
    </row>
    <row r="8" spans="2:13" s="259" customFormat="1" ht="24.75" customHeight="1">
      <c r="B8" s="1054" t="s">
        <v>124</v>
      </c>
      <c r="C8" s="659" t="s">
        <v>206</v>
      </c>
      <c r="D8" s="260"/>
      <c r="E8" s="260"/>
      <c r="F8" s="660"/>
      <c r="G8" s="659" t="s">
        <v>207</v>
      </c>
      <c r="H8" s="661"/>
      <c r="I8" s="662"/>
      <c r="J8" s="663"/>
      <c r="K8" s="664"/>
      <c r="L8" s="663"/>
      <c r="M8" s="663"/>
    </row>
    <row r="9" spans="2:13" s="72" customFormat="1" ht="65.25" customHeight="1">
      <c r="B9" s="1055"/>
      <c r="C9" s="665" t="s">
        <v>236</v>
      </c>
      <c r="D9" s="666" t="s">
        <v>74</v>
      </c>
      <c r="E9" s="667" t="s">
        <v>75</v>
      </c>
      <c r="F9" s="666" t="s">
        <v>74</v>
      </c>
      <c r="G9" s="261" t="s">
        <v>76</v>
      </c>
      <c r="H9" s="668" t="s">
        <v>74</v>
      </c>
      <c r="I9" s="669"/>
      <c r="J9" s="670"/>
      <c r="K9" s="671"/>
      <c r="L9" s="672"/>
      <c r="M9" s="258"/>
    </row>
    <row r="10" spans="2:13" s="165" customFormat="1" ht="31.5" customHeight="1">
      <c r="B10" s="262" t="s">
        <v>608</v>
      </c>
      <c r="C10" s="265">
        <f aca="true" t="shared" si="0" ref="C10:H10">C11</f>
        <v>16225000</v>
      </c>
      <c r="D10" s="265">
        <f t="shared" si="0"/>
        <v>1225000</v>
      </c>
      <c r="E10" s="265">
        <f t="shared" si="0"/>
        <v>815500</v>
      </c>
      <c r="F10" s="265">
        <f t="shared" si="0"/>
        <v>815500</v>
      </c>
      <c r="G10" s="265">
        <f t="shared" si="0"/>
        <v>17428554.72</v>
      </c>
      <c r="H10" s="265">
        <f t="shared" si="0"/>
        <v>8693862.46</v>
      </c>
      <c r="I10" s="673"/>
      <c r="J10" s="674"/>
      <c r="K10" s="675"/>
      <c r="L10" s="676"/>
      <c r="M10" s="677"/>
    </row>
    <row r="11" spans="2:14" s="165" customFormat="1" ht="50.25" customHeight="1">
      <c r="B11" s="678" t="s">
        <v>609</v>
      </c>
      <c r="C11" s="679">
        <f aca="true" t="shared" si="1" ref="C11:H11">SUM(C12:C18)</f>
        <v>16225000</v>
      </c>
      <c r="D11" s="679">
        <f t="shared" si="1"/>
        <v>1225000</v>
      </c>
      <c r="E11" s="679">
        <f t="shared" si="1"/>
        <v>815500</v>
      </c>
      <c r="F11" s="679">
        <f t="shared" si="1"/>
        <v>815500</v>
      </c>
      <c r="G11" s="679">
        <f t="shared" si="1"/>
        <v>17428554.72</v>
      </c>
      <c r="H11" s="679">
        <f t="shared" si="1"/>
        <v>8693862.46</v>
      </c>
      <c r="I11" s="680"/>
      <c r="J11" s="674"/>
      <c r="K11" s="681"/>
      <c r="L11" s="676"/>
      <c r="M11" s="682"/>
      <c r="N11" s="215"/>
    </row>
    <row r="12" spans="2:14" s="165" customFormat="1" ht="27" customHeight="1">
      <c r="B12" s="691" t="s">
        <v>205</v>
      </c>
      <c r="C12" s="679"/>
      <c r="D12" s="683"/>
      <c r="E12" s="267">
        <v>815500</v>
      </c>
      <c r="F12" s="267">
        <v>815500</v>
      </c>
      <c r="G12" s="683"/>
      <c r="H12" s="684"/>
      <c r="I12" s="680"/>
      <c r="J12" s="674"/>
      <c r="K12" s="681"/>
      <c r="L12" s="676"/>
      <c r="M12" s="682"/>
      <c r="N12" s="215"/>
    </row>
    <row r="13" spans="2:14" ht="32.25" customHeight="1">
      <c r="B13" s="263" t="s">
        <v>369</v>
      </c>
      <c r="C13" s="266"/>
      <c r="D13" s="267"/>
      <c r="E13" s="267"/>
      <c r="F13" s="267"/>
      <c r="G13" s="267">
        <v>6037949.72</v>
      </c>
      <c r="H13" s="266">
        <f>2057392.68+961581.78</f>
        <v>3018974.46</v>
      </c>
      <c r="I13" s="680"/>
      <c r="J13" s="674"/>
      <c r="K13" s="681"/>
      <c r="L13" s="681"/>
      <c r="M13" s="685"/>
      <c r="N13" s="215"/>
    </row>
    <row r="14" spans="2:14" ht="42" customHeight="1">
      <c r="B14" s="263" t="s">
        <v>188</v>
      </c>
      <c r="C14" s="267">
        <v>15000000</v>
      </c>
      <c r="D14" s="267"/>
      <c r="E14" s="267"/>
      <c r="F14" s="267"/>
      <c r="G14" s="267"/>
      <c r="H14" s="266"/>
      <c r="I14" s="680"/>
      <c r="J14" s="674"/>
      <c r="K14" s="681"/>
      <c r="L14" s="681"/>
      <c r="M14" s="685"/>
      <c r="N14" s="215"/>
    </row>
    <row r="15" spans="2:13" ht="35.25" customHeight="1">
      <c r="B15" s="246" t="s">
        <v>373</v>
      </c>
      <c r="C15" s="267">
        <v>1225000</v>
      </c>
      <c r="D15" s="267">
        <v>1225000</v>
      </c>
      <c r="E15" s="267"/>
      <c r="F15" s="267"/>
      <c r="G15" s="267"/>
      <c r="H15" s="266"/>
      <c r="I15" s="686"/>
      <c r="J15" s="674"/>
      <c r="K15" s="687"/>
      <c r="L15" s="688"/>
      <c r="M15" s="689"/>
    </row>
    <row r="16" spans="2:13" ht="42.75" customHeight="1">
      <c r="B16" s="264" t="s">
        <v>370</v>
      </c>
      <c r="C16" s="267"/>
      <c r="D16" s="267"/>
      <c r="E16" s="267"/>
      <c r="F16" s="267"/>
      <c r="G16" s="267">
        <v>60829</v>
      </c>
      <c r="H16" s="266"/>
      <c r="I16" s="680"/>
      <c r="J16" s="674"/>
      <c r="K16" s="687"/>
      <c r="L16" s="688"/>
      <c r="M16" s="689"/>
    </row>
    <row r="17" spans="2:13" ht="33" customHeight="1">
      <c r="B17" s="263" t="s">
        <v>371</v>
      </c>
      <c r="C17" s="267"/>
      <c r="D17" s="267"/>
      <c r="E17" s="267"/>
      <c r="F17" s="267"/>
      <c r="G17" s="267">
        <v>221200</v>
      </c>
      <c r="H17" s="266">
        <v>110600</v>
      </c>
      <c r="I17" s="680"/>
      <c r="J17" s="674"/>
      <c r="K17" s="690"/>
      <c r="L17" s="689"/>
      <c r="M17" s="689"/>
    </row>
    <row r="18" spans="2:13" ht="26.25" customHeight="1">
      <c r="B18" s="263" t="s">
        <v>372</v>
      </c>
      <c r="C18" s="266"/>
      <c r="D18" s="692"/>
      <c r="E18" s="266"/>
      <c r="F18" s="692"/>
      <c r="G18" s="266">
        <v>11108576</v>
      </c>
      <c r="H18" s="700">
        <v>5564288</v>
      </c>
      <c r="I18" s="685"/>
      <c r="J18" s="674"/>
      <c r="K18" s="690"/>
      <c r="L18" s="688"/>
      <c r="M18" s="689"/>
    </row>
    <row r="19" spans="7:22" ht="15.75">
      <c r="G19" s="637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2:22" ht="15.75"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2:22" ht="15.75"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3:22" ht="15.75">
      <c r="C22" s="166"/>
      <c r="D22" s="166"/>
      <c r="E22" s="166"/>
      <c r="F22" s="166"/>
      <c r="G22" s="166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3:22" ht="15.75">
      <c r="C23" s="166"/>
      <c r="D23" s="166"/>
      <c r="E23" s="166"/>
      <c r="F23" s="166"/>
      <c r="G23" s="166"/>
      <c r="H23" s="166"/>
      <c r="I23" s="166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3:22" ht="15.75">
      <c r="C24" s="166"/>
      <c r="D24" s="166"/>
      <c r="E24" s="166"/>
      <c r="F24" s="166"/>
      <c r="G24" s="166"/>
      <c r="H24" s="166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3:22" ht="15.75">
      <c r="C25" s="166"/>
      <c r="D25" s="166"/>
      <c r="E25" s="166"/>
      <c r="F25" s="166"/>
      <c r="G25" s="166"/>
      <c r="H25" s="166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3:22" ht="15.75">
      <c r="C26" s="166"/>
      <c r="D26" s="166"/>
      <c r="E26" s="166"/>
      <c r="F26" s="166"/>
      <c r="G26" s="166"/>
      <c r="H26" s="166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3:22" ht="15.75">
      <c r="C27" s="166"/>
      <c r="D27" s="166"/>
      <c r="E27" s="166"/>
      <c r="F27" s="166"/>
      <c r="G27" s="166"/>
      <c r="H27" s="166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3:22" ht="15.75">
      <c r="C28" s="636"/>
      <c r="D28" s="636"/>
      <c r="E28" s="636"/>
      <c r="F28" s="636"/>
      <c r="G28" s="166"/>
      <c r="H28" s="166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3:22" ht="15.75">
      <c r="C29" s="166"/>
      <c r="D29" s="166"/>
      <c r="E29" s="166"/>
      <c r="F29" s="166"/>
      <c r="G29" s="166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3:22" ht="15.75">
      <c r="C30" s="166"/>
      <c r="D30" s="166"/>
      <c r="E30" s="166"/>
      <c r="F30" s="166"/>
      <c r="G30" s="166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3:22" ht="15.75">
      <c r="C31" s="166"/>
      <c r="D31" s="166"/>
      <c r="E31" s="166"/>
      <c r="F31" s="166"/>
      <c r="G31" s="166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3:22" ht="15.75">
      <c r="C32" s="166"/>
      <c r="D32" s="166"/>
      <c r="E32" s="166"/>
      <c r="F32" s="166"/>
      <c r="G32" s="166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3:22" ht="15.75">
      <c r="C33" s="636"/>
      <c r="D33" s="636"/>
      <c r="E33" s="636"/>
      <c r="F33" s="636"/>
      <c r="G33" s="166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3:22" ht="15.75">
      <c r="C34" s="166"/>
      <c r="D34" s="166"/>
      <c r="E34" s="166"/>
      <c r="F34" s="166"/>
      <c r="G34" s="166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3:7" ht="15.75">
      <c r="C35" s="166"/>
      <c r="D35" s="166"/>
      <c r="E35" s="166"/>
      <c r="F35" s="166"/>
      <c r="G35" s="166"/>
    </row>
    <row r="36" spans="3:7" ht="15.75">
      <c r="C36" s="166"/>
      <c r="D36" s="166"/>
      <c r="E36" s="166"/>
      <c r="F36" s="166"/>
      <c r="G36" s="166"/>
    </row>
    <row r="37" spans="3:7" ht="15.75">
      <c r="C37" s="166"/>
      <c r="D37" s="166"/>
      <c r="E37" s="166"/>
      <c r="F37" s="166"/>
      <c r="G37" s="166"/>
    </row>
    <row r="38" spans="3:7" ht="15.75">
      <c r="C38" s="166"/>
      <c r="D38" s="166"/>
      <c r="E38" s="166"/>
      <c r="F38" s="166"/>
      <c r="G38" s="166"/>
    </row>
    <row r="39" spans="3:7" ht="15.75">
      <c r="C39" s="636"/>
      <c r="D39" s="636"/>
      <c r="E39" s="636"/>
      <c r="F39" s="636"/>
      <c r="G39" s="166"/>
    </row>
    <row r="40" spans="3:7" ht="15.75">
      <c r="C40" s="166"/>
      <c r="D40" s="166"/>
      <c r="E40" s="166"/>
      <c r="F40" s="166"/>
      <c r="G40" s="166"/>
    </row>
    <row r="41" spans="3:7" ht="15.75">
      <c r="C41" s="166"/>
      <c r="D41" s="166"/>
      <c r="E41" s="166"/>
      <c r="F41" s="166"/>
      <c r="G41" s="166"/>
    </row>
    <row r="42" spans="3:7" ht="15.75">
      <c r="C42" s="166"/>
      <c r="D42" s="166"/>
      <c r="E42" s="166"/>
      <c r="F42" s="166"/>
      <c r="G42" s="166"/>
    </row>
    <row r="43" spans="3:7" ht="15.75">
      <c r="C43" s="166"/>
      <c r="D43" s="166"/>
      <c r="E43" s="166"/>
      <c r="F43" s="166"/>
      <c r="G43" s="166"/>
    </row>
  </sheetData>
  <mergeCells count="1">
    <mergeCell ref="B8:B9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workbookViewId="0" topLeftCell="A1">
      <selection activeCell="I22" sqref="I22"/>
    </sheetView>
  </sheetViews>
  <sheetFormatPr defaultColWidth="9.140625" defaultRowHeight="12.75"/>
  <cols>
    <col min="1" max="1" width="4.57421875" style="40" customWidth="1"/>
    <col min="2" max="2" width="18.421875" style="40" customWidth="1"/>
    <col min="3" max="3" width="38.8515625" style="165" customWidth="1"/>
    <col min="4" max="4" width="16.57421875" style="48" customWidth="1"/>
    <col min="5" max="5" width="15.7109375" style="40" customWidth="1"/>
    <col min="6" max="6" width="7.421875" style="751" customWidth="1"/>
    <col min="7" max="16384" width="9.140625" style="40" customWidth="1"/>
  </cols>
  <sheetData>
    <row r="1" spans="3:4" ht="19.5" customHeight="1">
      <c r="C1" s="253"/>
      <c r="D1" s="253" t="s">
        <v>724</v>
      </c>
    </row>
    <row r="2" ht="14.25" customHeight="1">
      <c r="C2" s="256"/>
    </row>
    <row r="3" spans="1:6" s="274" customFormat="1" ht="19.5" customHeight="1">
      <c r="A3" s="114" t="s">
        <v>725</v>
      </c>
      <c r="B3" s="359"/>
      <c r="C3" s="85"/>
      <c r="D3" s="48"/>
      <c r="F3" s="755"/>
    </row>
    <row r="4" spans="1:6" s="274" customFormat="1" ht="19.5" customHeight="1">
      <c r="A4" s="114" t="s">
        <v>674</v>
      </c>
      <c r="B4" s="359"/>
      <c r="C4" s="85"/>
      <c r="D4" s="48"/>
      <c r="F4" s="755"/>
    </row>
    <row r="5" spans="1:3" ht="18.75" customHeight="1">
      <c r="A5" s="114" t="s">
        <v>726</v>
      </c>
      <c r="B5" s="37"/>
      <c r="C5" s="85"/>
    </row>
    <row r="6" spans="3:5" ht="11.25" customHeight="1">
      <c r="C6" s="361"/>
      <c r="D6" s="278"/>
      <c r="E6" s="278" t="s">
        <v>202</v>
      </c>
    </row>
    <row r="7" spans="1:6" ht="33" customHeight="1">
      <c r="A7" s="309" t="s">
        <v>203</v>
      </c>
      <c r="B7" s="309" t="s">
        <v>656</v>
      </c>
      <c r="C7" s="2" t="s">
        <v>657</v>
      </c>
      <c r="D7" s="311" t="s">
        <v>235</v>
      </c>
      <c r="E7" s="311" t="s">
        <v>713</v>
      </c>
      <c r="F7" s="311" t="s">
        <v>714</v>
      </c>
    </row>
    <row r="8" spans="1:6" s="37" customFormat="1" ht="22.5" customHeight="1">
      <c r="A8" s="362" t="s">
        <v>658</v>
      </c>
      <c r="B8" s="363"/>
      <c r="C8" s="364"/>
      <c r="D8" s="344">
        <f>D9+D27</f>
        <v>9319691.77</v>
      </c>
      <c r="E8" s="344">
        <f>E9+E27</f>
        <v>4717476.18</v>
      </c>
      <c r="F8" s="756">
        <f>E8*100/D8</f>
        <v>50.61837125542619</v>
      </c>
    </row>
    <row r="9" spans="1:6" s="37" customFormat="1" ht="24.75" customHeight="1">
      <c r="A9" s="3" t="s">
        <v>675</v>
      </c>
      <c r="B9" s="365"/>
      <c r="C9" s="366"/>
      <c r="D9" s="344">
        <f>D10</f>
        <v>3097648</v>
      </c>
      <c r="E9" s="344">
        <f>E10</f>
        <v>1333955.9399999997</v>
      </c>
      <c r="F9" s="756">
        <f>E9*100/D9</f>
        <v>43.063509475576296</v>
      </c>
    </row>
    <row r="10" spans="1:6" s="37" customFormat="1" ht="30" customHeight="1">
      <c r="A10" s="757">
        <v>801</v>
      </c>
      <c r="B10" s="367" t="s">
        <v>255</v>
      </c>
      <c r="C10" s="368"/>
      <c r="D10" s="315">
        <f>D11+D14+D21+D24</f>
        <v>3097648</v>
      </c>
      <c r="E10" s="315">
        <f>E11+E14+E21+E24</f>
        <v>1333955.9399999997</v>
      </c>
      <c r="F10" s="756">
        <f>E10*100/D10</f>
        <v>43.063509475576296</v>
      </c>
    </row>
    <row r="11" spans="1:6" s="37" customFormat="1" ht="30" customHeight="1">
      <c r="A11" s="757"/>
      <c r="B11" s="757"/>
      <c r="C11" s="758" t="s">
        <v>727</v>
      </c>
      <c r="D11" s="325">
        <f>D12+D13</f>
        <v>208848</v>
      </c>
      <c r="E11" s="315">
        <f>E12+E13</f>
        <v>43882.02</v>
      </c>
      <c r="F11" s="756">
        <f>E11*100/D11</f>
        <v>21.01146288209607</v>
      </c>
    </row>
    <row r="12" spans="1:6" s="37" customFormat="1" ht="30" customHeight="1">
      <c r="A12" s="369"/>
      <c r="B12" s="369"/>
      <c r="C12" s="759" t="s">
        <v>728</v>
      </c>
      <c r="D12" s="427">
        <v>91600</v>
      </c>
      <c r="E12" s="325">
        <v>0</v>
      </c>
      <c r="F12" s="760"/>
    </row>
    <row r="13" spans="1:6" s="37" customFormat="1" ht="30" customHeight="1">
      <c r="A13" s="369"/>
      <c r="B13" s="369"/>
      <c r="C13" s="759" t="s">
        <v>729</v>
      </c>
      <c r="D13" s="427">
        <v>117248</v>
      </c>
      <c r="E13" s="325">
        <v>43882.02</v>
      </c>
      <c r="F13" s="760">
        <f>E13*100/D13</f>
        <v>37.42666825873363</v>
      </c>
    </row>
    <row r="14" spans="1:6" s="37" customFormat="1" ht="29.25" customHeight="1">
      <c r="A14" s="369"/>
      <c r="B14" s="369"/>
      <c r="C14" s="758" t="s">
        <v>730</v>
      </c>
      <c r="D14" s="325">
        <f>SUM(D15:D20)</f>
        <v>1721800</v>
      </c>
      <c r="E14" s="315">
        <f>SUM(E15:E20)</f>
        <v>729197.1699999999</v>
      </c>
      <c r="F14" s="756">
        <f>E14*100/D14</f>
        <v>42.35086363108375</v>
      </c>
    </row>
    <row r="15" spans="1:6" s="37" customFormat="1" ht="29.25" customHeight="1">
      <c r="A15" s="369"/>
      <c r="B15" s="369"/>
      <c r="C15" s="759" t="s">
        <v>731</v>
      </c>
      <c r="D15" s="427">
        <f>1350000-21500</f>
        <v>1328500</v>
      </c>
      <c r="E15" s="325">
        <v>573835.58</v>
      </c>
      <c r="F15" s="760">
        <f aca="true" t="shared" si="0" ref="F15:F27">E15*100/D15</f>
        <v>43.19424764772299</v>
      </c>
    </row>
    <row r="16" spans="1:6" s="37" customFormat="1" ht="29.25" customHeight="1">
      <c r="A16" s="369"/>
      <c r="B16" s="369"/>
      <c r="C16" s="759" t="s">
        <v>732</v>
      </c>
      <c r="D16" s="427">
        <f>568000-41700-508000</f>
        <v>18300</v>
      </c>
      <c r="E16" s="325">
        <v>2194</v>
      </c>
      <c r="F16" s="760">
        <f t="shared" si="0"/>
        <v>11.989071038251366</v>
      </c>
    </row>
    <row r="17" spans="1:6" s="37" customFormat="1" ht="29.25" customHeight="1">
      <c r="A17" s="369"/>
      <c r="B17" s="369"/>
      <c r="C17" s="759" t="s">
        <v>733</v>
      </c>
      <c r="D17" s="427">
        <v>100000</v>
      </c>
      <c r="E17" s="325">
        <v>57003.9</v>
      </c>
      <c r="F17" s="760">
        <f t="shared" si="0"/>
        <v>57.0039</v>
      </c>
    </row>
    <row r="18" spans="1:6" s="37" customFormat="1" ht="29.25" customHeight="1">
      <c r="A18" s="369"/>
      <c r="B18" s="369"/>
      <c r="C18" s="759" t="s">
        <v>734</v>
      </c>
      <c r="D18" s="427">
        <v>90000</v>
      </c>
      <c r="E18" s="325">
        <v>35951.91</v>
      </c>
      <c r="F18" s="760">
        <f t="shared" si="0"/>
        <v>39.94656666666667</v>
      </c>
    </row>
    <row r="19" spans="1:6" s="37" customFormat="1" ht="29.25" customHeight="1">
      <c r="A19" s="369"/>
      <c r="B19" s="369"/>
      <c r="C19" s="759" t="s">
        <v>735</v>
      </c>
      <c r="D19" s="427">
        <v>110000</v>
      </c>
      <c r="E19" s="325">
        <v>32736.44</v>
      </c>
      <c r="F19" s="760">
        <f t="shared" si="0"/>
        <v>29.7604</v>
      </c>
    </row>
    <row r="20" spans="1:6" s="37" customFormat="1" ht="29.25" customHeight="1">
      <c r="A20" s="369"/>
      <c r="B20" s="369"/>
      <c r="C20" s="759" t="s">
        <v>736</v>
      </c>
      <c r="D20" s="427">
        <f>110000-35000</f>
        <v>75000</v>
      </c>
      <c r="E20" s="325">
        <v>27475.34</v>
      </c>
      <c r="F20" s="760">
        <f t="shared" si="0"/>
        <v>36.633786666666666</v>
      </c>
    </row>
    <row r="21" spans="1:6" s="37" customFormat="1" ht="33" customHeight="1">
      <c r="A21" s="369"/>
      <c r="B21" s="369"/>
      <c r="C21" s="758" t="s">
        <v>737</v>
      </c>
      <c r="D21" s="325">
        <f>D22+D23</f>
        <v>595800</v>
      </c>
      <c r="E21" s="315">
        <f>E22+E23</f>
        <v>307490.58999999997</v>
      </c>
      <c r="F21" s="756">
        <f t="shared" si="0"/>
        <v>51.60969956361195</v>
      </c>
    </row>
    <row r="22" spans="1:6" s="37" customFormat="1" ht="33" customHeight="1">
      <c r="A22" s="369"/>
      <c r="B22" s="369"/>
      <c r="C22" s="759" t="s">
        <v>738</v>
      </c>
      <c r="D22" s="761">
        <f>304600-50000</f>
        <v>254600</v>
      </c>
      <c r="E22" s="325">
        <v>129322.82</v>
      </c>
      <c r="F22" s="760">
        <f t="shared" si="0"/>
        <v>50.794509033778475</v>
      </c>
    </row>
    <row r="23" spans="1:6" s="37" customFormat="1" ht="33" customHeight="1">
      <c r="A23" s="369"/>
      <c r="B23" s="369"/>
      <c r="C23" s="759" t="s">
        <v>739</v>
      </c>
      <c r="D23" s="761">
        <f>461200-120000</f>
        <v>341200</v>
      </c>
      <c r="E23" s="325">
        <v>178167.77</v>
      </c>
      <c r="F23" s="760">
        <f t="shared" si="0"/>
        <v>52.21798651817116</v>
      </c>
    </row>
    <row r="24" spans="1:6" s="37" customFormat="1" ht="33" customHeight="1">
      <c r="A24" s="369"/>
      <c r="B24" s="369"/>
      <c r="C24" s="758" t="s">
        <v>740</v>
      </c>
      <c r="D24" s="762">
        <f>D25+D26</f>
        <v>571200</v>
      </c>
      <c r="E24" s="763">
        <f>E25+E26</f>
        <v>253386.16</v>
      </c>
      <c r="F24" s="756">
        <f t="shared" si="0"/>
        <v>44.36032212885154</v>
      </c>
    </row>
    <row r="25" spans="1:6" s="37" customFormat="1" ht="33" customHeight="1">
      <c r="A25" s="731"/>
      <c r="B25" s="731"/>
      <c r="C25" s="759" t="s">
        <v>731</v>
      </c>
      <c r="D25" s="839">
        <f>21500</f>
        <v>21500</v>
      </c>
      <c r="E25" s="840">
        <v>3574.96</v>
      </c>
      <c r="F25" s="760">
        <f t="shared" si="0"/>
        <v>16.62772093023256</v>
      </c>
    </row>
    <row r="26" spans="1:6" s="37" customFormat="1" ht="33" customHeight="1">
      <c r="A26" s="841"/>
      <c r="B26" s="841"/>
      <c r="C26" s="759" t="s">
        <v>732</v>
      </c>
      <c r="D26" s="839">
        <f>41700+508000</f>
        <v>549700</v>
      </c>
      <c r="E26" s="840">
        <v>249811.2</v>
      </c>
      <c r="F26" s="760">
        <f t="shared" si="0"/>
        <v>45.44500636710933</v>
      </c>
    </row>
    <row r="27" spans="1:6" s="37" customFormat="1" ht="24.75" customHeight="1">
      <c r="A27" s="338" t="s">
        <v>665</v>
      </c>
      <c r="B27" s="365"/>
      <c r="C27" s="366"/>
      <c r="D27" s="371">
        <f>D28+D30+D33+D67+D76+D86+D91+D96</f>
        <v>6222043.77</v>
      </c>
      <c r="E27" s="371">
        <f>E28+E30+E33+E67+E76+E86+E91+E96</f>
        <v>3383520.24</v>
      </c>
      <c r="F27" s="756">
        <f t="shared" si="0"/>
        <v>54.379563453312066</v>
      </c>
    </row>
    <row r="28" spans="1:9" s="37" customFormat="1" ht="45" customHeight="1">
      <c r="A28" s="58">
        <v>754</v>
      </c>
      <c r="B28" s="367" t="s">
        <v>252</v>
      </c>
      <c r="C28" s="370"/>
      <c r="D28" s="371">
        <f>D29</f>
        <v>20000</v>
      </c>
      <c r="E28" s="371">
        <f>E29</f>
        <v>0</v>
      </c>
      <c r="F28" s="760"/>
      <c r="I28" s="764"/>
    </row>
    <row r="29" spans="1:6" s="37" customFormat="1" ht="35.25" customHeight="1">
      <c r="A29" s="334"/>
      <c r="B29" s="372"/>
      <c r="C29" s="370" t="s">
        <v>676</v>
      </c>
      <c r="D29" s="325">
        <v>20000</v>
      </c>
      <c r="E29" s="325">
        <v>0</v>
      </c>
      <c r="F29" s="760"/>
    </row>
    <row r="30" spans="1:6" s="37" customFormat="1" ht="35.25" customHeight="1">
      <c r="A30" s="59">
        <v>801</v>
      </c>
      <c r="B30" s="367" t="s">
        <v>255</v>
      </c>
      <c r="C30" s="370"/>
      <c r="D30" s="371">
        <f>D31+D32</f>
        <v>11390.5</v>
      </c>
      <c r="E30" s="371">
        <f>E31+E32</f>
        <v>0</v>
      </c>
      <c r="F30" s="760"/>
    </row>
    <row r="31" spans="1:6" s="37" customFormat="1" ht="44.25" customHeight="1">
      <c r="A31" s="765"/>
      <c r="B31" s="765"/>
      <c r="C31" s="332" t="s">
        <v>155</v>
      </c>
      <c r="D31" s="325">
        <v>6242.12</v>
      </c>
      <c r="E31" s="325">
        <v>0</v>
      </c>
      <c r="F31" s="760"/>
    </row>
    <row r="32" spans="1:6" s="37" customFormat="1" ht="38.25" customHeight="1">
      <c r="A32" s="766"/>
      <c r="B32" s="766"/>
      <c r="C32" s="332" t="s">
        <v>156</v>
      </c>
      <c r="D32" s="648">
        <v>5148.38</v>
      </c>
      <c r="E32" s="648">
        <v>0</v>
      </c>
      <c r="F32" s="760"/>
    </row>
    <row r="33" spans="1:6" s="37" customFormat="1" ht="27" customHeight="1">
      <c r="A33" s="68">
        <v>851</v>
      </c>
      <c r="B33" s="373" t="s">
        <v>200</v>
      </c>
      <c r="C33" s="374"/>
      <c r="D33" s="375">
        <f>D34+D36+D44+D46+D47+D57+D59+D61+D63+D65</f>
        <v>976000</v>
      </c>
      <c r="E33" s="375">
        <f>E34+E36+E44+E46+E47+E57+E59+E61+E63+E65</f>
        <v>597000</v>
      </c>
      <c r="F33" s="756">
        <f>E33*100/D33</f>
        <v>61.16803278688525</v>
      </c>
    </row>
    <row r="34" spans="1:6" s="37" customFormat="1" ht="39" customHeight="1">
      <c r="A34" s="59"/>
      <c r="B34" s="376"/>
      <c r="C34" s="332" t="s">
        <v>741</v>
      </c>
      <c r="D34" s="325">
        <v>90000</v>
      </c>
      <c r="E34" s="315">
        <v>56000</v>
      </c>
      <c r="F34" s="760">
        <f>E34*100/D34</f>
        <v>62.22222222222222</v>
      </c>
    </row>
    <row r="35" spans="1:6" s="37" customFormat="1" ht="22.5" customHeight="1">
      <c r="A35" s="67"/>
      <c r="B35" s="767"/>
      <c r="C35" s="379" t="s">
        <v>742</v>
      </c>
      <c r="D35" s="379"/>
      <c r="E35" s="379"/>
      <c r="F35" s="768"/>
    </row>
    <row r="36" spans="1:6" s="37" customFormat="1" ht="33.75" customHeight="1">
      <c r="A36" s="67"/>
      <c r="B36" s="377"/>
      <c r="C36" s="769" t="s">
        <v>743</v>
      </c>
      <c r="D36" s="325">
        <v>440000</v>
      </c>
      <c r="E36" s="315">
        <f>SUM(E37:E43)</f>
        <v>229000</v>
      </c>
      <c r="F36" s="760">
        <f>E36*100/D36</f>
        <v>52.04545454545455</v>
      </c>
    </row>
    <row r="37" spans="1:6" s="37" customFormat="1" ht="33.75" customHeight="1">
      <c r="A37" s="67"/>
      <c r="B37" s="377"/>
      <c r="C37" s="379" t="s">
        <v>744</v>
      </c>
      <c r="D37" s="325"/>
      <c r="E37" s="325">
        <v>44060</v>
      </c>
      <c r="F37" s="760"/>
    </row>
    <row r="38" spans="1:6" s="37" customFormat="1" ht="33.75" customHeight="1">
      <c r="A38" s="67"/>
      <c r="B38" s="377"/>
      <c r="C38" s="379" t="s">
        <v>745</v>
      </c>
      <c r="D38" s="325"/>
      <c r="E38" s="325">
        <v>45120</v>
      </c>
      <c r="F38" s="760"/>
    </row>
    <row r="39" spans="1:6" s="37" customFormat="1" ht="33.75" customHeight="1">
      <c r="A39" s="67"/>
      <c r="B39" s="377"/>
      <c r="C39" s="379" t="s">
        <v>746</v>
      </c>
      <c r="D39" s="325"/>
      <c r="E39" s="325">
        <v>22900</v>
      </c>
      <c r="F39" s="760"/>
    </row>
    <row r="40" spans="1:6" s="37" customFormat="1" ht="33.75" customHeight="1">
      <c r="A40" s="67"/>
      <c r="B40" s="377"/>
      <c r="C40" s="379" t="s">
        <v>747</v>
      </c>
      <c r="D40" s="325"/>
      <c r="E40" s="325">
        <v>23000</v>
      </c>
      <c r="F40" s="760"/>
    </row>
    <row r="41" spans="1:6" s="37" customFormat="1" ht="33.75" customHeight="1">
      <c r="A41" s="67"/>
      <c r="B41" s="377"/>
      <c r="C41" s="379" t="s">
        <v>748</v>
      </c>
      <c r="D41" s="325"/>
      <c r="E41" s="325">
        <v>19170</v>
      </c>
      <c r="F41" s="760"/>
    </row>
    <row r="42" spans="1:6" s="37" customFormat="1" ht="33.75" customHeight="1">
      <c r="A42" s="67"/>
      <c r="B42" s="377"/>
      <c r="C42" s="379" t="s">
        <v>749</v>
      </c>
      <c r="D42" s="325"/>
      <c r="E42" s="325">
        <v>22750</v>
      </c>
      <c r="F42" s="760"/>
    </row>
    <row r="43" spans="1:6" s="37" customFormat="1" ht="33.75" customHeight="1">
      <c r="A43" s="68"/>
      <c r="B43" s="842"/>
      <c r="C43" s="379" t="s">
        <v>750</v>
      </c>
      <c r="D43" s="325"/>
      <c r="E43" s="325">
        <v>52000</v>
      </c>
      <c r="F43" s="760"/>
    </row>
    <row r="44" spans="1:6" s="37" customFormat="1" ht="53.25" customHeight="1">
      <c r="A44" s="67"/>
      <c r="B44" s="378"/>
      <c r="C44" s="769" t="s">
        <v>751</v>
      </c>
      <c r="D44" s="380">
        <v>50000</v>
      </c>
      <c r="E44" s="342">
        <v>25000</v>
      </c>
      <c r="F44" s="784">
        <f>E44*100/D44</f>
        <v>50</v>
      </c>
    </row>
    <row r="45" spans="1:6" s="37" customFormat="1" ht="35.25" customHeight="1">
      <c r="A45" s="67"/>
      <c r="B45" s="378"/>
      <c r="C45" s="379" t="s">
        <v>746</v>
      </c>
      <c r="D45" s="325"/>
      <c r="E45" s="325"/>
      <c r="F45" s="760"/>
    </row>
    <row r="46" spans="1:6" s="37" customFormat="1" ht="32.25" customHeight="1">
      <c r="A46" s="67"/>
      <c r="B46" s="378"/>
      <c r="C46" s="332" t="s">
        <v>709</v>
      </c>
      <c r="D46" s="325">
        <v>10000</v>
      </c>
      <c r="E46" s="315">
        <v>0</v>
      </c>
      <c r="F46" s="760"/>
    </row>
    <row r="47" spans="1:6" s="37" customFormat="1" ht="54.75" customHeight="1">
      <c r="A47" s="67"/>
      <c r="B47" s="378"/>
      <c r="C47" s="332" t="s">
        <v>752</v>
      </c>
      <c r="D47" s="325">
        <v>120000</v>
      </c>
      <c r="E47" s="315">
        <f>SUM(E48:E56)</f>
        <v>120000</v>
      </c>
      <c r="F47" s="760">
        <f>E47*100/D47</f>
        <v>100</v>
      </c>
    </row>
    <row r="48" spans="1:6" s="37" customFormat="1" ht="36.75" customHeight="1">
      <c r="A48" s="67"/>
      <c r="B48" s="378"/>
      <c r="C48" s="370" t="s">
        <v>753</v>
      </c>
      <c r="D48" s="325"/>
      <c r="E48" s="325">
        <v>10700</v>
      </c>
      <c r="F48" s="760"/>
    </row>
    <row r="49" spans="1:6" s="37" customFormat="1" ht="36.75" customHeight="1">
      <c r="A49" s="67"/>
      <c r="B49" s="378"/>
      <c r="C49" s="370" t="s">
        <v>754</v>
      </c>
      <c r="D49" s="325"/>
      <c r="E49" s="325">
        <v>12000</v>
      </c>
      <c r="F49" s="760"/>
    </row>
    <row r="50" spans="1:6" s="37" customFormat="1" ht="36.75" customHeight="1">
      <c r="A50" s="67"/>
      <c r="B50" s="378"/>
      <c r="C50" s="379" t="s">
        <v>755</v>
      </c>
      <c r="D50" s="325"/>
      <c r="E50" s="325">
        <v>18800</v>
      </c>
      <c r="F50" s="760"/>
    </row>
    <row r="51" spans="1:6" s="37" customFormat="1" ht="36.75" customHeight="1">
      <c r="A51" s="67"/>
      <c r="B51" s="378"/>
      <c r="C51" s="379" t="s">
        <v>756</v>
      </c>
      <c r="D51" s="325"/>
      <c r="E51" s="325">
        <v>4000</v>
      </c>
      <c r="F51" s="760"/>
    </row>
    <row r="52" spans="1:6" s="37" customFormat="1" ht="36.75" customHeight="1">
      <c r="A52" s="67"/>
      <c r="B52" s="378"/>
      <c r="C52" s="379" t="s">
        <v>757</v>
      </c>
      <c r="D52" s="325"/>
      <c r="E52" s="325">
        <v>4500</v>
      </c>
      <c r="F52" s="760"/>
    </row>
    <row r="53" spans="1:6" s="37" customFormat="1" ht="36.75" customHeight="1">
      <c r="A53" s="67"/>
      <c r="B53" s="378"/>
      <c r="C53" s="370" t="s">
        <v>758</v>
      </c>
      <c r="D53" s="325"/>
      <c r="E53" s="325">
        <v>15726</v>
      </c>
      <c r="F53" s="760"/>
    </row>
    <row r="54" spans="1:6" s="37" customFormat="1" ht="36.75" customHeight="1">
      <c r="A54" s="67"/>
      <c r="B54" s="378"/>
      <c r="C54" s="370" t="s">
        <v>759</v>
      </c>
      <c r="D54" s="325"/>
      <c r="E54" s="325">
        <v>22500</v>
      </c>
      <c r="F54" s="760"/>
    </row>
    <row r="55" spans="1:6" s="37" customFormat="1" ht="36.75" customHeight="1">
      <c r="A55" s="67"/>
      <c r="B55" s="378"/>
      <c r="C55" s="379" t="s">
        <v>760</v>
      </c>
      <c r="D55" s="325"/>
      <c r="E55" s="325">
        <v>3350</v>
      </c>
      <c r="F55" s="760"/>
    </row>
    <row r="56" spans="1:6" s="37" customFormat="1" ht="36.75" customHeight="1">
      <c r="A56" s="67"/>
      <c r="B56" s="378"/>
      <c r="C56" s="379" t="s">
        <v>761</v>
      </c>
      <c r="D56" s="325"/>
      <c r="E56" s="325">
        <v>28424</v>
      </c>
      <c r="F56" s="760"/>
    </row>
    <row r="57" spans="1:6" s="37" customFormat="1" ht="36" customHeight="1">
      <c r="A57" s="67"/>
      <c r="B57" s="378"/>
      <c r="C57" s="332" t="s">
        <v>762</v>
      </c>
      <c r="D57" s="325">
        <v>40000</v>
      </c>
      <c r="E57" s="315">
        <v>40000</v>
      </c>
      <c r="F57" s="760">
        <f>E57*100/D57</f>
        <v>100</v>
      </c>
    </row>
    <row r="58" spans="1:6" s="37" customFormat="1" ht="36" customHeight="1">
      <c r="A58" s="67"/>
      <c r="B58" s="378"/>
      <c r="C58" s="379" t="s">
        <v>763</v>
      </c>
      <c r="D58" s="325"/>
      <c r="E58" s="325"/>
      <c r="F58" s="760"/>
    </row>
    <row r="59" spans="1:6" s="37" customFormat="1" ht="27.75" customHeight="1">
      <c r="A59" s="67"/>
      <c r="B59" s="378"/>
      <c r="C59" s="332" t="s">
        <v>764</v>
      </c>
      <c r="D59" s="325">
        <v>101000</v>
      </c>
      <c r="E59" s="315">
        <v>50500</v>
      </c>
      <c r="F59" s="760">
        <f>E59*100/D59</f>
        <v>50</v>
      </c>
    </row>
    <row r="60" spans="1:6" s="37" customFormat="1" ht="27.75" customHeight="1">
      <c r="A60" s="67"/>
      <c r="B60" s="378"/>
      <c r="C60" s="370" t="s">
        <v>765</v>
      </c>
      <c r="D60" s="325"/>
      <c r="E60" s="325"/>
      <c r="F60" s="760"/>
    </row>
    <row r="61" spans="1:6" s="37" customFormat="1" ht="31.5" customHeight="1">
      <c r="A61" s="68"/>
      <c r="B61" s="843"/>
      <c r="C61" s="332" t="s">
        <v>766</v>
      </c>
      <c r="D61" s="325">
        <v>90000</v>
      </c>
      <c r="E61" s="315">
        <v>54000</v>
      </c>
      <c r="F61" s="760">
        <f>E61*100/D61</f>
        <v>60</v>
      </c>
    </row>
    <row r="62" spans="1:6" s="37" customFormat="1" ht="31.5" customHeight="1">
      <c r="A62" s="67"/>
      <c r="B62" s="378"/>
      <c r="C62" s="379" t="s">
        <v>767</v>
      </c>
      <c r="D62" s="380"/>
      <c r="E62" s="380"/>
      <c r="F62" s="784"/>
    </row>
    <row r="63" spans="1:6" s="37" customFormat="1" ht="33.75" customHeight="1">
      <c r="A63" s="67"/>
      <c r="B63" s="378"/>
      <c r="C63" s="332" t="s">
        <v>768</v>
      </c>
      <c r="D63" s="325">
        <v>25000</v>
      </c>
      <c r="E63" s="315">
        <v>12500</v>
      </c>
      <c r="F63" s="760">
        <f>E63*100/D63</f>
        <v>50</v>
      </c>
    </row>
    <row r="64" spans="1:6" s="37" customFormat="1" ht="33.75" customHeight="1">
      <c r="A64" s="67"/>
      <c r="B64" s="378"/>
      <c r="C64" s="379" t="s">
        <v>769</v>
      </c>
      <c r="D64" s="380"/>
      <c r="E64" s="325"/>
      <c r="F64" s="760"/>
    </row>
    <row r="65" spans="1:6" s="37" customFormat="1" ht="23.25" customHeight="1">
      <c r="A65" s="67"/>
      <c r="B65" s="378"/>
      <c r="C65" s="769" t="s">
        <v>770</v>
      </c>
      <c r="D65" s="380">
        <v>10000</v>
      </c>
      <c r="E65" s="315">
        <v>10000</v>
      </c>
      <c r="F65" s="760">
        <f>E65*100/D65</f>
        <v>100</v>
      </c>
    </row>
    <row r="66" spans="1:6" s="37" customFormat="1" ht="23.25" customHeight="1">
      <c r="A66" s="67"/>
      <c r="B66" s="378"/>
      <c r="C66" s="370" t="s">
        <v>767</v>
      </c>
      <c r="D66" s="380"/>
      <c r="E66" s="380"/>
      <c r="F66" s="760"/>
    </row>
    <row r="67" spans="1:6" s="37" customFormat="1" ht="30.75" customHeight="1">
      <c r="A67" s="59">
        <v>852</v>
      </c>
      <c r="B67" s="381" t="s">
        <v>306</v>
      </c>
      <c r="C67" s="374"/>
      <c r="D67" s="346">
        <f>D68+D70+D72+D74</f>
        <v>1391000</v>
      </c>
      <c r="E67" s="346">
        <f>E68+E70+E72+E74</f>
        <v>772500</v>
      </c>
      <c r="F67" s="756">
        <f>E67*100/D67</f>
        <v>55.535585909417684</v>
      </c>
    </row>
    <row r="68" spans="1:6" s="37" customFormat="1" ht="37.5" customHeight="1">
      <c r="A68" s="382"/>
      <c r="B68" s="337"/>
      <c r="C68" s="332" t="s">
        <v>771</v>
      </c>
      <c r="D68" s="325">
        <v>1056000</v>
      </c>
      <c r="E68" s="315">
        <v>590000</v>
      </c>
      <c r="F68" s="760">
        <f>E68*100/D68</f>
        <v>55.871212121212125</v>
      </c>
    </row>
    <row r="69" spans="1:6" s="37" customFormat="1" ht="30" customHeight="1">
      <c r="A69" s="70"/>
      <c r="B69" s="340"/>
      <c r="C69" s="383" t="s">
        <v>772</v>
      </c>
      <c r="D69" s="325"/>
      <c r="E69" s="325"/>
      <c r="F69" s="760"/>
    </row>
    <row r="70" spans="1:6" s="37" customFormat="1" ht="27" customHeight="1">
      <c r="A70" s="70"/>
      <c r="B70" s="340"/>
      <c r="C70" s="770" t="s">
        <v>773</v>
      </c>
      <c r="D70" s="325">
        <v>210000</v>
      </c>
      <c r="E70" s="315">
        <v>120000</v>
      </c>
      <c r="F70" s="760">
        <f>E70*100/D70</f>
        <v>57.142857142857146</v>
      </c>
    </row>
    <row r="71" spans="1:6" s="37" customFormat="1" ht="30" customHeight="1">
      <c r="A71" s="70"/>
      <c r="B71" s="340"/>
      <c r="C71" s="370" t="s">
        <v>774</v>
      </c>
      <c r="D71" s="325"/>
      <c r="E71" s="325"/>
      <c r="F71" s="760"/>
    </row>
    <row r="72" spans="1:6" s="37" customFormat="1" ht="38.25" customHeight="1">
      <c r="A72" s="70"/>
      <c r="B72" s="340"/>
      <c r="C72" s="770" t="s">
        <v>775</v>
      </c>
      <c r="D72" s="325">
        <v>85000</v>
      </c>
      <c r="E72" s="315">
        <v>42500</v>
      </c>
      <c r="F72" s="760">
        <f>E72*100/D72</f>
        <v>50</v>
      </c>
    </row>
    <row r="73" spans="1:6" s="37" customFormat="1" ht="38.25" customHeight="1">
      <c r="A73" s="70"/>
      <c r="B73" s="340"/>
      <c r="C73" s="384" t="s">
        <v>776</v>
      </c>
      <c r="D73" s="325"/>
      <c r="E73" s="325"/>
      <c r="F73" s="760"/>
    </row>
    <row r="74" spans="1:6" s="37" customFormat="1" ht="38.25" customHeight="1">
      <c r="A74" s="70"/>
      <c r="B74" s="340"/>
      <c r="C74" s="770" t="s">
        <v>777</v>
      </c>
      <c r="D74" s="325">
        <v>40000</v>
      </c>
      <c r="E74" s="315">
        <v>20000</v>
      </c>
      <c r="F74" s="760">
        <f>E74*100/D74</f>
        <v>50</v>
      </c>
    </row>
    <row r="75" spans="1:6" s="37" customFormat="1" ht="27" customHeight="1">
      <c r="A75" s="70"/>
      <c r="B75" s="340"/>
      <c r="C75" s="384" t="s">
        <v>778</v>
      </c>
      <c r="D75" s="325"/>
      <c r="E75" s="325"/>
      <c r="F75" s="760"/>
    </row>
    <row r="76" spans="1:6" s="37" customFormat="1" ht="45.75" customHeight="1">
      <c r="A76" s="58">
        <v>853</v>
      </c>
      <c r="B76" s="341" t="s">
        <v>324</v>
      </c>
      <c r="C76" s="385"/>
      <c r="D76" s="315">
        <f>D77+D78+D79+D80+D83+D84+D85</f>
        <v>326653.27</v>
      </c>
      <c r="E76" s="315">
        <f>E77+E78+E79+E80+E83+E84+E85</f>
        <v>180150</v>
      </c>
      <c r="F76" s="756">
        <f>E76*100/D76</f>
        <v>55.15022090548795</v>
      </c>
    </row>
    <row r="77" spans="1:6" s="37" customFormat="1" ht="30" customHeight="1">
      <c r="A77" s="70"/>
      <c r="B77" s="340"/>
      <c r="C77" s="771" t="s">
        <v>779</v>
      </c>
      <c r="D77" s="325">
        <v>96000</v>
      </c>
      <c r="E77" s="315">
        <v>28400</v>
      </c>
      <c r="F77" s="760">
        <f>E77*100/D77</f>
        <v>29.583333333333332</v>
      </c>
    </row>
    <row r="78" spans="1:6" s="37" customFormat="1" ht="42.75" customHeight="1">
      <c r="A78" s="70"/>
      <c r="B78" s="340"/>
      <c r="C78" s="772" t="s">
        <v>780</v>
      </c>
      <c r="D78" s="325">
        <v>72000</v>
      </c>
      <c r="E78" s="315">
        <v>30900</v>
      </c>
      <c r="F78" s="760">
        <f>E78*100/D78</f>
        <v>42.916666666666664</v>
      </c>
    </row>
    <row r="79" spans="1:6" s="37" customFormat="1" ht="30" customHeight="1">
      <c r="A79" s="70"/>
      <c r="B79" s="340"/>
      <c r="C79" s="386" t="s">
        <v>781</v>
      </c>
      <c r="D79" s="325">
        <v>19800</v>
      </c>
      <c r="E79" s="315">
        <v>9750</v>
      </c>
      <c r="F79" s="760">
        <f>E79*100/D79</f>
        <v>49.24242424242424</v>
      </c>
    </row>
    <row r="80" spans="1:6" s="37" customFormat="1" ht="30.75" customHeight="1">
      <c r="A80" s="70"/>
      <c r="B80" s="340"/>
      <c r="C80" s="772" t="s">
        <v>782</v>
      </c>
      <c r="D80" s="325">
        <v>24000</v>
      </c>
      <c r="E80" s="315">
        <f>E81+E82</f>
        <v>14000</v>
      </c>
      <c r="F80" s="760">
        <f>E80*100/D80</f>
        <v>58.333333333333336</v>
      </c>
    </row>
    <row r="81" spans="1:6" s="37" customFormat="1" ht="30.75" customHeight="1">
      <c r="A81" s="845"/>
      <c r="B81" s="339"/>
      <c r="C81" s="846" t="s">
        <v>783</v>
      </c>
      <c r="D81" s="325"/>
      <c r="E81" s="325">
        <v>10000</v>
      </c>
      <c r="F81" s="760"/>
    </row>
    <row r="82" spans="1:6" s="37" customFormat="1" ht="30.75" customHeight="1">
      <c r="A82" s="70"/>
      <c r="B82" s="340"/>
      <c r="C82" s="844" t="s">
        <v>784</v>
      </c>
      <c r="D82" s="380"/>
      <c r="E82" s="380">
        <v>4000</v>
      </c>
      <c r="F82" s="784"/>
    </row>
    <row r="83" spans="1:6" s="37" customFormat="1" ht="40.5" customHeight="1">
      <c r="A83" s="70"/>
      <c r="B83" s="340"/>
      <c r="C83" s="770" t="s">
        <v>785</v>
      </c>
      <c r="D83" s="325">
        <v>18500</v>
      </c>
      <c r="E83" s="315">
        <v>18500</v>
      </c>
      <c r="F83" s="760">
        <f>E83*100/D83</f>
        <v>100</v>
      </c>
    </row>
    <row r="84" spans="1:6" s="37" customFormat="1" ht="41.25" customHeight="1">
      <c r="A84" s="70"/>
      <c r="B84" s="340"/>
      <c r="C84" s="770" t="s">
        <v>786</v>
      </c>
      <c r="D84" s="325">
        <v>30000</v>
      </c>
      <c r="E84" s="315">
        <v>30000</v>
      </c>
      <c r="F84" s="760">
        <f>E84*100/D84</f>
        <v>100</v>
      </c>
    </row>
    <row r="85" spans="1:6" s="37" customFormat="1" ht="46.5" customHeight="1">
      <c r="A85" s="70"/>
      <c r="B85" s="387"/>
      <c r="C85" s="770" t="s">
        <v>65</v>
      </c>
      <c r="D85" s="325">
        <f>29333.5+5176.5+27066.77+4776.5</f>
        <v>66353.27</v>
      </c>
      <c r="E85" s="315">
        <f>41310+7290</f>
        <v>48600</v>
      </c>
      <c r="F85" s="760">
        <f>E85*100/D85</f>
        <v>73.24431787611974</v>
      </c>
    </row>
    <row r="86" spans="1:6" s="37" customFormat="1" ht="45" customHeight="1">
      <c r="A86" s="59">
        <v>900</v>
      </c>
      <c r="B86" s="283" t="s">
        <v>66</v>
      </c>
      <c r="C86" s="335"/>
      <c r="D86" s="344">
        <f>D87+D89+D90</f>
        <v>812000</v>
      </c>
      <c r="E86" s="344">
        <f>E87+E89+E90</f>
        <v>144970.24</v>
      </c>
      <c r="F86" s="756">
        <f>E86*100/D86</f>
        <v>17.853477832512315</v>
      </c>
    </row>
    <row r="87" spans="1:6" s="37" customFormat="1" ht="61.5" customHeight="1">
      <c r="A87" s="388"/>
      <c r="B87" s="389"/>
      <c r="C87" s="773" t="s">
        <v>787</v>
      </c>
      <c r="D87" s="325">
        <v>282000</v>
      </c>
      <c r="E87" s="315">
        <v>137000</v>
      </c>
      <c r="F87" s="760">
        <f>E87*100/D87</f>
        <v>48.58156028368794</v>
      </c>
    </row>
    <row r="88" spans="1:6" s="37" customFormat="1" ht="31.5" customHeight="1">
      <c r="A88" s="71"/>
      <c r="B88" s="390"/>
      <c r="C88" s="331" t="s">
        <v>788</v>
      </c>
      <c r="D88" s="325"/>
      <c r="E88" s="325"/>
      <c r="F88" s="760"/>
    </row>
    <row r="89" spans="1:6" s="54" customFormat="1" ht="45.75" customHeight="1">
      <c r="A89" s="71"/>
      <c r="B89" s="390"/>
      <c r="C89" s="774" t="s">
        <v>668</v>
      </c>
      <c r="D89" s="391">
        <v>30000</v>
      </c>
      <c r="E89" s="315">
        <v>2270.24</v>
      </c>
      <c r="F89" s="760">
        <f aca="true" t="shared" si="1" ref="F89:F97">E89*100/D89</f>
        <v>7.5674666666666655</v>
      </c>
    </row>
    <row r="90" spans="1:6" s="37" customFormat="1" ht="40.5" customHeight="1">
      <c r="A90" s="392"/>
      <c r="B90" s="393"/>
      <c r="C90" s="774" t="s">
        <v>67</v>
      </c>
      <c r="D90" s="325">
        <v>500000</v>
      </c>
      <c r="E90" s="315">
        <v>5700</v>
      </c>
      <c r="F90" s="760">
        <f t="shared" si="1"/>
        <v>1.14</v>
      </c>
    </row>
    <row r="91" spans="1:6" s="37" customFormat="1" ht="46.5" customHeight="1">
      <c r="A91" s="59">
        <v>921</v>
      </c>
      <c r="B91" s="394" t="s">
        <v>660</v>
      </c>
      <c r="C91" s="341"/>
      <c r="D91" s="344">
        <f>SUM(D92:D95)</f>
        <v>155000</v>
      </c>
      <c r="E91" s="344">
        <f>SUM(E92:E95)</f>
        <v>93000</v>
      </c>
      <c r="F91" s="756">
        <f t="shared" si="1"/>
        <v>60</v>
      </c>
    </row>
    <row r="92" spans="1:6" s="37" customFormat="1" ht="42.75" customHeight="1">
      <c r="A92" s="388"/>
      <c r="B92" s="389"/>
      <c r="C92" s="395" t="s">
        <v>68</v>
      </c>
      <c r="D92" s="325">
        <v>50000</v>
      </c>
      <c r="E92" s="325">
        <v>50000</v>
      </c>
      <c r="F92" s="760">
        <f t="shared" si="1"/>
        <v>100</v>
      </c>
    </row>
    <row r="93" spans="1:6" s="37" customFormat="1" ht="42" customHeight="1">
      <c r="A93" s="71"/>
      <c r="B93" s="390"/>
      <c r="C93" s="395" t="s">
        <v>69</v>
      </c>
      <c r="D93" s="325">
        <v>10000</v>
      </c>
      <c r="E93" s="325">
        <v>0</v>
      </c>
      <c r="F93" s="760"/>
    </row>
    <row r="94" spans="1:6" s="37" customFormat="1" ht="31.5" customHeight="1">
      <c r="A94" s="71"/>
      <c r="B94" s="390"/>
      <c r="C94" s="357" t="s">
        <v>70</v>
      </c>
      <c r="D94" s="325">
        <v>45000</v>
      </c>
      <c r="E94" s="325">
        <v>0</v>
      </c>
      <c r="F94" s="760"/>
    </row>
    <row r="95" spans="1:6" s="37" customFormat="1" ht="41.25" customHeight="1">
      <c r="A95" s="392"/>
      <c r="B95" s="393"/>
      <c r="C95" s="357" t="s">
        <v>789</v>
      </c>
      <c r="D95" s="325">
        <v>50000</v>
      </c>
      <c r="E95" s="325">
        <v>43000</v>
      </c>
      <c r="F95" s="760">
        <f t="shared" si="1"/>
        <v>86</v>
      </c>
    </row>
    <row r="96" spans="1:6" s="37" customFormat="1" ht="34.5" customHeight="1">
      <c r="A96" s="68">
        <v>926</v>
      </c>
      <c r="B96" s="284" t="s">
        <v>71</v>
      </c>
      <c r="C96" s="335"/>
      <c r="D96" s="344">
        <f>SUM(D97:D131)</f>
        <v>2530000</v>
      </c>
      <c r="E96" s="344">
        <f>E97+E118+E131</f>
        <v>1595900</v>
      </c>
      <c r="F96" s="756">
        <f t="shared" si="1"/>
        <v>63.07905138339921</v>
      </c>
    </row>
    <row r="97" spans="1:6" s="397" customFormat="1" ht="29.25" customHeight="1">
      <c r="A97" s="849"/>
      <c r="B97" s="309"/>
      <c r="C97" s="850" t="s">
        <v>157</v>
      </c>
      <c r="D97" s="325">
        <v>2400000</v>
      </c>
      <c r="E97" s="315">
        <f>SUM(E98:E117)</f>
        <v>1514400</v>
      </c>
      <c r="F97" s="760">
        <f t="shared" si="1"/>
        <v>63.1</v>
      </c>
    </row>
    <row r="98" spans="1:6" s="397" customFormat="1" ht="29.25" customHeight="1">
      <c r="A98" s="71"/>
      <c r="B98" s="62"/>
      <c r="C98" s="847" t="s">
        <v>790</v>
      </c>
      <c r="D98" s="380"/>
      <c r="E98" s="380">
        <v>262000</v>
      </c>
      <c r="F98" s="848"/>
    </row>
    <row r="99" spans="1:6" s="397" customFormat="1" ht="29.25" customHeight="1">
      <c r="A99" s="71"/>
      <c r="B99" s="62"/>
      <c r="C99" s="396" t="s">
        <v>791</v>
      </c>
      <c r="D99" s="325"/>
      <c r="E99" s="325">
        <v>20000</v>
      </c>
      <c r="F99" s="775"/>
    </row>
    <row r="100" spans="1:6" s="397" customFormat="1" ht="29.25" customHeight="1">
      <c r="A100" s="71"/>
      <c r="B100" s="62"/>
      <c r="C100" s="396" t="s">
        <v>792</v>
      </c>
      <c r="D100" s="325"/>
      <c r="E100" s="325">
        <v>13000</v>
      </c>
      <c r="F100" s="775"/>
    </row>
    <row r="101" spans="1:6" s="397" customFormat="1" ht="29.25" customHeight="1">
      <c r="A101" s="71"/>
      <c r="B101" s="62"/>
      <c r="C101" s="396" t="s">
        <v>793</v>
      </c>
      <c r="D101" s="325"/>
      <c r="E101" s="325">
        <v>75000</v>
      </c>
      <c r="F101" s="775"/>
    </row>
    <row r="102" spans="1:6" s="397" customFormat="1" ht="29.25" customHeight="1">
      <c r="A102" s="71"/>
      <c r="B102" s="62"/>
      <c r="C102" s="396" t="s">
        <v>794</v>
      </c>
      <c r="D102" s="325"/>
      <c r="E102" s="325">
        <v>269500</v>
      </c>
      <c r="F102" s="775"/>
    </row>
    <row r="103" spans="1:6" s="397" customFormat="1" ht="29.25" customHeight="1">
      <c r="A103" s="71"/>
      <c r="B103" s="62"/>
      <c r="C103" s="396" t="s">
        <v>795</v>
      </c>
      <c r="D103" s="325"/>
      <c r="E103" s="325">
        <v>8000</v>
      </c>
      <c r="F103" s="775"/>
    </row>
    <row r="104" spans="1:6" s="397" customFormat="1" ht="29.25" customHeight="1">
      <c r="A104" s="71"/>
      <c r="B104" s="62"/>
      <c r="C104" s="396" t="s">
        <v>796</v>
      </c>
      <c r="D104" s="325"/>
      <c r="E104" s="325">
        <v>170600</v>
      </c>
      <c r="F104" s="775"/>
    </row>
    <row r="105" spans="1:6" s="397" customFormat="1" ht="29.25" customHeight="1">
      <c r="A105" s="71"/>
      <c r="B105" s="62"/>
      <c r="C105" s="396" t="s">
        <v>797</v>
      </c>
      <c r="D105" s="325"/>
      <c r="E105" s="325">
        <v>77000</v>
      </c>
      <c r="F105" s="775"/>
    </row>
    <row r="106" spans="1:6" s="397" customFormat="1" ht="29.25" customHeight="1">
      <c r="A106" s="71"/>
      <c r="B106" s="62"/>
      <c r="C106" s="96" t="s">
        <v>798</v>
      </c>
      <c r="D106" s="325"/>
      <c r="E106" s="325">
        <v>50000</v>
      </c>
      <c r="F106" s="775"/>
    </row>
    <row r="107" spans="1:6" s="397" customFormat="1" ht="29.25" customHeight="1">
      <c r="A107" s="71"/>
      <c r="B107" s="62"/>
      <c r="C107" s="396" t="s">
        <v>799</v>
      </c>
      <c r="D107" s="325"/>
      <c r="E107" s="325">
        <v>35000</v>
      </c>
      <c r="F107" s="775"/>
    </row>
    <row r="108" spans="1:6" s="397" customFormat="1" ht="29.25" customHeight="1">
      <c r="A108" s="71"/>
      <c r="B108" s="62"/>
      <c r="C108" s="396" t="s">
        <v>800</v>
      </c>
      <c r="D108" s="325"/>
      <c r="E108" s="325">
        <v>43500</v>
      </c>
      <c r="F108" s="775"/>
    </row>
    <row r="109" spans="1:6" s="397" customFormat="1" ht="29.25" customHeight="1">
      <c r="A109" s="71"/>
      <c r="B109" s="62"/>
      <c r="C109" s="396" t="s">
        <v>801</v>
      </c>
      <c r="D109" s="325"/>
      <c r="E109" s="325">
        <v>7000</v>
      </c>
      <c r="F109" s="775"/>
    </row>
    <row r="110" spans="1:6" s="397" customFormat="1" ht="29.25" customHeight="1">
      <c r="A110" s="71"/>
      <c r="B110" s="62"/>
      <c r="C110" s="396" t="s">
        <v>802</v>
      </c>
      <c r="D110" s="325"/>
      <c r="E110" s="325">
        <v>60000</v>
      </c>
      <c r="F110" s="775"/>
    </row>
    <row r="111" spans="1:6" s="397" customFormat="1" ht="29.25" customHeight="1">
      <c r="A111" s="71"/>
      <c r="B111" s="62"/>
      <c r="C111" s="396" t="s">
        <v>803</v>
      </c>
      <c r="D111" s="325"/>
      <c r="E111" s="325">
        <v>20000</v>
      </c>
      <c r="F111" s="775"/>
    </row>
    <row r="112" spans="1:6" s="397" customFormat="1" ht="29.25" customHeight="1">
      <c r="A112" s="71"/>
      <c r="B112" s="62"/>
      <c r="C112" s="396" t="s">
        <v>804</v>
      </c>
      <c r="D112" s="325"/>
      <c r="E112" s="325">
        <v>11300</v>
      </c>
      <c r="F112" s="775"/>
    </row>
    <row r="113" spans="1:6" s="397" customFormat="1" ht="29.25" customHeight="1">
      <c r="A113" s="71"/>
      <c r="B113" s="62"/>
      <c r="C113" s="396" t="s">
        <v>805</v>
      </c>
      <c r="D113" s="325"/>
      <c r="E113" s="325">
        <v>19500</v>
      </c>
      <c r="F113" s="775"/>
    </row>
    <row r="114" spans="1:6" s="397" customFormat="1" ht="29.25" customHeight="1">
      <c r="A114" s="71"/>
      <c r="B114" s="62"/>
      <c r="C114" s="399" t="s">
        <v>806</v>
      </c>
      <c r="D114" s="325"/>
      <c r="E114" s="325">
        <v>8000</v>
      </c>
      <c r="F114" s="775"/>
    </row>
    <row r="115" spans="1:6" s="397" customFormat="1" ht="29.25" customHeight="1">
      <c r="A115" s="71"/>
      <c r="B115" s="62"/>
      <c r="C115" s="396" t="s">
        <v>807</v>
      </c>
      <c r="D115" s="325"/>
      <c r="E115" s="325">
        <v>15000</v>
      </c>
      <c r="F115" s="775"/>
    </row>
    <row r="116" spans="1:6" s="397" customFormat="1" ht="29.25" customHeight="1">
      <c r="A116" s="71"/>
      <c r="B116" s="62"/>
      <c r="C116" s="399" t="s">
        <v>808</v>
      </c>
      <c r="D116" s="325"/>
      <c r="E116" s="325">
        <v>5000</v>
      </c>
      <c r="F116" s="775"/>
    </row>
    <row r="117" spans="1:6" s="397" customFormat="1" ht="29.25" customHeight="1">
      <c r="A117" s="71"/>
      <c r="B117" s="62"/>
      <c r="C117" s="396" t="s">
        <v>809</v>
      </c>
      <c r="D117" s="325"/>
      <c r="E117" s="325">
        <v>345000</v>
      </c>
      <c r="F117" s="775"/>
    </row>
    <row r="118" spans="1:6" s="397" customFormat="1" ht="31.5" customHeight="1">
      <c r="A118" s="156"/>
      <c r="B118" s="398"/>
      <c r="C118" s="776" t="s">
        <v>810</v>
      </c>
      <c r="D118" s="325">
        <v>115000</v>
      </c>
      <c r="E118" s="315">
        <f>SUM(E119:E130)</f>
        <v>71500</v>
      </c>
      <c r="F118" s="760">
        <f>E118*100/D118</f>
        <v>62.17391304347826</v>
      </c>
    </row>
    <row r="119" spans="1:6" s="397" customFormat="1" ht="31.5" customHeight="1">
      <c r="A119" s="852"/>
      <c r="B119" s="857"/>
      <c r="C119" s="858" t="s">
        <v>811</v>
      </c>
      <c r="D119" s="325"/>
      <c r="E119" s="325">
        <v>5000</v>
      </c>
      <c r="F119" s="775"/>
    </row>
    <row r="120" spans="1:6" s="397" customFormat="1" ht="31.5" customHeight="1">
      <c r="A120" s="156"/>
      <c r="B120" s="398"/>
      <c r="C120" s="851" t="s">
        <v>812</v>
      </c>
      <c r="D120" s="380"/>
      <c r="E120" s="380">
        <v>6000</v>
      </c>
      <c r="F120" s="848"/>
    </row>
    <row r="121" spans="1:6" s="397" customFormat="1" ht="31.5" customHeight="1">
      <c r="A121" s="156"/>
      <c r="B121" s="398"/>
      <c r="C121" s="531" t="s">
        <v>813</v>
      </c>
      <c r="D121" s="325"/>
      <c r="E121" s="325">
        <v>7000</v>
      </c>
      <c r="F121" s="775"/>
    </row>
    <row r="122" spans="1:6" s="397" customFormat="1" ht="31.5" customHeight="1">
      <c r="A122" s="156"/>
      <c r="B122" s="398"/>
      <c r="C122" s="399" t="s">
        <v>814</v>
      </c>
      <c r="D122" s="325"/>
      <c r="E122" s="325">
        <v>6000</v>
      </c>
      <c r="F122" s="775"/>
    </row>
    <row r="123" spans="1:6" s="397" customFormat="1" ht="31.5" customHeight="1">
      <c r="A123" s="156"/>
      <c r="B123" s="398"/>
      <c r="C123" s="399" t="s">
        <v>815</v>
      </c>
      <c r="D123" s="325"/>
      <c r="E123" s="325">
        <v>3000</v>
      </c>
      <c r="F123" s="775"/>
    </row>
    <row r="124" spans="1:6" s="397" customFormat="1" ht="31.5" customHeight="1">
      <c r="A124" s="156"/>
      <c r="B124" s="398"/>
      <c r="C124" s="399" t="s">
        <v>801</v>
      </c>
      <c r="D124" s="325"/>
      <c r="E124" s="325">
        <v>16000</v>
      </c>
      <c r="F124" s="775"/>
    </row>
    <row r="125" spans="1:6" s="397" customFormat="1" ht="31.5" customHeight="1">
      <c r="A125" s="156"/>
      <c r="B125" s="398"/>
      <c r="C125" s="399" t="s">
        <v>816</v>
      </c>
      <c r="D125" s="325"/>
      <c r="E125" s="325">
        <v>6000</v>
      </c>
      <c r="F125" s="775"/>
    </row>
    <row r="126" spans="1:6" s="397" customFormat="1" ht="31.5" customHeight="1">
      <c r="A126" s="156"/>
      <c r="B126" s="398"/>
      <c r="C126" s="399" t="s">
        <v>817</v>
      </c>
      <c r="D126" s="325"/>
      <c r="E126" s="325">
        <v>10000</v>
      </c>
      <c r="F126" s="775"/>
    </row>
    <row r="127" spans="1:6" s="397" customFormat="1" ht="31.5" customHeight="1">
      <c r="A127" s="156"/>
      <c r="B127" s="398"/>
      <c r="C127" s="399" t="s">
        <v>818</v>
      </c>
      <c r="D127" s="325"/>
      <c r="E127" s="325">
        <v>4000</v>
      </c>
      <c r="F127" s="775"/>
    </row>
    <row r="128" spans="1:6" s="397" customFormat="1" ht="31.5" customHeight="1">
      <c r="A128" s="156"/>
      <c r="B128" s="398"/>
      <c r="C128" s="399" t="s">
        <v>819</v>
      </c>
      <c r="D128" s="325"/>
      <c r="E128" s="325">
        <v>4000</v>
      </c>
      <c r="F128" s="775"/>
    </row>
    <row r="129" spans="1:6" s="397" customFormat="1" ht="31.5" customHeight="1">
      <c r="A129" s="156"/>
      <c r="B129" s="398"/>
      <c r="C129" s="399" t="s">
        <v>808</v>
      </c>
      <c r="D129" s="325"/>
      <c r="E129" s="325">
        <v>1500</v>
      </c>
      <c r="F129" s="775"/>
    </row>
    <row r="130" spans="1:6" s="397" customFormat="1" ht="31.5" customHeight="1">
      <c r="A130" s="156"/>
      <c r="B130" s="398"/>
      <c r="C130" s="399" t="s">
        <v>806</v>
      </c>
      <c r="D130" s="325"/>
      <c r="E130" s="325">
        <v>3000</v>
      </c>
      <c r="F130" s="775"/>
    </row>
    <row r="131" spans="1:6" s="37" customFormat="1" ht="45" customHeight="1">
      <c r="A131" s="156"/>
      <c r="B131" s="398"/>
      <c r="C131" s="283" t="s">
        <v>820</v>
      </c>
      <c r="D131" s="325">
        <v>15000</v>
      </c>
      <c r="E131" s="315">
        <v>10000</v>
      </c>
      <c r="F131" s="760">
        <f>E131*100/D131</f>
        <v>66.66666666666667</v>
      </c>
    </row>
    <row r="132" spans="1:6" s="37" customFormat="1" ht="30" customHeight="1">
      <c r="A132" s="49" t="s">
        <v>669</v>
      </c>
      <c r="B132" s="282"/>
      <c r="C132" s="350"/>
      <c r="D132" s="346">
        <f>D133+D165</f>
        <v>6633640.78</v>
      </c>
      <c r="E132" s="346">
        <f>E133+E165</f>
        <v>3364767.77</v>
      </c>
      <c r="F132" s="756">
        <f>E132*100/D132</f>
        <v>50.72279132365078</v>
      </c>
    </row>
    <row r="133" spans="1:6" s="37" customFormat="1" ht="27" customHeight="1">
      <c r="A133" s="316" t="s">
        <v>675</v>
      </c>
      <c r="B133" s="400"/>
      <c r="C133" s="401"/>
      <c r="D133" s="402">
        <f>D134+D157+D163</f>
        <v>6250748</v>
      </c>
      <c r="E133" s="402">
        <f>E134+E157+E163</f>
        <v>3134874.99</v>
      </c>
      <c r="F133" s="756">
        <f aca="true" t="shared" si="2" ref="F133:F142">E133*100/D133</f>
        <v>50.15199764892138</v>
      </c>
    </row>
    <row r="134" spans="1:6" s="37" customFormat="1" ht="23.25" customHeight="1">
      <c r="A134" s="58">
        <v>801</v>
      </c>
      <c r="B134" s="367" t="s">
        <v>255</v>
      </c>
      <c r="C134" s="370"/>
      <c r="D134" s="315">
        <f>D135+D142+D144+D155</f>
        <v>4440000</v>
      </c>
      <c r="E134" s="315">
        <f>E135+E142+E144+E155</f>
        <v>2226195.27</v>
      </c>
      <c r="F134" s="756">
        <f t="shared" si="2"/>
        <v>50.13953310810811</v>
      </c>
    </row>
    <row r="135" spans="1:6" s="37" customFormat="1" ht="30" customHeight="1">
      <c r="A135" s="403"/>
      <c r="B135" s="83"/>
      <c r="C135" s="332" t="s">
        <v>821</v>
      </c>
      <c r="D135" s="325">
        <f>SUM(D136:D141)</f>
        <v>1480000</v>
      </c>
      <c r="E135" s="315">
        <f>SUM(E136:E141)</f>
        <v>666356.6799999999</v>
      </c>
      <c r="F135" s="756">
        <f t="shared" si="2"/>
        <v>45.0241</v>
      </c>
    </row>
    <row r="136" spans="1:6" s="37" customFormat="1" ht="30" customHeight="1">
      <c r="A136" s="403"/>
      <c r="B136" s="83"/>
      <c r="C136" s="370" t="s">
        <v>822</v>
      </c>
      <c r="D136" s="325">
        <f>350000</f>
        <v>350000</v>
      </c>
      <c r="E136" s="325">
        <v>149610.6</v>
      </c>
      <c r="F136" s="760">
        <f t="shared" si="2"/>
        <v>42.74588571428571</v>
      </c>
    </row>
    <row r="137" spans="1:6" s="37" customFormat="1" ht="30" customHeight="1">
      <c r="A137" s="403"/>
      <c r="B137" s="83"/>
      <c r="C137" s="370" t="s">
        <v>738</v>
      </c>
      <c r="D137" s="325">
        <f>330000</f>
        <v>330000</v>
      </c>
      <c r="E137" s="325">
        <v>147024.88</v>
      </c>
      <c r="F137" s="760">
        <f t="shared" si="2"/>
        <v>44.55299393939394</v>
      </c>
    </row>
    <row r="138" spans="1:6" s="37" customFormat="1" ht="30" customHeight="1">
      <c r="A138" s="403"/>
      <c r="B138" s="83"/>
      <c r="C138" s="370" t="s">
        <v>823</v>
      </c>
      <c r="D138" s="325">
        <f>300000-100000</f>
        <v>200000</v>
      </c>
      <c r="E138" s="325">
        <v>94654.48</v>
      </c>
      <c r="F138" s="760">
        <f t="shared" si="2"/>
        <v>47.32724</v>
      </c>
    </row>
    <row r="139" spans="1:6" s="37" customFormat="1" ht="30" customHeight="1">
      <c r="A139" s="403"/>
      <c r="B139" s="83"/>
      <c r="C139" s="370" t="s">
        <v>824</v>
      </c>
      <c r="D139" s="325">
        <f>540000-220000</f>
        <v>320000</v>
      </c>
      <c r="E139" s="325">
        <v>139116.96</v>
      </c>
      <c r="F139" s="760">
        <f t="shared" si="2"/>
        <v>43.47405</v>
      </c>
    </row>
    <row r="140" spans="1:6" s="37" customFormat="1" ht="30" customHeight="1">
      <c r="A140" s="862"/>
      <c r="B140" s="863"/>
      <c r="C140" s="370" t="s">
        <v>825</v>
      </c>
      <c r="D140" s="325">
        <f>30000</f>
        <v>30000</v>
      </c>
      <c r="E140" s="325">
        <v>0</v>
      </c>
      <c r="F140" s="760"/>
    </row>
    <row r="141" spans="1:6" s="37" customFormat="1" ht="30" customHeight="1">
      <c r="A141" s="403"/>
      <c r="B141" s="83"/>
      <c r="C141" s="859" t="s">
        <v>826</v>
      </c>
      <c r="D141" s="860">
        <f>150000+100000</f>
        <v>250000</v>
      </c>
      <c r="E141" s="860">
        <v>135949.76</v>
      </c>
      <c r="F141" s="861">
        <f t="shared" si="2"/>
        <v>54.379904</v>
      </c>
    </row>
    <row r="142" spans="1:6" s="37" customFormat="1" ht="30" customHeight="1">
      <c r="A142" s="403"/>
      <c r="B142" s="778"/>
      <c r="C142" s="779" t="s">
        <v>827</v>
      </c>
      <c r="D142" s="780">
        <f>350000-20942</f>
        <v>329058</v>
      </c>
      <c r="E142" s="781">
        <v>168302.38</v>
      </c>
      <c r="F142" s="782">
        <f t="shared" si="2"/>
        <v>51.14672185450589</v>
      </c>
    </row>
    <row r="143" spans="1:6" s="37" customFormat="1" ht="30" customHeight="1">
      <c r="A143" s="403"/>
      <c r="B143" s="778"/>
      <c r="C143" s="532" t="s">
        <v>828</v>
      </c>
      <c r="D143" s="783"/>
      <c r="E143" s="128"/>
      <c r="F143" s="784"/>
    </row>
    <row r="144" spans="1:6" s="37" customFormat="1" ht="31.5" customHeight="1">
      <c r="A144" s="403"/>
      <c r="B144" s="83"/>
      <c r="C144" s="769" t="s">
        <v>829</v>
      </c>
      <c r="D144" s="380">
        <f>SUM(D145:D154)</f>
        <v>2610000</v>
      </c>
      <c r="E144" s="342">
        <f>SUM(E145:E154)</f>
        <v>1381065.19</v>
      </c>
      <c r="F144" s="785">
        <f>E144*100/D144</f>
        <v>52.91437509578544</v>
      </c>
    </row>
    <row r="145" spans="1:6" s="37" customFormat="1" ht="31.5" customHeight="1">
      <c r="A145" s="403"/>
      <c r="B145" s="83"/>
      <c r="C145" s="370" t="s">
        <v>822</v>
      </c>
      <c r="D145" s="325">
        <f>800000-120000</f>
        <v>680000</v>
      </c>
      <c r="E145" s="325">
        <v>330496.42</v>
      </c>
      <c r="F145" s="760">
        <f aca="true" t="shared" si="3" ref="F145:F154">E145*100/D145</f>
        <v>48.60241470588235</v>
      </c>
    </row>
    <row r="146" spans="1:6" s="37" customFormat="1" ht="31.5" customHeight="1">
      <c r="A146" s="403"/>
      <c r="B146" s="83"/>
      <c r="C146" s="370" t="s">
        <v>830</v>
      </c>
      <c r="D146" s="325">
        <f>40000</f>
        <v>40000</v>
      </c>
      <c r="E146" s="325">
        <v>25728.84</v>
      </c>
      <c r="F146" s="760">
        <f t="shared" si="3"/>
        <v>64.3221</v>
      </c>
    </row>
    <row r="147" spans="1:6" s="37" customFormat="1" ht="31.5" customHeight="1">
      <c r="A147" s="403"/>
      <c r="B147" s="83"/>
      <c r="C147" s="370" t="s">
        <v>831</v>
      </c>
      <c r="D147" s="325">
        <f>100000</f>
        <v>100000</v>
      </c>
      <c r="E147" s="325">
        <v>64798.56</v>
      </c>
      <c r="F147" s="760">
        <f t="shared" si="3"/>
        <v>64.79856</v>
      </c>
    </row>
    <row r="148" spans="1:6" s="37" customFormat="1" ht="31.5" customHeight="1">
      <c r="A148" s="403"/>
      <c r="B148" s="83"/>
      <c r="C148" s="370" t="s">
        <v>738</v>
      </c>
      <c r="D148" s="325">
        <f>180000-50000</f>
        <v>130000</v>
      </c>
      <c r="E148" s="325">
        <v>60354.4</v>
      </c>
      <c r="F148" s="760">
        <f t="shared" si="3"/>
        <v>46.42646153846154</v>
      </c>
    </row>
    <row r="149" spans="1:6" s="37" customFormat="1" ht="31.5" customHeight="1">
      <c r="A149" s="403"/>
      <c r="B149" s="83"/>
      <c r="C149" s="370" t="s">
        <v>823</v>
      </c>
      <c r="D149" s="325">
        <f>120000-50000</f>
        <v>70000</v>
      </c>
      <c r="E149" s="325">
        <v>24934.34</v>
      </c>
      <c r="F149" s="760">
        <f t="shared" si="3"/>
        <v>35.620485714285714</v>
      </c>
    </row>
    <row r="150" spans="1:6" s="37" customFormat="1" ht="31.5" customHeight="1">
      <c r="A150" s="403"/>
      <c r="B150" s="83"/>
      <c r="C150" s="370" t="s">
        <v>824</v>
      </c>
      <c r="D150" s="325">
        <f>530000</f>
        <v>530000</v>
      </c>
      <c r="E150" s="325">
        <v>263149.22</v>
      </c>
      <c r="F150" s="760">
        <f t="shared" si="3"/>
        <v>49.65079622641509</v>
      </c>
    </row>
    <row r="151" spans="1:6" s="37" customFormat="1" ht="31.5" customHeight="1">
      <c r="A151" s="403"/>
      <c r="B151" s="83"/>
      <c r="C151" s="370" t="s">
        <v>832</v>
      </c>
      <c r="D151" s="325">
        <f>100000-50000</f>
        <v>50000</v>
      </c>
      <c r="E151" s="325">
        <v>9053.94</v>
      </c>
      <c r="F151" s="760">
        <f t="shared" si="3"/>
        <v>18.10788</v>
      </c>
    </row>
    <row r="152" spans="1:6" s="37" customFormat="1" ht="31.5" customHeight="1">
      <c r="A152" s="403"/>
      <c r="B152" s="83"/>
      <c r="C152" s="370" t="s">
        <v>833</v>
      </c>
      <c r="D152" s="325">
        <f>130000</f>
        <v>130000</v>
      </c>
      <c r="E152" s="325">
        <v>0</v>
      </c>
      <c r="F152" s="760"/>
    </row>
    <row r="153" spans="1:6" s="37" customFormat="1" ht="31.5" customHeight="1">
      <c r="A153" s="403"/>
      <c r="B153" s="83"/>
      <c r="C153" s="370" t="s">
        <v>834</v>
      </c>
      <c r="D153" s="325">
        <f>800000</f>
        <v>800000</v>
      </c>
      <c r="E153" s="325">
        <v>563162.19</v>
      </c>
      <c r="F153" s="760">
        <f t="shared" si="3"/>
        <v>70.39527374999999</v>
      </c>
    </row>
    <row r="154" spans="1:6" s="37" customFormat="1" ht="31.5" customHeight="1">
      <c r="A154" s="403"/>
      <c r="B154" s="83"/>
      <c r="C154" s="540" t="s">
        <v>835</v>
      </c>
      <c r="D154" s="648">
        <f>100000-20000</f>
        <v>80000</v>
      </c>
      <c r="E154" s="648">
        <v>39387.28</v>
      </c>
      <c r="F154" s="777">
        <f t="shared" si="3"/>
        <v>49.2341</v>
      </c>
    </row>
    <row r="155" spans="1:6" s="37" customFormat="1" ht="31.5" customHeight="1">
      <c r="A155" s="403"/>
      <c r="B155" s="778"/>
      <c r="C155" s="779" t="s">
        <v>836</v>
      </c>
      <c r="D155" s="780">
        <f>20942</f>
        <v>20942</v>
      </c>
      <c r="E155" s="781">
        <v>10471.02</v>
      </c>
      <c r="F155" s="782">
        <f>E155*100/D155</f>
        <v>50.00009550186228</v>
      </c>
    </row>
    <row r="156" spans="1:6" s="37" customFormat="1" ht="31.5" customHeight="1">
      <c r="A156" s="403"/>
      <c r="B156" s="778"/>
      <c r="C156" s="532" t="s">
        <v>828</v>
      </c>
      <c r="D156" s="783"/>
      <c r="E156" s="128"/>
      <c r="F156" s="784"/>
    </row>
    <row r="157" spans="1:6" s="37" customFormat="1" ht="47.25" customHeight="1">
      <c r="A157" s="59">
        <v>853</v>
      </c>
      <c r="B157" s="404" t="s">
        <v>324</v>
      </c>
      <c r="C157" s="786"/>
      <c r="D157" s="346">
        <f>SUM(D158:D158)</f>
        <v>310748</v>
      </c>
      <c r="E157" s="346">
        <f>SUM(E158:E158)</f>
        <v>155374.5</v>
      </c>
      <c r="F157" s="785">
        <f>E157*100/D157</f>
        <v>50.00016090208143</v>
      </c>
    </row>
    <row r="158" spans="1:6" s="271" customFormat="1" ht="37.5" customHeight="1">
      <c r="A158" s="59"/>
      <c r="B158" s="59"/>
      <c r="C158" s="787" t="s">
        <v>837</v>
      </c>
      <c r="D158" s="325">
        <v>310748</v>
      </c>
      <c r="E158" s="325">
        <f>SUM(E159:E162)</f>
        <v>155374.5</v>
      </c>
      <c r="F158" s="760">
        <f>E158*100/D158</f>
        <v>50.00016090208143</v>
      </c>
    </row>
    <row r="159" spans="1:6" s="271" customFormat="1" ht="37.5" customHeight="1">
      <c r="A159" s="67"/>
      <c r="B159" s="67"/>
      <c r="C159" s="357" t="s">
        <v>765</v>
      </c>
      <c r="D159" s="325"/>
      <c r="E159" s="325">
        <v>20888</v>
      </c>
      <c r="F159" s="788"/>
    </row>
    <row r="160" spans="1:6" s="271" customFormat="1" ht="37.5" customHeight="1">
      <c r="A160" s="68"/>
      <c r="B160" s="68"/>
      <c r="C160" s="331" t="s">
        <v>838</v>
      </c>
      <c r="D160" s="325"/>
      <c r="E160" s="325">
        <v>35251</v>
      </c>
      <c r="F160" s="788"/>
    </row>
    <row r="161" spans="1:6" s="271" customFormat="1" ht="37.5" customHeight="1">
      <c r="A161" s="67"/>
      <c r="B161" s="67"/>
      <c r="C161" s="864" t="s">
        <v>839</v>
      </c>
      <c r="D161" s="380"/>
      <c r="E161" s="380">
        <v>32646</v>
      </c>
      <c r="F161" s="865"/>
    </row>
    <row r="162" spans="1:6" s="271" customFormat="1" ht="37.5" customHeight="1">
      <c r="A162" s="67"/>
      <c r="B162" s="67"/>
      <c r="C162" s="357" t="s">
        <v>840</v>
      </c>
      <c r="D162" s="325"/>
      <c r="E162" s="325">
        <v>66589.5</v>
      </c>
      <c r="F162" s="788"/>
    </row>
    <row r="163" spans="1:6" s="37" customFormat="1" ht="37.5" customHeight="1">
      <c r="A163" s="58">
        <v>854</v>
      </c>
      <c r="B163" s="367" t="s">
        <v>275</v>
      </c>
      <c r="C163" s="370"/>
      <c r="D163" s="405">
        <f>D164</f>
        <v>1500000</v>
      </c>
      <c r="E163" s="405">
        <f>E164</f>
        <v>753305.22</v>
      </c>
      <c r="F163" s="756">
        <f>E163*100/D163</f>
        <v>50.220348</v>
      </c>
    </row>
    <row r="164" spans="1:6" s="37" customFormat="1" ht="68.25" customHeight="1">
      <c r="A164" s="406"/>
      <c r="B164" s="407"/>
      <c r="C164" s="332" t="s">
        <v>841</v>
      </c>
      <c r="D164" s="325">
        <v>1500000</v>
      </c>
      <c r="E164" s="325">
        <v>753305.22</v>
      </c>
      <c r="F164" s="760"/>
    </row>
    <row r="165" spans="1:6" s="37" customFormat="1" ht="29.25" customHeight="1">
      <c r="A165" s="3" t="s">
        <v>665</v>
      </c>
      <c r="B165" s="408"/>
      <c r="C165" s="115"/>
      <c r="D165" s="354">
        <f>D166+D169+D172</f>
        <v>382892.78</v>
      </c>
      <c r="E165" s="354">
        <f>E166+E169+E172</f>
        <v>229892.78</v>
      </c>
      <c r="F165" s="756">
        <f aca="true" t="shared" si="4" ref="F165:F172">E165*100/D165</f>
        <v>60.04103289699012</v>
      </c>
    </row>
    <row r="166" spans="1:6" s="37" customFormat="1" ht="34.5" customHeight="1">
      <c r="A166" s="67">
        <v>630</v>
      </c>
      <c r="B166" s="409" t="s">
        <v>671</v>
      </c>
      <c r="C166" s="410" t="s">
        <v>201</v>
      </c>
      <c r="D166" s="344">
        <f>SUM(D167:D168)</f>
        <v>100000</v>
      </c>
      <c r="E166" s="344">
        <f>SUM(E167:E168)</f>
        <v>46000</v>
      </c>
      <c r="F166" s="756">
        <f t="shared" si="4"/>
        <v>46</v>
      </c>
    </row>
    <row r="167" spans="1:6" s="37" customFormat="1" ht="36.75" customHeight="1">
      <c r="A167" s="382"/>
      <c r="B167" s="249"/>
      <c r="C167" s="789" t="s">
        <v>842</v>
      </c>
      <c r="D167" s="325">
        <v>60000</v>
      </c>
      <c r="E167" s="325">
        <v>30000</v>
      </c>
      <c r="F167" s="760">
        <f t="shared" si="4"/>
        <v>50</v>
      </c>
    </row>
    <row r="168" spans="1:6" s="37" customFormat="1" ht="30" customHeight="1">
      <c r="A168" s="71"/>
      <c r="B168" s="44"/>
      <c r="C168" s="773" t="s">
        <v>843</v>
      </c>
      <c r="D168" s="325">
        <v>40000</v>
      </c>
      <c r="E168" s="325">
        <v>16000</v>
      </c>
      <c r="F168" s="760">
        <f t="shared" si="4"/>
        <v>40</v>
      </c>
    </row>
    <row r="169" spans="1:6" s="37" customFormat="1" ht="26.25" customHeight="1">
      <c r="A169" s="58">
        <v>852</v>
      </c>
      <c r="B169" s="42" t="s">
        <v>306</v>
      </c>
      <c r="C169" s="333"/>
      <c r="D169" s="344">
        <f>SUM(D170:D171)</f>
        <v>207000</v>
      </c>
      <c r="E169" s="344">
        <f>SUM(E170:E171)</f>
        <v>108000</v>
      </c>
      <c r="F169" s="756">
        <f t="shared" si="4"/>
        <v>52.17391304347826</v>
      </c>
    </row>
    <row r="170" spans="1:6" s="37" customFormat="1" ht="40.5" customHeight="1">
      <c r="A170" s="398"/>
      <c r="B170" s="398"/>
      <c r="C170" s="341" t="s">
        <v>844</v>
      </c>
      <c r="D170" s="325">
        <v>200000</v>
      </c>
      <c r="E170" s="325">
        <v>101000</v>
      </c>
      <c r="F170" s="760">
        <f t="shared" si="4"/>
        <v>50.5</v>
      </c>
    </row>
    <row r="171" spans="1:6" s="37" customFormat="1" ht="40.5" customHeight="1">
      <c r="A171" s="398"/>
      <c r="B171" s="398"/>
      <c r="C171" s="341" t="s">
        <v>845</v>
      </c>
      <c r="D171" s="380">
        <v>7000</v>
      </c>
      <c r="E171" s="325">
        <v>7000</v>
      </c>
      <c r="F171" s="760">
        <f t="shared" si="4"/>
        <v>100</v>
      </c>
    </row>
    <row r="172" spans="1:6" s="37" customFormat="1" ht="45.75" customHeight="1">
      <c r="A172" s="59">
        <v>853</v>
      </c>
      <c r="B172" s="404" t="s">
        <v>324</v>
      </c>
      <c r="C172" s="333"/>
      <c r="D172" s="342">
        <f>SUM(D173)</f>
        <v>75892.78</v>
      </c>
      <c r="E172" s="342">
        <f>SUM(E173)</f>
        <v>75892.78</v>
      </c>
      <c r="F172" s="760">
        <f t="shared" si="4"/>
        <v>100</v>
      </c>
    </row>
    <row r="173" spans="1:6" s="37" customFormat="1" ht="37.5" customHeight="1">
      <c r="A173" s="372"/>
      <c r="B173" s="372"/>
      <c r="C173" s="341" t="s">
        <v>846</v>
      </c>
      <c r="D173" s="325">
        <f>70000+5892.78</f>
        <v>75892.78</v>
      </c>
      <c r="E173" s="325">
        <f>70000+5892.78</f>
        <v>75892.78</v>
      </c>
      <c r="F173" s="760"/>
    </row>
    <row r="174" spans="1:6" s="37" customFormat="1" ht="24.75" customHeight="1">
      <c r="A174" s="1056" t="s">
        <v>652</v>
      </c>
      <c r="B174" s="1057"/>
      <c r="C174" s="1058"/>
      <c r="D174" s="358">
        <f>D8+D132</f>
        <v>15953332.55</v>
      </c>
      <c r="E174" s="358">
        <f>E8+E132</f>
        <v>8082243.949999999</v>
      </c>
      <c r="F174" s="790">
        <f>E174*100/D174</f>
        <v>50.66179072409544</v>
      </c>
    </row>
    <row r="175" spans="3:6" s="37" customFormat="1" ht="12.75">
      <c r="C175" s="85"/>
      <c r="D175" s="411"/>
      <c r="F175" s="764"/>
    </row>
  </sheetData>
  <mergeCells count="1">
    <mergeCell ref="A174:C174"/>
  </mergeCells>
  <printOptions/>
  <pageMargins left="0.3937007874015748" right="0" top="0.7874015748031497" bottom="0.787401574803149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IKawalkiewicz</cp:lastModifiedBy>
  <cp:lastPrinted>2015-08-26T12:03:16Z</cp:lastPrinted>
  <dcterms:created xsi:type="dcterms:W3CDTF">2007-04-04T08:35:31Z</dcterms:created>
  <dcterms:modified xsi:type="dcterms:W3CDTF">2015-08-26T13:20:40Z</dcterms:modified>
  <cp:category/>
  <cp:version/>
  <cp:contentType/>
  <cp:contentStatus/>
</cp:coreProperties>
</file>