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  RM nr z 28.X.2015." sheetId="1" r:id="rId1"/>
    <sheet name="Zał. nr 1" sheetId="2" r:id="rId2"/>
    <sheet name="Zał. nr 2" sheetId="3" r:id="rId3"/>
    <sheet name="Zał. nr 3" sheetId="4" r:id="rId4"/>
    <sheet name="Arkusz1" sheetId="5" r:id="rId5"/>
    <sheet name="Wolny" sheetId="6" r:id="rId6"/>
  </sheets>
  <definedNames>
    <definedName name="_xlnm.Print_Titles" localSheetId="1">'Zał. nr 1'!$10:$12</definedName>
    <definedName name="_xlnm.Print_Titles" localSheetId="2">'Zał. nr 2'!$13:$14</definedName>
    <definedName name="_xlnm.Print_Titles" localSheetId="3">'Zał. nr 3'!$12:$12</definedName>
  </definedNames>
  <calcPr fullCalcOnLoad="1"/>
</workbook>
</file>

<file path=xl/sharedStrings.xml><?xml version="1.0" encoding="utf-8"?>
<sst xmlns="http://schemas.openxmlformats.org/spreadsheetml/2006/main" count="736" uniqueCount="490">
  <si>
    <t xml:space="preserve">                                     z dnia  28 października  2015 roku</t>
  </si>
  <si>
    <t>75615</t>
  </si>
  <si>
    <t>0310</t>
  </si>
  <si>
    <t>85616</t>
  </si>
  <si>
    <t>01030</t>
  </si>
  <si>
    <t>2850</t>
  </si>
  <si>
    <t>4510</t>
  </si>
  <si>
    <t>2015-2017</t>
  </si>
  <si>
    <t>Wniesienie wkładu pieniężnego na budowę sieci wodociągowej w Koninie w ulicy  Ignacego Domeyki os. Laskówiec</t>
  </si>
  <si>
    <t>010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</si>
  <si>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</si>
  <si>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</si>
  <si>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</si>
  <si>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</si>
  <si>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</si>
  <si>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</si>
  <si>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</si>
  <si>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</si>
  <si>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</si>
  <si>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</si>
  <si>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</si>
  <si>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</si>
  <si>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</si>
  <si>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Dział</t>
  </si>
  <si>
    <t>Rezerwa celowa na inwestycje i zakupy inwestycyjne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</si>
  <si>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</si>
  <si>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</si>
  <si>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</si>
  <si>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</si>
  <si>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</si>
  <si>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</si>
  <si>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</si>
  <si>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</si>
  <si>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</si>
  <si>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</si>
  <si>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</si>
  <si>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</si>
  <si>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</si>
  <si>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</si>
  <si>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</si>
  <si>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</si>
  <si>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</si>
  <si>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</si>
  <si>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</si>
  <si>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</si>
  <si>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</si>
  <si>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</si>
  <si>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</si>
  <si>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</si>
  <si>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r>
      <t xml:space="preserve">brzmienie w treści </t>
    </r>
    <r>
      <rPr>
        <b/>
        <sz val="13"/>
        <rFont val="Times New Roman"/>
        <family val="1"/>
      </rPr>
      <t>Załącznika nr 2</t>
    </r>
    <r>
      <rPr>
        <sz val="13"/>
        <rFont val="Times New Roman"/>
        <family val="1"/>
      </rPr>
      <t xml:space="preserve">  do niniejszej uchwały</t>
    </r>
  </si>
  <si>
    <t xml:space="preserve">          zastępuje się kwotą</t>
  </si>
  <si>
    <t xml:space="preserve">         w tym:</t>
  </si>
  <si>
    <t>a) kwotę części gminnej</t>
  </si>
  <si>
    <t xml:space="preserve">    zastępuje się kwotą</t>
  </si>
  <si>
    <t>pkt 2)  kwotę rezerwy celowej oświatowej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</si>
  <si>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</si>
  <si>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</si>
  <si>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</si>
  <si>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</si>
  <si>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</si>
  <si>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</si>
  <si>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</si>
  <si>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2. W Załączniku Nr 1 do uchwały budżetowej dokonuje się następujących zmian:</t>
  </si>
  <si>
    <t>W części dotyczącej dochodów  gminy</t>
  </si>
  <si>
    <t xml:space="preserve">         1) dochody gminy ogółem                                                                                  </t>
  </si>
  <si>
    <t xml:space="preserve"> - kwotę wydatków na realizację zadań w ramach programów </t>
  </si>
  <si>
    <t>i projektów funduszy strukturalnych</t>
  </si>
  <si>
    <t>6. W Załączniku Nr 2 do uchwały budżetowej dokonuje się następujących zmian:</t>
  </si>
  <si>
    <t xml:space="preserve"> (Dz. U. z 2013  poz. 885 ze zm.)   R a d a    M i a s t a   K o n i n a   u c h w a l a,  co następuje "</t>
  </si>
  <si>
    <r>
      <t xml:space="preserve">w sprawie </t>
    </r>
    <r>
      <rPr>
        <b/>
        <i/>
        <sz val="14"/>
        <rFont val="Times New Roman"/>
        <family val="1"/>
      </rPr>
      <t>zmian w budżecie miasta Konina na 2015 rok</t>
    </r>
  </si>
  <si>
    <t xml:space="preserve">         W uchwale Nr 22 Rady Miasta Konina z dnia 21 stycznia 2015 r. r. w sprawie uchwalenia budżetu</t>
  </si>
  <si>
    <r>
      <t xml:space="preserve">mowa w art. 5 ust. 1 pkt 2 i 3 ustawy o finansach publicznych na 2015 rok" </t>
    </r>
    <r>
      <rPr>
        <sz val="13"/>
        <rFont val="Times New Roman"/>
        <family val="1"/>
      </rPr>
      <t xml:space="preserve">otrzymuje </t>
    </r>
  </si>
  <si>
    <t xml:space="preserve">miasta Konina na 2015 rok zmienionej  zarządzeniami w sprawie zmian w budżecie miasta Konina </t>
  </si>
  <si>
    <t xml:space="preserve">na 2015 rok:  Nr 11/2015 Prezydenta Miasta Konina z dnia 29 stycznia 2015 r.; Nr  17 /2015 Prezydenta Miasta  </t>
  </si>
  <si>
    <t>W części dotyczącej zadań  powiatu</t>
  </si>
  <si>
    <t>W części dotyczącej dochodów  powiatu</t>
  </si>
  <si>
    <t xml:space="preserve">         2) dochody powiatu ogółem                                                                                  </t>
  </si>
  <si>
    <t xml:space="preserve">                                     UCHWAŁA  NR       </t>
  </si>
  <si>
    <t>3. W Załączniku Nr 1 do uchwały budżetowej dokonuje się następujących zmian:</t>
  </si>
  <si>
    <t>" Limit wydatków bieżących na programy finansowane z udziałem środków, o których</t>
  </si>
  <si>
    <t>Miasta Konina z dnia 26 lutego 2015 r.; Nr 30/2015 Prezydenta Miasta Konina z dnia 13 marca 2015 r.;</t>
  </si>
  <si>
    <t>Uzbrojenie terenów inwestycyjnych w obrębie Konin-Międzylesie</t>
  </si>
  <si>
    <t>Budowa odwodnienia terenu przyległego do boiska przy Gimnazjum nr 3 w Koninie</t>
  </si>
  <si>
    <t xml:space="preserve">Konina z dnia 12  lutego 2015 r.; Nr 40 Rady Miasta Konina z dnia 25 lutego 2015 r.; Nr 28/2015 Prezydenta </t>
  </si>
  <si>
    <t xml:space="preserve">        b) dochody majątkowe w wysokości                                        </t>
  </si>
  <si>
    <t xml:space="preserve">zaliczanych do sektora finansów publicznych na cele publiczne związane z realizacją </t>
  </si>
  <si>
    <r>
      <t xml:space="preserve"> zadań miasta na 2015 rok"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</si>
  <si>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4210</t>
  </si>
  <si>
    <t>758</t>
  </si>
  <si>
    <t>801</t>
  </si>
  <si>
    <t>4440</t>
  </si>
  <si>
    <t>80101</t>
  </si>
  <si>
    <t>4300</t>
  </si>
  <si>
    <t>900</t>
  </si>
  <si>
    <t>4010</t>
  </si>
  <si>
    <t>4110</t>
  </si>
  <si>
    <t>4120</t>
  </si>
  <si>
    <t>ZAŁĄCZNIK nr 1</t>
  </si>
  <si>
    <t>Rady  Miasta Konina</t>
  </si>
  <si>
    <t xml:space="preserve">Plan wydatków majątkowych realizowanych ze środków </t>
  </si>
  <si>
    <t>budżetowych miasta Konina na 2015 rok</t>
  </si>
  <si>
    <t>w złotych</t>
  </si>
  <si>
    <t xml:space="preserve">           Plan na 2015 rok</t>
  </si>
  <si>
    <t>Lp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</si>
  <si>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</si>
  <si>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</si>
  <si>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</si>
  <si>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</si>
  <si>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</si>
  <si>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</si>
  <si>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ulic: Dobrowolskiego, Kuratowskiego, Mazurkiewicza i Trzebiatowskiego w Koninie</t>
  </si>
  <si>
    <t>Budowa ul. Nasturcjowej w Koninie</t>
  </si>
  <si>
    <t xml:space="preserve">Opracowanie  dokumentacji projektowo-kosztorysowej na przebudowę ul. Beznazwy i Wilczej w Koninie </t>
  </si>
  <si>
    <t>Zakup promu rzecznego</t>
  </si>
  <si>
    <t>Gospodarka mieszkaniowa</t>
  </si>
  <si>
    <t>Gospodarka gruntami i nieruchomościami</t>
  </si>
  <si>
    <t>Nabycie nieruchomości gruntowych</t>
  </si>
  <si>
    <t>Pozostała działalność</t>
  </si>
  <si>
    <t>Wniesienie wkładu pieniężnego do Miejskiego Towarzystwa Budownictwa Społecznego Sp.z o.o. w Koninie na budowę budynku wielorodzinnego z lokalami handlowo-usługowymi w parterze oraz infrastrukturą techniczną przy ul. Wodnej 39 w Koninie</t>
  </si>
  <si>
    <t>Administracja publiczna</t>
  </si>
  <si>
    <t>Urzędy gmin (miast i miast na prawach powiatu)</t>
  </si>
  <si>
    <t>Rozbudowa miejskiej sieci szerokopasmowej KoMAN</t>
  </si>
  <si>
    <t>Modernizacja systemu klimatyzacyjnego w pomieszczeniach I piętra budynku UM przy Pl. Wolności 1</t>
  </si>
  <si>
    <t>Doposażenie techniczne urzędu</t>
  </si>
  <si>
    <t>Bezpieczeństwo publiczne i ochrona przeciwpożarowa</t>
  </si>
  <si>
    <t>Ochotnicze Straże Pożarne</t>
  </si>
  <si>
    <t xml:space="preserve">Zakupy inwestycyjne </t>
  </si>
  <si>
    <t>Dotacja celowa na zakup zestawu hydraulicznego dla OSP Konin-Chorzeń</t>
  </si>
  <si>
    <t>Obrona cywilna</t>
  </si>
  <si>
    <t>Różne rozliczenia</t>
  </si>
  <si>
    <t>Rezerwy ogólne i celowe</t>
  </si>
  <si>
    <t>Oświata i wychowanie</t>
  </si>
  <si>
    <t>Szkoły podstawowe</t>
  </si>
  <si>
    <t>Centrum nauki pływania i rehabilitacji wodnej (KBO)</t>
  </si>
  <si>
    <t>Wykonanie bieżni oraz piaskownicy do skoku w dal dla SP Nr 1</t>
  </si>
  <si>
    <t>Budowa monitoringu szkoły i placu zabaw dla SP Nr 10</t>
  </si>
  <si>
    <t>Modernizacja części socjalnej pionu sportowego w Szkole Podstawowej nr 3 w Koninie</t>
  </si>
  <si>
    <t>Zakup urządzenia "EkoRedux" - jednostki sterującej dla Szkoły Podstawowej z Oddziałami Integracyjnymi Nr 9</t>
  </si>
  <si>
    <t>Zakup kserokopiarki dla SP Nr 1</t>
  </si>
  <si>
    <t>Przedszkola</t>
  </si>
  <si>
    <t>Zakup huśtawki dla Przedszkola Nr 5</t>
  </si>
  <si>
    <t>Zakup obieraczki do warzyw dla Przedszkola Nr 6</t>
  </si>
  <si>
    <t>Zakup zmywarki dla Przedszkola Nr 17</t>
  </si>
  <si>
    <t>Zakup zmywarki przemysłowej dla Przedszkola Nr 31</t>
  </si>
  <si>
    <t>Zakup zmywarki z funkcją wyparzania dla Przedszkola Nr 32</t>
  </si>
  <si>
    <t>Zakup zmywarki z funkcją wyparzania dla Przedszkola Nr 8</t>
  </si>
  <si>
    <t>Gimnazja</t>
  </si>
  <si>
    <t>Budowa zespołu boisk przy Gimnazjum Nr 7 w Koninie</t>
  </si>
  <si>
    <t>Stołówki szkolne i przedszkolne</t>
  </si>
  <si>
    <t>Zakup piekarnika do kuchni dla SP Nr 1</t>
  </si>
  <si>
    <t>Zakup lodówko-zamrażarki dla SP Nr 8</t>
  </si>
  <si>
    <t>Zakup robota wielofukcyjnego typu "Wilk" dla SP Nr 8</t>
  </si>
  <si>
    <t>Pozostałe zadania w zakresie polityki społecznej</t>
  </si>
  <si>
    <t xml:space="preserve">Pozostała działalność </t>
  </si>
  <si>
    <t>Program Wspierania Przedsiębiorczości w Koninie na lata 2014-2016 (wniesienie wkładu)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</si>
  <si>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</si>
  <si>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</si>
  <si>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</si>
  <si>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Budowa ogrodzenia wokół schroniska dla bezdomnych zwierząt przy ul. Gajowej w Koninie</t>
  </si>
  <si>
    <t>Oświetlenie ulic, placów i dróg</t>
  </si>
  <si>
    <t>Opracowanie dokumentacji projektowo-kosztorysowej na budowę oświetlenia na ul. Jeziornej i Okólnej</t>
  </si>
  <si>
    <t>Sygnalizacja dźwiękowa dla osób niepełnosprawnych (KBO)</t>
  </si>
  <si>
    <t xml:space="preserve">Wniesienie wkładu pieniężnego do PWIK Sp. zo.o. na budowę kanalizacji sanitarnej i wodociągu w budynku  po Sądzie Rejonowym </t>
  </si>
  <si>
    <t>Wniesienie wkładu pieniężnego do spółki Geotermia Konin Spółka z o.o. w Koninie</t>
  </si>
  <si>
    <t>Wniesienie wkładu pieniężnego do spółki Geotermia Konin Spółka z o.o. w Koninie (zad.2)</t>
  </si>
  <si>
    <t xml:space="preserve">Wniesienie wkładu pieniężnego na opracowanie dokumentacji projektowej na budowę sieci wodociągowej i kanalizacji sanitarnej w Koninie w ulicy Warmińskiej, Wojciechowo i Krańcowej – os. Łężyn </t>
  </si>
  <si>
    <t xml:space="preserve">Wniesienie wkładu pieniężnego na opracowanie dokumentacji projektowej na budowę rurociągu tłocznego kanalizacji sanitarnej wraz z przebudową przepompowni ścieków w Koninie – os Janów </t>
  </si>
  <si>
    <t>Wniesienie wkładu pieniężnego na budowę kanalizacji sanitarnej i sieci wodociągowej w Koninie w ulicy Mazowieckiej - os. Łężyn</t>
  </si>
  <si>
    <t>Wniesienie wkładu pieniężnego na budowę sieci wodociągowej w Koninie w ulicach Marii Skłodowskiej-Curie, ul. Ignacego Domeyki, Ludwika Hirszwelda</t>
  </si>
  <si>
    <t>Wniesienie wkładu pieniężnego na budowę sieci wodociągowej w ciągu pieszo jezdnym w Koninie - rejon ulicy Grójeckiej - os. Grójec</t>
  </si>
  <si>
    <t>Wniesienie wkładu pieniężnego na budowę sieci wodociągowej w Koninie w ulicy Rumiankowej</t>
  </si>
  <si>
    <t>Wniesienie wkładu pieniężnego na budowę kanalizacji sanitarnej w Koninie w ulicy Ślesińskiej - os. Łężyn</t>
  </si>
  <si>
    <t>Przebudowa rowów melioracyjnych w obrębie Konin-Międzylesie</t>
  </si>
  <si>
    <t>Opracowanie dokumentacji projektowo-kosztorysowej na budowę ulic Staromorzysławskiej, Działkowej i Granicznej w Koninie wraz z kanalizacją deszczową</t>
  </si>
  <si>
    <t>Opracowanie dokumentacji projektowo-kosztorysowej na odwodnienie terenu przyległego do boisk przy Gimnazjum nr 3 w Koninie</t>
  </si>
  <si>
    <t>Budowa kanalizacji deszczowej w rejonie osiedla Pątnów w Koninie</t>
  </si>
  <si>
    <t>Modernizacja istniejących placów zabaw wraz z wykonaniem ogrodzeń</t>
  </si>
  <si>
    <t>Budowa placu zabaw na terenie zieleni miejskiej przy ul. Kolejowej 8 i Energetyka 2A w Koninie</t>
  </si>
  <si>
    <t>Zwalczanie komarów - wieże lęgowe dla jerzyków (KBO)</t>
  </si>
  <si>
    <t>Ustawienie betonowych stołów do ping-ponga na Chorzniu oraz na II i III osiedlu (KBO)</t>
  </si>
  <si>
    <t>Kolorowa ściana – „Dobra” Instalacja (KBO)</t>
  </si>
  <si>
    <t>Opracowanie dokumentacji projektowo-kosztorysowej na budowę kanalizacji deszczowej przy ul. Spółdzielców w Koninie</t>
  </si>
  <si>
    <t>Konin jest FIT, czyli budowa 9 placów siłowni plenerowych z urządzeniami do ćwiczeń na dworze dla młodzieży, dorosłych i seniorów: na Chorzniu, Zatorzu,  V Osiedlu, Oś.Sikorskiego, w Centrum, Wilkowie, Niesłuszu, Gosławicach i Cukrowni (KBO)</t>
  </si>
  <si>
    <t>Budowa przyłączy kanalizacyjnych i przyłączenie nieruchomości do miejskiej sieci kanalizacyjnej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</si>
  <si>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</si>
  <si>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</si>
  <si>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</si>
  <si>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>Wykonanie i montaż szafy do Bookcrossingu (KBO)</t>
  </si>
  <si>
    <t xml:space="preserve">Kultura fizyczna </t>
  </si>
  <si>
    <t>Obiekty sportowe</t>
  </si>
  <si>
    <t>RAZEM POWIAT</t>
  </si>
  <si>
    <t>Drogi publiczne wojewódzkie</t>
  </si>
  <si>
    <t>Dotacja celowa do Samorządu Województwa Wielkopolskiego na wypłatę odszkodowań za grunty przejęte  pod realizacje zadania  pn. "Budowa drogi - łącznik od ul. Przemysłowej do ul. Kleczewskiej w Koninie"</t>
  </si>
  <si>
    <t>Drogi publiczne w miastach na prawach powiatu</t>
  </si>
  <si>
    <t>Budowa drogi - łącznik od ul. Przemysłowej do ul. Kleczewskiej w Koninie</t>
  </si>
  <si>
    <t>Przebudowa ul. Kościuszki wraz z oświetleniem i odwodnieniem - etap I</t>
  </si>
  <si>
    <t>Wykonanie bezpiecznego przejścia dla pieszych przez ul. Europejską w okolicach ul. Wierzbowej</t>
  </si>
  <si>
    <t>Opracowanie dokumentacji projektowo-kosztorysowej na przebudowę ul. Jana Pawła II w Koninie</t>
  </si>
  <si>
    <t>Dokumentacja projektowo - kosztorysowa na budowę ul. Przemysłowej od skrzyżowania z ul. Jana Matejki do skrzyżowania z planowaną drogą DK 25 w Malińcu wraz ze ścieżką rowerową (KBO)</t>
  </si>
  <si>
    <t>Turystyka</t>
  </si>
  <si>
    <t>Budowa budynku usług publicznych przy ul. Z. Urbanowskiej w Koninie</t>
  </si>
  <si>
    <t>Działalność usługowa</t>
  </si>
  <si>
    <t>Ośrodki dokumentacji geodezyjnej i kartograficznej</t>
  </si>
  <si>
    <t xml:space="preserve">Zakup sprzętu komputerowego </t>
  </si>
  <si>
    <t>Komendy powiatowe Policji</t>
  </si>
  <si>
    <t>Dofinansowanie zakupu radiowozów oznakowanych i nieoznakowanego dla KMP w Koninie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</si>
  <si>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</si>
  <si>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</si>
  <si>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Licea ogólnokształcące</t>
  </si>
  <si>
    <t>Zakup serwera dla II LO w Koninie</t>
  </si>
  <si>
    <t>Zakup kserokopiarki dla II LO w Koninie</t>
  </si>
  <si>
    <t>Zakup urządzenia wielofunkcyjnego do frezowania tafli lodowiska dla ZS im.  M.Kopernika w Koninie</t>
  </si>
  <si>
    <t>Szkoły zawodowe</t>
  </si>
  <si>
    <t>Zakup serwera dla ZSB w Koninie</t>
  </si>
  <si>
    <t>Zakup serwera dla ZSTiH w Koninie</t>
  </si>
  <si>
    <t>Zakup zmywarki dla II LO w Koninie</t>
  </si>
  <si>
    <t>Pomoc społeczna</t>
  </si>
  <si>
    <t>Domy pomocy społecznej</t>
  </si>
  <si>
    <t>Zakup łóżka kąpielowego oraz szorowarki dla DPS w Koninie</t>
  </si>
  <si>
    <t>Edukacyjna opieka wychowawcza</t>
  </si>
  <si>
    <t>Specjalne ośrodki szkolno-wychowawcze</t>
  </si>
  <si>
    <t>Zakup serwera dla SOS-W w Koninie</t>
  </si>
  <si>
    <t xml:space="preserve">do Uchwały nr  </t>
  </si>
  <si>
    <t>Poradnie przychologiczno-pedagogiczne w tym poradnie specjalistyczne</t>
  </si>
  <si>
    <t>Schroniska dla zwierząt</t>
  </si>
  <si>
    <t>Wniesienie wkładu pieniężnego do PWiK na budowę kanalizacji sanitarnej i wodociągu w rejonie ul. Gajowej w Koninie - I etap</t>
  </si>
  <si>
    <t xml:space="preserve">Wniesienie wkładu pieniężnego do PWiK na budowę sieci kanalizacji sanitarnej i wodociągu w  ulicy Rudzickiej w Koninie </t>
  </si>
  <si>
    <t>Instytucje kultury fizycznej</t>
  </si>
  <si>
    <t xml:space="preserve">Zakupy inwestycyjne dla MOS i R w Koninie </t>
  </si>
  <si>
    <t>Samoobsługowe stacje naprawy rowerów (KBO)</t>
  </si>
  <si>
    <t>Zakup urządzenia EEGBiofeedback wersja Nexus 4</t>
  </si>
  <si>
    <t>ZAŁĄCZNIK nr 2</t>
  </si>
  <si>
    <t xml:space="preserve">PLAN  DOTACJI DLA PODMIOTÓW NIE ZALICZANYCH DO SEKTORA </t>
  </si>
  <si>
    <t xml:space="preserve">FINANSÓW PUBLICZNYCH NA CELE PUBLICZNE ZWIĄZANE Z REALIZACJĄ </t>
  </si>
  <si>
    <t>ZADAŃ MIASTA  NA 2015 ROK</t>
  </si>
  <si>
    <t>Wyszczególnienie</t>
  </si>
  <si>
    <t xml:space="preserve">Określenie zadań </t>
  </si>
  <si>
    <t>Plan na 2015 rok</t>
  </si>
  <si>
    <t>Razem zadania gminy</t>
  </si>
  <si>
    <t xml:space="preserve">Dotacje podmiotowe </t>
  </si>
  <si>
    <t>dotacja dla niepublicznej szkoły podstawowej rozdz.80101</t>
  </si>
  <si>
    <t>dotacja dla niepublicznego przedszkola i punktów przedszkolnych rozdz. 80104</t>
  </si>
  <si>
    <t>dotacja dla niepublicznego gimnazjum  rozdz.80110</t>
  </si>
  <si>
    <t>dotacja dla niepublicznego przedszkola  rozdz. 80149</t>
  </si>
  <si>
    <t>Dotacje celowe</t>
  </si>
  <si>
    <t>Ochrona zdrowia</t>
  </si>
  <si>
    <t>prowadzenie Punktu Konsultacyjnego dla osób i rodzin dotkniętych problemem narkotykowym</t>
  </si>
  <si>
    <t>prowadzenie świetlic środowiskowych z dożywianiem</t>
  </si>
  <si>
    <t xml:space="preserve">realizacja programu zapobiegania i przeciwdziałania przemocy w rodzinie "Bezpieczeństwo w rodzinie" i "Dzieciństwo bez przemocy" 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</si>
  <si>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</si>
  <si>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</si>
  <si>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</si>
  <si>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</si>
  <si>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</si>
  <si>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</si>
  <si>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</si>
  <si>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</si>
  <si>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</si>
  <si>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</si>
  <si>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</si>
  <si>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>dotacja celowa dla niepublicznego żłobka</t>
  </si>
  <si>
    <t>dotacja celowa dla 2 klubów dziecięcych</t>
  </si>
  <si>
    <t>dotacja celowa dla niepublicznego klubu dziecięcego</t>
  </si>
  <si>
    <t>Wspieranie realizacji zadań organizacji pozarządowych</t>
  </si>
  <si>
    <t>realizacja zadania pn.: "Ja też mam super wakacje"</t>
  </si>
  <si>
    <t>działalność wspomagająca rozwój wspólnot i społeczności lokalnych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</si>
  <si>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</si>
  <si>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</si>
  <si>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prowadzenie schroniska dla zwierząt, realizacja Programu opieki nad zwierzętami bezdomnymi oraz zapobieganie bezdomności zwierząt na terenie miasta Konina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</si>
  <si>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</si>
  <si>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</si>
  <si>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konserwatorsko-restauratorskie polichromii E.Niewiadomskiego - Parafia pw Św. Bartłomieja</t>
  </si>
  <si>
    <t>prace konserwatorsko-restauratorskie krucyfiksu w kruchcie - Parafia pw Św. Andrzeja Apostoła w Koninie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</si>
  <si>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</si>
  <si>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</si>
  <si>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</si>
  <si>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</si>
  <si>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</si>
  <si>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</si>
  <si>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</si>
  <si>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</si>
  <si>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</si>
  <si>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niepublicznej szkoły zawodowej rozdz. 80130</t>
  </si>
  <si>
    <t>dotacja dla publicznego liceum ogólnokształcącego rozdz. 80150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</si>
  <si>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</si>
  <si>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</si>
  <si>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</si>
  <si>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</si>
  <si>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</si>
  <si>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działalność na rzecz rozwoju gospodarczego wspierającego lokalny rynek pracy</t>
  </si>
  <si>
    <t>OGÓŁEM</t>
  </si>
  <si>
    <t xml:space="preserve">na realizację  programów korekcyjno-edukacyjnych dla sprawców przemocy  w rodzinie 
</t>
  </si>
  <si>
    <t>4270</t>
  </si>
  <si>
    <t>80150</t>
  </si>
  <si>
    <t>4240</t>
  </si>
  <si>
    <t>Zakup obieraczki do ziemniaków dla Przedszkola nr 16</t>
  </si>
  <si>
    <t>Projekt</t>
  </si>
  <si>
    <t>Opracowanie dokumnetacji projektowo-kosztorysowej na budowę ul. Grójeckiej w Koninie</t>
  </si>
  <si>
    <t>Zakup maty do gry w badmintona</t>
  </si>
  <si>
    <t>Wykonanie oświetlenia awaryjno-ewakuacyjnego w budynku Przedszkola nr 8 w Koninie</t>
  </si>
  <si>
    <t xml:space="preserve">Budowa toalety przy ul. Szpitalnej 60 w Koninie
</t>
  </si>
  <si>
    <t>Wyposażenie klatki schodowej w urzadzenia  służące do usuwania dymu w budynku Przedszkola nr 2</t>
  </si>
  <si>
    <t xml:space="preserve">Miasta Konina z dnia 23 kwietnia 2015 r.; Nr 98 Rady Miasta Konina z dnia 29 kwietnia 2015 r.; Nr 60/2015 </t>
  </si>
  <si>
    <t xml:space="preserve">Prezydenta Miasta Konina z dnia 7 maja 2015 r.; Nr  68/2015 Prezydenta Miasta Konina z dnia </t>
  </si>
  <si>
    <t xml:space="preserve">21 maja 2015 r.; Nr 110 Rady Miasta Konina z dnia 27 maja 2015 r.; Nr  72/2015 Prezydenta Miasta Konina </t>
  </si>
  <si>
    <r>
      <t xml:space="preserve">ze środków budżetowych miasta Konina na 2015 rok " </t>
    </r>
    <r>
      <rPr>
        <sz val="12"/>
        <rFont val="Times New Roman"/>
        <family val="1"/>
      </rPr>
      <t xml:space="preserve"> dokonuje się następujących zmian:</t>
    </r>
  </si>
  <si>
    <t>756</t>
  </si>
  <si>
    <t>750</t>
  </si>
  <si>
    <t>75023</t>
  </si>
  <si>
    <t>80148</t>
  </si>
  <si>
    <t>75818</t>
  </si>
  <si>
    <t>4810</t>
  </si>
  <si>
    <t>Aktualizacja dokumentacji projektowo kosztorysowej  na przebudowę ulicy Rumiankowej w Koninie</t>
  </si>
  <si>
    <t>Przebudowa ulicy Rumiankowej w Koninie</t>
  </si>
  <si>
    <t xml:space="preserve">Wykonanie awaryjnego oświetlenia ewakuacyjnego w Przedszkolu nr 6   w Koninie
</t>
  </si>
  <si>
    <t>Zagospodarowanie terenu do gier sportowych przy ul. Szerokiej w Pątnowie</t>
  </si>
  <si>
    <t>Przebudowa ulicy Romana Dmowskiego w Koninie</t>
  </si>
  <si>
    <t>0690</t>
  </si>
  <si>
    <t xml:space="preserve">Wykonanie Audytu Bezpieczeństwa Ruchu Drogowego i opracowanie studium wykonalności inwestycji pn. rozbudowa skrzyżowania ulicy Warszawskiej z ulicą Kolską w Koninie </t>
  </si>
  <si>
    <t>Program Wspierania Przedsiębiorczości w Koninie na lata 2014-2016 - Koncepcja utworzenia Parku Przemysłowo Technologicznego</t>
  </si>
  <si>
    <t>Budowa kanalizacji deszczowej przy ul. Spółdzielców w Koninie</t>
  </si>
  <si>
    <t>Zakup platformy niezbędnej do przewozu specjalistycznego sprzętu dla Komendy Miejskiej Państwowej Straży Pożarnej w Koninie</t>
  </si>
  <si>
    <t xml:space="preserve">z dnia 28 maja 2015 r.;  Nr 78/2015 Prezydenta Miasta Konina z dnia 11 czerwca 2015 r.; Nr 134 Rady Miasta  </t>
  </si>
  <si>
    <t>Konina z dnia 24 czerwca 2015 r.; Nr 86/2015 Prezydenta Miasta Konina z dnia 25 czerwca 2015 r.;</t>
  </si>
  <si>
    <t xml:space="preserve">Nr 92/2015 Prezydenta Miasta Konina z dnia 10 lipca 2015 r.;  Nr 150 Rady Miasta Konina z dnia 20 lipca </t>
  </si>
  <si>
    <r>
      <t>2015 r.; Nr 99/2015 Prezydenta Miasta Konina z dnia 24 lipca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104/2015 Prezydenta Miasta</t>
    </r>
  </si>
  <si>
    <t>wyposażenie szkół w podręczniki, materiały edukacyjne lub materiały ćwiczeniowe rozdz. 80101</t>
  </si>
  <si>
    <t>wyposażenie szkół w podręczniki, materiały edukacyjne lub materiały ćwiczeniowe rozdz. 80110</t>
  </si>
  <si>
    <t xml:space="preserve">prowadzenie Środowiskowego Domu Samopomocy  dla Osób z Upośledzeniem Umysłowym </t>
  </si>
  <si>
    <t>PWP - Działalność na rzecz rozwoju gospodarczego wspierająca lokalny rynek pracy</t>
  </si>
  <si>
    <t>Pozoatała działalność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</si>
  <si>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</si>
  <si>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</si>
  <si>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2015 rok</t>
  </si>
  <si>
    <t xml:space="preserve">                  2015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</si>
  <si>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</si>
  <si>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</si>
  <si>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</si>
  <si>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</si>
  <si>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</si>
  <si>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</si>
  <si>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</si>
  <si>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</si>
  <si>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>Urząd Miejski w Koninie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</si>
  <si>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</si>
  <si>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</si>
  <si>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2012-2015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</si>
  <si>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</si>
  <si>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</si>
  <si>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</si>
  <si>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</si>
  <si>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wkład własny niepieniężny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</si>
  <si>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</si>
  <si>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</si>
  <si>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</si>
  <si>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</si>
  <si>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„Uczenie się przez całe życie” Comenius współfinansowany z Polskiej Narodowej Agencji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</si>
  <si>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</si>
  <si>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</si>
  <si>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</si>
  <si>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</si>
  <si>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 xml:space="preserve">Projekt pt. "Aktywni po pięćdziesiątce - czas na zmiany!" </t>
  </si>
  <si>
    <t>2014/2015</t>
  </si>
  <si>
    <t>Program Operacyjny Infrastruktura i Środowisko</t>
  </si>
  <si>
    <t>cel: wdrożenie i prowadzenie monitoringu realizacji działań związanych z ograniczeniem emisji CO, w mieście</t>
  </si>
  <si>
    <t xml:space="preserve">Projekt pt. -„Opracowanie Planu gospodarki niskoemisyjnej dla Miasta Konina na lata 2014 - 2020”  </t>
  </si>
  <si>
    <t xml:space="preserve">7. </t>
  </si>
  <si>
    <t>Europejski Fundusz Społeczny - Program  Operacyjny Wiedza Edukacja Rozwój</t>
  </si>
  <si>
    <t>Gimnazjum nr 2 im. Polskich Alpinistów w Koninie</t>
  </si>
  <si>
    <t xml:space="preserve">cel: Wzmocnienie kompetencji zawodowych nauczycieli poprzez udział w szkoleniach za granicą. </t>
  </si>
  <si>
    <t xml:space="preserve"> projekt Pt. "Wspólnie obudźmy lepsze jutro"</t>
  </si>
  <si>
    <t>2015-2016</t>
  </si>
  <si>
    <t>Zadania powiatu</t>
  </si>
  <si>
    <t xml:space="preserve">1. </t>
  </si>
  <si>
    <t xml:space="preserve"> I Liceum  Ogólnokształcące  im. Tadeusza Kościuszki w Koninie</t>
  </si>
  <si>
    <t>cel: nabycie kompetencji kluczowych i zawodowych przez przedstawicieli kadry pracującej w placówkach oświaty dzięki udziałowi w zagranicznych mobilnościach</t>
  </si>
  <si>
    <t xml:space="preserve"> projekt Pt. "Uczący się nauczyciele - wykształcony uczeń"</t>
  </si>
  <si>
    <t xml:space="preserve">2. </t>
  </si>
  <si>
    <t>Program Edukacyjny Erasmus+ Akcja 1 Mobilność  edukacyjna</t>
  </si>
  <si>
    <t>Zespół Szkół Budowlanych  im. Eugeniusz Kwiatkowskiego w Koninie</t>
  </si>
  <si>
    <t>cel: kształcenie uczniów w zawodach z branży budowlanej, geodezyjnej, logistycznej, gastronomicznej, hotelarskiej i mechanicznej</t>
  </si>
  <si>
    <t xml:space="preserve"> projekt Pt. "Staż dla zawodowców - zagraniczna praktyka zawodowa dla uczniów ZSB"</t>
  </si>
  <si>
    <t xml:space="preserve">3. </t>
  </si>
  <si>
    <t>Zespół Szkół Górniczo-Energetycznych im. Stanisława Staszica w Koninie</t>
  </si>
  <si>
    <t>cel: udział nauczycieli języków obcych w kursach i szkoleniach zagranicznych</t>
  </si>
  <si>
    <t xml:space="preserve"> projekt Pt. "Otwieramy się na Europę"</t>
  </si>
  <si>
    <t>Zakup ringu bokserskiego</t>
  </si>
  <si>
    <t xml:space="preserve"> - kwotę środków i dotacji na realizację zadań w ramach</t>
  </si>
  <si>
    <t>programów i projektów funduszy strukturalnych</t>
  </si>
  <si>
    <t>Rewitalizacja i zagospodarowanie Domu Zemełki oraz przeznaczenie go na potrzeby Centrum Organizacji Pozarządowych - inwentaryzacja wielobranżowa obiektu</t>
  </si>
  <si>
    <t>Program Edukacyjny Erasmus+ Akcja KA 2 Mobilność  edukacyjna</t>
  </si>
  <si>
    <t xml:space="preserve">cel: podniesienie kompetencji matematyczno-językowych przy wykorzystaniu wypracowanych innowacyjnych metod pracy oraz zastosowania technik multimedialnych dla dzieci w wieku przedszkolnym </t>
  </si>
  <si>
    <t xml:space="preserve">Projekt pt. „Pod wspólnym niebem Europy”
</t>
  </si>
  <si>
    <t>Przedszkole nr 32 z oddziałami integracyjntmi w Koninie</t>
  </si>
  <si>
    <t xml:space="preserve">8. </t>
  </si>
  <si>
    <t xml:space="preserve"> remont rzeźby „Chrystus na krzyżu”   Parafia pw. Św. Andrzeja Apostoła w Koninie – Gosławicach 
</t>
  </si>
  <si>
    <t>ZAŁĄCZNIK nr 3</t>
  </si>
  <si>
    <r>
      <t>Nr 69 Rady Miasta Konina z dnia 25 marca 2015 r.</t>
    </r>
    <r>
      <rPr>
        <sz val="12"/>
        <rFont val="Times New Roman CE"/>
        <family val="1"/>
      </rPr>
      <t xml:space="preserve">; Nr 40/2015 Prezydenta Miasta Konina z dnia </t>
    </r>
  </si>
  <si>
    <r>
      <t>26 marca 2015 r.; Nr  47/2015 Prezydenta Miasta Konina z dnia 10 kwietnia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Nr 52/2015 Prezydenta </t>
    </r>
  </si>
  <si>
    <t>Konina z dnia 6 sierpnia 2015 r.; Nr 157 Rady Miasta Konina z dnia 10 sierpnia 2015 r.;</t>
  </si>
  <si>
    <t xml:space="preserve"> Nr 113/2015 Prezydenta Miasta Konina z dnia 31 sierpnia 2015 r.;  Nr 159 Rady Miasta Konina z dnia</t>
  </si>
  <si>
    <t xml:space="preserve">11 września 2015 r.; Nr 121/2015 Prezydenta Miasta Konina z dnia 17 września 2015 r.;   </t>
  </si>
  <si>
    <t>854</t>
  </si>
  <si>
    <t>85401</t>
  </si>
  <si>
    <t>2830</t>
  </si>
  <si>
    <t>0970</t>
  </si>
  <si>
    <t>80104</t>
  </si>
  <si>
    <t>0830</t>
  </si>
  <si>
    <t>4220</t>
  </si>
  <si>
    <t>6050</t>
  </si>
  <si>
    <t>80110</t>
  </si>
  <si>
    <t>(Dz. U. z 2015 r. poz. 1515), art. 211 ustawy z dnia 27 sierpnia 2009 r. o finansach  publicznych</t>
  </si>
  <si>
    <t>853</t>
  </si>
  <si>
    <t>85395</t>
  </si>
  <si>
    <t>4560</t>
  </si>
  <si>
    <t>85311</t>
  </si>
  <si>
    <t>6060</t>
  </si>
  <si>
    <t>6300</t>
  </si>
  <si>
    <t>926</t>
  </si>
  <si>
    <t>92604</t>
  </si>
  <si>
    <t>80102</t>
  </si>
  <si>
    <t>4260</t>
  </si>
  <si>
    <t>4280</t>
  </si>
  <si>
    <t>4520</t>
  </si>
  <si>
    <t>80111</t>
  </si>
  <si>
    <t>80134</t>
  </si>
  <si>
    <t>80144</t>
  </si>
  <si>
    <t>4040</t>
  </si>
  <si>
    <t>80146</t>
  </si>
  <si>
    <t>4170</t>
  </si>
  <si>
    <t>4410</t>
  </si>
  <si>
    <t>85403</t>
  </si>
  <si>
    <t>85446</t>
  </si>
  <si>
    <t>80140</t>
  </si>
  <si>
    <t>0750</t>
  </si>
  <si>
    <t>80195</t>
  </si>
  <si>
    <t>3040</t>
  </si>
  <si>
    <r>
      <t xml:space="preserve"> Nr 128/2015 Prezydenta Miasta Konina z dnia 8 października 2015 r.; </t>
    </r>
    <r>
      <rPr>
        <b/>
        <sz val="12"/>
        <rFont val="Times New Roman"/>
        <family val="1"/>
      </rPr>
      <t>- wprowadza się następujące zmiany:</t>
    </r>
  </si>
  <si>
    <t>z dnia 28 października 2015 roku</t>
  </si>
  <si>
    <t>Wyposażenie drogi ewakuacyjnej w awaryjne oświetlenie ewakuacyjne</t>
  </si>
  <si>
    <t>w Przedszkolu nr 17</t>
  </si>
  <si>
    <t>dz. 853  rozdz.85311  § 6050   zwiększa się o kwotę</t>
  </si>
  <si>
    <t>Wyposażenie drogi ewakuacyjnej w awaryjne oświetlenie ewakuacyjne w Przedszkolu nr 17</t>
  </si>
  <si>
    <t xml:space="preserve">Rehabilitacja zawodowa i społeczna osób niepełnosprawnych </t>
  </si>
  <si>
    <t>4. W § 1 ust. 3</t>
  </si>
  <si>
    <t>5. W Załączniku Nr 2 do uchwały budżetowej dokonuje się następujących zmian:</t>
  </si>
  <si>
    <t>7. W § 1  w ust. 5</t>
  </si>
  <si>
    <t>8. Załącznik nr 5 do uchwały budżetowej obejmujący:</t>
  </si>
  <si>
    <r>
      <t xml:space="preserve">9. Załącznik nr 11 do uchwały budżetowej obejmujący  </t>
    </r>
    <r>
      <rPr>
        <i/>
        <sz val="13"/>
        <rFont val="Times New Roman"/>
        <family val="1"/>
      </rPr>
      <t>"Plan dotacji dla podmiotów  nie</t>
    </r>
  </si>
  <si>
    <t>90095</t>
  </si>
  <si>
    <t>3020</t>
  </si>
  <si>
    <t>4190</t>
  </si>
  <si>
    <t>4360</t>
  </si>
  <si>
    <t>4480</t>
  </si>
  <si>
    <t>4700</t>
  </si>
  <si>
    <t>80103</t>
  </si>
  <si>
    <t>2701</t>
  </si>
  <si>
    <t>4301</t>
  </si>
  <si>
    <t>4421</t>
  </si>
  <si>
    <t>4431</t>
  </si>
  <si>
    <t>4211</t>
  </si>
  <si>
    <t xml:space="preserve">dz.900 rozdz.90095 § 6050 </t>
  </si>
  <si>
    <t xml:space="preserve">do Uchwały nr </t>
  </si>
  <si>
    <t>Program Edukacyjny Erasmus+ Mobilność  edukacyjna</t>
  </si>
  <si>
    <t xml:space="preserve">9. </t>
  </si>
  <si>
    <t xml:space="preserve">Projekt pt. „Przekraczanie granic. Nowe podejście do integracji”
</t>
  </si>
  <si>
    <t>80149</t>
  </si>
  <si>
    <t>2540</t>
  </si>
  <si>
    <t>2590</t>
  </si>
  <si>
    <t>z dnia 28 października  2015 roku</t>
  </si>
  <si>
    <t>pkt 1)  kwotę rezerwy ogólnej</t>
  </si>
  <si>
    <t>Zakup schodołazu do budynku Centrum Informacji Miejskiej</t>
  </si>
  <si>
    <t>754</t>
  </si>
  <si>
    <t>75495</t>
  </si>
  <si>
    <t>600</t>
  </si>
  <si>
    <t>60004</t>
  </si>
  <si>
    <t>60015</t>
  </si>
  <si>
    <t>852</t>
  </si>
  <si>
    <t>85202</t>
  </si>
  <si>
    <t xml:space="preserve">Zakup i montaż wiat przystankowych  </t>
  </si>
  <si>
    <t>Lokalny transport zbiorowy</t>
  </si>
  <si>
    <t>Budowa toalety przy ul. Szpitalnej 60 w Koninie</t>
  </si>
  <si>
    <t>dz. 600 rozdz.60004 ¤ 6050  zwiększa się o kwotę</t>
  </si>
  <si>
    <t>dz. 801 rozdz.80104 § 6050  zwiększa się o kwotę</t>
  </si>
  <si>
    <t>cel: międzynarodowa wymiana młodzieży pod kątem poszukiwania nowych metod integracji w środowisku osób niepełnosprawnych, poszerzenie kompetencji</t>
  </si>
  <si>
    <t>85228</t>
  </si>
  <si>
    <t>2360</t>
  </si>
  <si>
    <t>10. W § 4 do uchwały budżetowej dokonuje się następujących zmian:</t>
  </si>
  <si>
    <t xml:space="preserve">Zmniejsza się plan wydatków o kwotę </t>
  </si>
  <si>
    <t>Druk nr  222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</si>
</sst>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88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3"/>
      <name val="Times New Roman"/>
      <family val="1"/>
    </font>
    <font>
      <sz val="9"/>
      <name val="Arial"/>
      <family val="0"/>
    </font>
    <font>
      <sz val="12"/>
      <name val="Arial"/>
      <family val="0"/>
    </font>
    <font>
      <i/>
      <sz val="16"/>
      <name val="Times New Roman"/>
      <family val="1"/>
    </font>
    <font>
      <sz val="14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b/>
      <i/>
      <sz val="16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9"/>
      <color indexed="10"/>
      <name val="Times New Roman"/>
      <family val="1"/>
    </font>
    <font>
      <sz val="12"/>
      <name val="Times New Roman CE"/>
      <family val="1"/>
    </font>
    <font>
      <sz val="16"/>
      <name val="Times New Roman"/>
      <family val="1"/>
    </font>
    <font>
      <b/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29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2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716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horizontal="right"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13" fillId="0" borderId="0" xfId="52" applyFont="1" applyFill="1">
      <alignment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3" fillId="0" borderId="0" xfId="52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27" fillId="0" borderId="0" xfId="55" applyNumberFormat="1" applyFont="1" applyFill="1">
      <alignment/>
      <protection/>
    </xf>
    <xf numFmtId="49" fontId="27" fillId="0" borderId="0" xfId="55" applyNumberFormat="1" applyFont="1" applyFill="1" applyAlignment="1">
      <alignment horizontal="center"/>
      <protection/>
    </xf>
    <xf numFmtId="0" fontId="27" fillId="0" borderId="0" xfId="0" applyFont="1" applyFill="1" applyAlignment="1">
      <alignment horizontal="left"/>
    </xf>
    <xf numFmtId="0" fontId="27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18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18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27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>
      <alignment/>
      <protection/>
    </xf>
    <xf numFmtId="49" fontId="9" fillId="0" borderId="16" xfId="52" applyNumberFormat="1" applyFont="1" applyFill="1" applyBorder="1" applyAlignment="1">
      <alignment horizontal="center"/>
      <protection/>
    </xf>
    <xf numFmtId="49" fontId="9" fillId="0" borderId="20" xfId="52" applyNumberFormat="1" applyFont="1" applyFill="1" applyBorder="1">
      <alignment/>
      <protection/>
    </xf>
    <xf numFmtId="49" fontId="9" fillId="0" borderId="17" xfId="52" applyNumberFormat="1" applyFont="1" applyFill="1" applyBorder="1" applyAlignment="1">
      <alignment horizont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17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6" applyNumberFormat="1" applyFont="1" applyFill="1">
      <alignment/>
      <protection/>
    </xf>
    <xf numFmtId="49" fontId="23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26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49" fontId="31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16" fillId="0" borderId="0" xfId="56" applyNumberFormat="1" applyFont="1" applyFill="1" applyAlignment="1">
      <alignment horizontal="right"/>
      <protection/>
    </xf>
    <xf numFmtId="0" fontId="22" fillId="0" borderId="0" xfId="52" applyFont="1" applyFill="1">
      <alignment/>
      <protection/>
    </xf>
    <xf numFmtId="4" fontId="23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Alignment="1">
      <alignment vertical="center"/>
      <protection/>
    </xf>
    <xf numFmtId="49" fontId="9" fillId="0" borderId="0" xfId="0" applyNumberFormat="1" applyFont="1" applyFill="1" applyAlignment="1">
      <alignment/>
    </xf>
    <xf numFmtId="4" fontId="6" fillId="0" borderId="0" xfId="52" applyNumberFormat="1" applyFont="1" applyFill="1" applyBorder="1" applyAlignment="1">
      <alignment horizontal="right"/>
      <protection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6" fillId="0" borderId="0" xfId="53" applyFont="1" applyFill="1">
      <alignment/>
      <protection/>
    </xf>
    <xf numFmtId="0" fontId="13" fillId="0" borderId="0" xfId="53" applyFont="1" applyFill="1" applyAlignment="1">
      <alignment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center" wrapText="1"/>
      <protection/>
    </xf>
    <xf numFmtId="4" fontId="5" fillId="0" borderId="18" xfId="52" applyNumberFormat="1" applyFont="1" applyFill="1" applyBorder="1" applyAlignment="1">
      <alignment horizontal="right" vertical="center" wrapText="1"/>
      <protection/>
    </xf>
    <xf numFmtId="0" fontId="32" fillId="0" borderId="0" xfId="0" applyFont="1" applyFill="1" applyAlignment="1">
      <alignment horizontal="center" vertical="center"/>
    </xf>
    <xf numFmtId="49" fontId="5" fillId="0" borderId="19" xfId="52" applyNumberFormat="1" applyFont="1" applyFill="1" applyBorder="1" applyAlignment="1">
      <alignment horizontal="center" vertical="center"/>
      <protection/>
    </xf>
    <xf numFmtId="4" fontId="33" fillId="0" borderId="0" xfId="0" applyNumberFormat="1" applyFont="1" applyAlignment="1">
      <alignment/>
    </xf>
    <xf numFmtId="49" fontId="15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49" fontId="3" fillId="0" borderId="0" xfId="52" applyNumberFormat="1" applyFont="1" applyFill="1" applyAlignment="1">
      <alignment horizontal="center"/>
      <protection/>
    </xf>
    <xf numFmtId="49" fontId="15" fillId="0" borderId="0" xfId="52" applyNumberFormat="1" applyFont="1" applyFill="1" applyAlignment="1">
      <alignment horizontal="left"/>
      <protection/>
    </xf>
    <xf numFmtId="0" fontId="25" fillId="0" borderId="0" xfId="53" applyFont="1" applyFill="1" applyAlignment="1">
      <alignment vertical="center"/>
      <protection/>
    </xf>
    <xf numFmtId="4" fontId="3" fillId="0" borderId="11" xfId="52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4" fontId="34" fillId="0" borderId="0" xfId="53" applyNumberFormat="1" applyFont="1" applyFill="1" applyAlignment="1">
      <alignment horizontal="right" vertical="center"/>
      <protection/>
    </xf>
    <xf numFmtId="4" fontId="3" fillId="0" borderId="13" xfId="52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/>
    </xf>
    <xf numFmtId="4" fontId="5" fillId="0" borderId="13" xfId="52" applyNumberFormat="1" applyFont="1" applyFill="1" applyBorder="1" applyAlignment="1">
      <alignment horizontal="right" vertical="top"/>
      <protection/>
    </xf>
    <xf numFmtId="4" fontId="35" fillId="0" borderId="0" xfId="0" applyNumberFormat="1" applyFont="1" applyAlignment="1">
      <alignment/>
    </xf>
    <xf numFmtId="0" fontId="36" fillId="0" borderId="0" xfId="0" applyFont="1" applyFill="1" applyAlignment="1">
      <alignment/>
    </xf>
    <xf numFmtId="4" fontId="0" fillId="0" borderId="0" xfId="0" applyNumberForma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1" fontId="20" fillId="0" borderId="0" xfId="52" applyNumberFormat="1" applyFont="1" applyFill="1" applyBorder="1" applyAlignment="1">
      <alignment horizontal="center" vertical="center"/>
      <protection/>
    </xf>
    <xf numFmtId="4" fontId="21" fillId="0" borderId="0" xfId="52" applyNumberFormat="1" applyFont="1" applyFill="1" applyBorder="1" applyAlignment="1">
      <alignment vertical="center"/>
      <protection/>
    </xf>
    <xf numFmtId="49" fontId="3" fillId="0" borderId="0" xfId="53" applyNumberFormat="1" applyFont="1" applyFill="1" applyAlignment="1">
      <alignment horizontal="center"/>
      <protection/>
    </xf>
    <xf numFmtId="0" fontId="3" fillId="0" borderId="0" xfId="52" applyFont="1" applyFill="1" applyAlignment="1">
      <alignment vertical="center"/>
      <protection/>
    </xf>
    <xf numFmtId="4" fontId="5" fillId="0" borderId="11" xfId="52" applyNumberFormat="1" applyFont="1" applyFill="1" applyBorder="1" applyAlignment="1">
      <alignment horizontal="right" vertical="center" wrapText="1"/>
      <protection/>
    </xf>
    <xf numFmtId="4" fontId="3" fillId="0" borderId="12" xfId="52" applyNumberFormat="1" applyFont="1" applyFill="1" applyBorder="1" applyAlignment="1">
      <alignment horizontal="right" vertical="center" wrapText="1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left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4" fontId="3" fillId="0" borderId="18" xfId="52" applyNumberFormat="1" applyFont="1" applyFill="1" applyBorder="1" applyAlignment="1">
      <alignment horizontal="right" vertical="top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" fontId="3" fillId="0" borderId="11" xfId="52" applyNumberFormat="1" applyFont="1" applyFill="1" applyBorder="1" applyAlignment="1">
      <alignment horizontal="right" vertical="center" wrapText="1"/>
      <protection/>
    </xf>
    <xf numFmtId="4" fontId="3" fillId="0" borderId="12" xfId="52" applyNumberFormat="1" applyFont="1" applyFill="1" applyBorder="1" applyAlignment="1">
      <alignment horizontal="right" vertical="center"/>
      <protection/>
    </xf>
    <xf numFmtId="49" fontId="16" fillId="0" borderId="0" xfId="53" applyNumberFormat="1" applyFont="1" applyFill="1">
      <alignment/>
      <protection/>
    </xf>
    <xf numFmtId="4" fontId="5" fillId="0" borderId="12" xfId="52" applyNumberFormat="1" applyFont="1" applyFill="1" applyBorder="1" applyAlignment="1">
      <alignment horizontal="right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36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24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vertical="center"/>
    </xf>
    <xf numFmtId="4" fontId="41" fillId="0" borderId="21" xfId="0" applyNumberFormat="1" applyFont="1" applyFill="1" applyBorder="1" applyAlignment="1">
      <alignment vertical="center"/>
    </xf>
    <xf numFmtId="4" fontId="42" fillId="0" borderId="0" xfId="0" applyNumberFormat="1" applyFont="1" applyFill="1" applyAlignment="1">
      <alignment/>
    </xf>
    <xf numFmtId="4" fontId="42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4" fontId="41" fillId="0" borderId="10" xfId="0" applyNumberFormat="1" applyFont="1" applyFill="1" applyBorder="1" applyAlignment="1">
      <alignment vertical="center"/>
    </xf>
    <xf numFmtId="4" fontId="41" fillId="0" borderId="13" xfId="0" applyNumberFormat="1" applyFont="1" applyFill="1" applyBorder="1" applyAlignment="1">
      <alignment vertical="center"/>
    </xf>
    <xf numFmtId="4" fontId="43" fillId="0" borderId="0" xfId="0" applyNumberFormat="1" applyFont="1" applyFill="1" applyAlignment="1">
      <alignment/>
    </xf>
    <xf numFmtId="4" fontId="43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4" fontId="40" fillId="0" borderId="13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4" fontId="24" fillId="0" borderId="13" xfId="0" applyNumberFormat="1" applyFont="1" applyFill="1" applyBorder="1" applyAlignment="1">
      <alignment vertical="center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4" fontId="41" fillId="0" borderId="10" xfId="0" applyNumberFormat="1" applyFont="1" applyFill="1" applyBorder="1" applyAlignment="1">
      <alignment vertical="center" wrapText="1"/>
    </xf>
    <xf numFmtId="4" fontId="41" fillId="0" borderId="13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 wrapText="1"/>
    </xf>
    <xf numFmtId="4" fontId="41" fillId="0" borderId="21" xfId="0" applyNumberFormat="1" applyFont="1" applyFill="1" applyBorder="1" applyAlignment="1">
      <alignment vertical="center" wrapText="1"/>
    </xf>
    <xf numFmtId="4" fontId="41" fillId="0" borderId="12" xfId="0" applyNumberFormat="1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 wrapText="1"/>
    </xf>
    <xf numFmtId="4" fontId="40" fillId="0" borderId="21" xfId="0" applyNumberFormat="1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/>
    </xf>
    <xf numFmtId="0" fontId="24" fillId="0" borderId="13" xfId="52" applyFont="1" applyFill="1" applyBorder="1" applyAlignment="1">
      <alignment vertical="center" wrapText="1"/>
      <protection/>
    </xf>
    <xf numFmtId="4" fontId="24" fillId="0" borderId="23" xfId="0" applyNumberFormat="1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 wrapText="1"/>
    </xf>
    <xf numFmtId="4" fontId="24" fillId="0" borderId="21" xfId="0" applyNumberFormat="1" applyFont="1" applyFill="1" applyBorder="1" applyAlignment="1">
      <alignment vertical="center" wrapText="1"/>
    </xf>
    <xf numFmtId="4" fontId="24" fillId="0" borderId="12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0" fontId="41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4" fillId="0" borderId="14" xfId="52" applyFont="1" applyFill="1" applyBorder="1" applyAlignment="1">
      <alignment vertical="center" wrapText="1"/>
      <protection/>
    </xf>
    <xf numFmtId="4" fontId="24" fillId="0" borderId="10" xfId="52" applyNumberFormat="1" applyFont="1" applyFill="1" applyBorder="1" applyAlignment="1">
      <alignment vertical="center"/>
      <protection/>
    </xf>
    <xf numFmtId="4" fontId="24" fillId="0" borderId="13" xfId="52" applyNumberFormat="1" applyFont="1" applyFill="1" applyBorder="1" applyAlignment="1">
      <alignment vertical="center"/>
      <protection/>
    </xf>
    <xf numFmtId="0" fontId="12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4" fontId="40" fillId="0" borderId="10" xfId="52" applyNumberFormat="1" applyFont="1" applyFill="1" applyBorder="1" applyAlignment="1">
      <alignment vertical="center"/>
      <protection/>
    </xf>
    <xf numFmtId="4" fontId="40" fillId="0" borderId="13" xfId="52" applyNumberFormat="1" applyFont="1" applyFill="1" applyBorder="1" applyAlignment="1">
      <alignment vertical="center"/>
      <protection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36" fillId="0" borderId="21" xfId="0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 wrapText="1"/>
    </xf>
    <xf numFmtId="0" fontId="24" fillId="0" borderId="10" xfId="52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24" fillId="0" borderId="19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12" fillId="0" borderId="13" xfId="0" applyFont="1" applyFill="1" applyBorder="1" applyAlignment="1">
      <alignment vertical="center"/>
    </xf>
    <xf numFmtId="0" fontId="41" fillId="0" borderId="10" xfId="52" applyFont="1" applyFill="1" applyBorder="1" applyAlignment="1">
      <alignment vertical="center" wrapText="1"/>
      <protection/>
    </xf>
    <xf numFmtId="4" fontId="41" fillId="0" borderId="10" xfId="52" applyNumberFormat="1" applyFont="1" applyFill="1" applyBorder="1" applyAlignment="1">
      <alignment vertical="center" wrapText="1"/>
      <protection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0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10" xfId="52" applyFont="1" applyFill="1" applyBorder="1" applyAlignment="1">
      <alignment vertical="center" wrapText="1"/>
      <protection/>
    </xf>
    <xf numFmtId="4" fontId="40" fillId="0" borderId="10" xfId="52" applyNumberFormat="1" applyFont="1" applyFill="1" applyBorder="1" applyAlignment="1">
      <alignment vertical="center" wrapText="1"/>
      <protection/>
    </xf>
    <xf numFmtId="4" fontId="40" fillId="0" borderId="13" xfId="52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40" fillId="0" borderId="13" xfId="52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 wrapText="1"/>
    </xf>
    <xf numFmtId="4" fontId="41" fillId="0" borderId="10" xfId="52" applyNumberFormat="1" applyFont="1" applyFill="1" applyBorder="1" applyAlignment="1">
      <alignment vertical="center"/>
      <protection/>
    </xf>
    <xf numFmtId="0" fontId="22" fillId="0" borderId="1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4" fontId="47" fillId="0" borderId="13" xfId="0" applyNumberFormat="1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/>
    </xf>
    <xf numFmtId="49" fontId="24" fillId="0" borderId="11" xfId="52" applyNumberFormat="1" applyFont="1" applyFill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13" xfId="52" applyFont="1" applyFill="1" applyBorder="1" applyAlignment="1">
      <alignment vertical="center" wrapText="1"/>
      <protection/>
    </xf>
    <xf numFmtId="0" fontId="24" fillId="0" borderId="0" xfId="0" applyFont="1" applyFill="1" applyAlignment="1">
      <alignment vertical="center" wrapText="1"/>
    </xf>
    <xf numFmtId="0" fontId="24" fillId="0" borderId="0" xfId="52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3" xfId="52" applyFont="1" applyFill="1" applyBorder="1" applyAlignment="1">
      <alignment vertical="center" wrapText="1"/>
      <protection/>
    </xf>
    <xf numFmtId="4" fontId="41" fillId="0" borderId="13" xfId="52" applyNumberFormat="1" applyFont="1" applyFill="1" applyBorder="1" applyAlignment="1">
      <alignment vertical="center" wrapText="1"/>
      <protection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0" fillId="0" borderId="22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4" fontId="24" fillId="0" borderId="10" xfId="52" applyNumberFormat="1" applyFont="1" applyFill="1" applyBorder="1" applyAlignment="1">
      <alignment vertical="center" wrapText="1"/>
      <protection/>
    </xf>
    <xf numFmtId="4" fontId="24" fillId="0" borderId="13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41" fillId="0" borderId="2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" fontId="41" fillId="0" borderId="23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" fontId="32" fillId="0" borderId="0" xfId="0" applyNumberFormat="1" applyFont="1" applyFill="1" applyAlignment="1">
      <alignment/>
    </xf>
    <xf numFmtId="4" fontId="38" fillId="0" borderId="0" xfId="0" applyNumberFormat="1" applyFont="1" applyFill="1" applyBorder="1" applyAlignment="1">
      <alignment/>
    </xf>
    <xf numFmtId="4" fontId="49" fillId="0" borderId="0" xfId="0" applyNumberFormat="1" applyFont="1" applyFill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9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0" fontId="41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54" applyFont="1" applyFill="1" applyBorder="1" applyAlignment="1">
      <alignment horizontal="left" vertical="center" wrapText="1"/>
      <protection/>
    </xf>
    <xf numFmtId="0" fontId="41" fillId="0" borderId="13" xfId="0" applyFont="1" applyFill="1" applyBorder="1" applyAlignment="1">
      <alignment horizontal="left" vertical="center" wrapText="1"/>
    </xf>
    <xf numFmtId="0" fontId="24" fillId="0" borderId="13" xfId="54" applyFont="1" applyFill="1" applyBorder="1" applyAlignment="1">
      <alignment horizontal="left" vertical="center" wrapText="1"/>
      <protection/>
    </xf>
    <xf numFmtId="0" fontId="24" fillId="0" borderId="14" xfId="54" applyFont="1" applyFill="1" applyBorder="1" applyAlignment="1">
      <alignment horizontal="left" vertical="center" wrapText="1"/>
      <protection/>
    </xf>
    <xf numFmtId="0" fontId="41" fillId="0" borderId="15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24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/>
    </xf>
    <xf numFmtId="0" fontId="37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41" fillId="0" borderId="15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4" fontId="3" fillId="0" borderId="13" xfId="52" applyNumberFormat="1" applyFont="1" applyFill="1" applyBorder="1" applyAlignment="1">
      <alignment horizontal="right" vertical="center"/>
      <protection/>
    </xf>
    <xf numFmtId="0" fontId="4" fillId="0" borderId="21" xfId="0" applyFont="1" applyFill="1" applyBorder="1" applyAlignment="1">
      <alignment horizontal="left"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5" fillId="0" borderId="11" xfId="52" applyNumberFormat="1" applyFont="1" applyFill="1" applyBorder="1" applyAlignment="1">
      <alignment horizontal="right" vertical="top"/>
      <protection/>
    </xf>
    <xf numFmtId="4" fontId="3" fillId="0" borderId="18" xfId="52" applyNumberFormat="1" applyFont="1" applyFill="1" applyBorder="1" applyAlignment="1">
      <alignment horizontal="right" vertical="center" wrapText="1"/>
      <protection/>
    </xf>
    <xf numFmtId="4" fontId="3" fillId="0" borderId="13" xfId="52" applyNumberFormat="1" applyFont="1" applyFill="1" applyBorder="1" applyAlignment="1">
      <alignment horizontal="right" vertical="center" wrapText="1"/>
      <protection/>
    </xf>
    <xf numFmtId="4" fontId="33" fillId="0" borderId="0" xfId="0" applyNumberFormat="1" applyFont="1" applyFill="1" applyAlignment="1">
      <alignment/>
    </xf>
    <xf numFmtId="4" fontId="35" fillId="0" borderId="0" xfId="0" applyNumberFormat="1" applyFont="1" applyFill="1" applyAlignment="1">
      <alignment/>
    </xf>
    <xf numFmtId="49" fontId="5" fillId="0" borderId="17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" fontId="5" fillId="0" borderId="15" xfId="52" applyNumberFormat="1" applyFont="1" applyFill="1" applyBorder="1" applyAlignment="1">
      <alignment horizontal="right" vertical="top"/>
      <protection/>
    </xf>
    <xf numFmtId="4" fontId="5" fillId="0" borderId="15" xfId="52" applyNumberFormat="1" applyFont="1" applyFill="1" applyBorder="1" applyAlignment="1">
      <alignment horizontal="right" vertical="center" wrapText="1"/>
      <protection/>
    </xf>
    <xf numFmtId="4" fontId="5" fillId="0" borderId="14" xfId="52" applyNumberFormat="1" applyFont="1" applyFill="1" applyBorder="1" applyAlignment="1">
      <alignment horizontal="right" vertical="center" wrapText="1"/>
      <protection/>
    </xf>
    <xf numFmtId="0" fontId="3" fillId="0" borderId="24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wrapText="1"/>
    </xf>
    <xf numFmtId="4" fontId="24" fillId="0" borderId="0" xfId="0" applyNumberFormat="1" applyFont="1" applyFill="1" applyAlignment="1">
      <alignment vertical="center"/>
    </xf>
    <xf numFmtId="4" fontId="24" fillId="0" borderId="13" xfId="52" applyNumberFormat="1" applyFont="1" applyFill="1" applyBorder="1" applyAlignment="1">
      <alignment vertical="center"/>
      <protection/>
    </xf>
    <xf numFmtId="0" fontId="24" fillId="0" borderId="10" xfId="52" applyFont="1" applyFill="1" applyBorder="1" applyAlignment="1">
      <alignment vertical="center" wrapText="1"/>
      <protection/>
    </xf>
    <xf numFmtId="4" fontId="24" fillId="0" borderId="10" xfId="52" applyNumberFormat="1" applyFont="1" applyFill="1" applyBorder="1" applyAlignment="1">
      <alignment vertical="center"/>
      <protection/>
    </xf>
    <xf numFmtId="0" fontId="24" fillId="0" borderId="21" xfId="52" applyFont="1" applyFill="1" applyBorder="1" applyAlignment="1">
      <alignment vertical="center" wrapText="1"/>
      <protection/>
    </xf>
    <xf numFmtId="0" fontId="51" fillId="0" borderId="0" xfId="52" applyFont="1" applyFill="1" applyAlignment="1">
      <alignment horizontal="left"/>
      <protection/>
    </xf>
    <xf numFmtId="0" fontId="33" fillId="0" borderId="0" xfId="0" applyFont="1" applyFill="1" applyAlignment="1">
      <alignment/>
    </xf>
    <xf numFmtId="0" fontId="51" fillId="0" borderId="0" xfId="58" applyFont="1" applyFill="1" applyAlignment="1">
      <alignment horizontal="left"/>
      <protection/>
    </xf>
    <xf numFmtId="0" fontId="3" fillId="0" borderId="0" xfId="58" applyFont="1" applyFill="1" applyAlignment="1">
      <alignment horizontal="left"/>
      <protection/>
    </xf>
    <xf numFmtId="4" fontId="44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40" fillId="0" borderId="22" xfId="52" applyFont="1" applyFill="1" applyBorder="1" applyAlignment="1">
      <alignment vertical="center" wrapText="1"/>
      <protection/>
    </xf>
    <xf numFmtId="0" fontId="9" fillId="0" borderId="0" xfId="57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57" applyFont="1" applyFill="1" applyBorder="1">
      <alignment/>
      <protection/>
    </xf>
    <xf numFmtId="0" fontId="24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52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24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14" xfId="53" applyFont="1" applyFill="1" applyBorder="1">
      <alignment/>
      <protection/>
    </xf>
    <xf numFmtId="0" fontId="9" fillId="0" borderId="14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4" fontId="9" fillId="0" borderId="0" xfId="53" applyNumberFormat="1" applyFont="1" applyFill="1" applyBorder="1">
      <alignment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6" fillId="0" borderId="12" xfId="53" applyFont="1" applyFill="1" applyBorder="1" applyAlignment="1">
      <alignment horizontal="center" vertical="top" wrapText="1"/>
      <protection/>
    </xf>
    <xf numFmtId="0" fontId="36" fillId="0" borderId="13" xfId="53" applyFont="1" applyFill="1" applyBorder="1" applyAlignment="1">
      <alignment horizontal="center" vertical="top" wrapText="1"/>
      <protection/>
    </xf>
    <xf numFmtId="0" fontId="36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1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4" fontId="24" fillId="0" borderId="0" xfId="53" applyNumberFormat="1" applyFont="1" applyFill="1" applyAlignment="1">
      <alignment horizontal="center" vertical="center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39" fillId="0" borderId="10" xfId="57" applyFont="1" applyFill="1" applyBorder="1" applyAlignment="1">
      <alignment horizontal="left" vertical="top"/>
      <protection/>
    </xf>
    <xf numFmtId="0" fontId="9" fillId="0" borderId="23" xfId="53" applyFont="1" applyFill="1" applyBorder="1" applyAlignment="1">
      <alignment horizontal="center" vertical="top" wrapText="1"/>
      <protection/>
    </xf>
    <xf numFmtId="0" fontId="36" fillId="0" borderId="23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0" fontId="36" fillId="0" borderId="19" xfId="0" applyFont="1" applyFill="1" applyBorder="1" applyAlignment="1">
      <alignment vertical="center"/>
    </xf>
    <xf numFmtId="4" fontId="3" fillId="0" borderId="19" xfId="53" applyNumberFormat="1" applyFont="1" applyFill="1" applyBorder="1" applyAlignment="1">
      <alignment horizontal="center" vertical="center" wrapText="1"/>
      <protection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>
      <alignment vertical="center" wrapText="1"/>
    </xf>
    <xf numFmtId="4" fontId="9" fillId="0" borderId="19" xfId="57" applyNumberFormat="1" applyFont="1" applyFill="1" applyBorder="1" applyAlignment="1">
      <alignment vertical="center"/>
      <protection/>
    </xf>
    <xf numFmtId="0" fontId="36" fillId="0" borderId="20" xfId="0" applyFont="1" applyFill="1" applyBorder="1" applyAlignment="1">
      <alignment vertical="center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4" fontId="41" fillId="0" borderId="0" xfId="0" applyNumberFormat="1" applyFont="1" applyFill="1" applyBorder="1" applyAlignment="1">
      <alignment vertical="center"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21" xfId="57" applyNumberFormat="1" applyFont="1" applyFill="1" applyBorder="1" applyAlignment="1">
      <alignment vertical="center"/>
      <protection/>
    </xf>
    <xf numFmtId="0" fontId="36" fillId="0" borderId="21" xfId="0" applyFont="1" applyFill="1" applyBorder="1" applyAlignment="1">
      <alignment vertical="center"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vertical="center" wrapText="1"/>
      <protection/>
    </xf>
    <xf numFmtId="4" fontId="11" fillId="0" borderId="0" xfId="0" applyNumberFormat="1" applyFont="1" applyFill="1" applyBorder="1" applyAlignment="1">
      <alignment vertical="center"/>
    </xf>
    <xf numFmtId="0" fontId="9" fillId="0" borderId="23" xfId="57" applyFont="1" applyFill="1" applyBorder="1" applyAlignment="1">
      <alignment vertical="center" wrapText="1"/>
      <protection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13" xfId="57" applyNumberFormat="1" applyFont="1" applyFill="1" applyBorder="1" applyAlignment="1">
      <alignment vertical="center" wrapText="1"/>
      <protection/>
    </xf>
    <xf numFmtId="4" fontId="24" fillId="0" borderId="0" xfId="0" applyNumberFormat="1" applyFont="1" applyFill="1" applyBorder="1" applyAlignment="1">
      <alignment vertical="center"/>
    </xf>
    <xf numFmtId="4" fontId="9" fillId="0" borderId="20" xfId="57" applyNumberFormat="1" applyFont="1" applyFill="1" applyBorder="1" applyAlignment="1">
      <alignment vertical="center"/>
      <protection/>
    </xf>
    <xf numFmtId="4" fontId="9" fillId="0" borderId="10" xfId="57" applyNumberFormat="1" applyFont="1" applyFill="1" applyBorder="1" applyAlignment="1">
      <alignment vertical="center" wrapText="1"/>
      <protection/>
    </xf>
    <xf numFmtId="4" fontId="24" fillId="0" borderId="0" xfId="0" applyNumberFormat="1" applyFont="1" applyFill="1" applyAlignment="1">
      <alignment/>
    </xf>
    <xf numFmtId="0" fontId="9" fillId="0" borderId="24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53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" fontId="3" fillId="33" borderId="13" xfId="0" applyNumberFormat="1" applyFont="1" applyFill="1" applyBorder="1" applyAlignment="1">
      <alignment vertical="center"/>
    </xf>
    <xf numFmtId="4" fontId="3" fillId="0" borderId="11" xfId="52" applyNumberFormat="1" applyFont="1" applyFill="1" applyBorder="1" applyAlignment="1">
      <alignment horizontal="right" vertical="top"/>
      <protection/>
    </xf>
    <xf numFmtId="49" fontId="3" fillId="0" borderId="22" xfId="52" applyNumberFormat="1" applyFont="1" applyFill="1" applyBorder="1" applyAlignment="1">
      <alignment horizontal="center" vertical="center"/>
      <protection/>
    </xf>
    <xf numFmtId="4" fontId="3" fillId="33" borderId="12" xfId="53" applyNumberFormat="1" applyFont="1" applyFill="1" applyBorder="1" applyAlignment="1">
      <alignment horizontal="center" vertical="center" wrapText="1"/>
      <protection/>
    </xf>
    <xf numFmtId="0" fontId="36" fillId="0" borderId="14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 wrapText="1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4" fontId="3" fillId="33" borderId="18" xfId="53" applyNumberFormat="1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9" fillId="33" borderId="10" xfId="57" applyFont="1" applyFill="1" applyBorder="1" applyAlignment="1">
      <alignment vertical="center" wrapText="1"/>
      <protection/>
    </xf>
    <xf numFmtId="0" fontId="36" fillId="0" borderId="17" xfId="0" applyFont="1" applyFill="1" applyBorder="1" applyAlignment="1">
      <alignment vertical="center"/>
    </xf>
    <xf numFmtId="0" fontId="36" fillId="33" borderId="18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" fontId="9" fillId="0" borderId="14" xfId="57" applyNumberFormat="1" applyFont="1" applyFill="1" applyBorder="1" applyAlignment="1">
      <alignment vertical="center"/>
      <protection/>
    </xf>
    <xf numFmtId="4" fontId="9" fillId="33" borderId="12" xfId="57" applyNumberFormat="1" applyFont="1" applyFill="1" applyBorder="1" applyAlignment="1">
      <alignment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vertical="center" wrapText="1"/>
      <protection/>
    </xf>
    <xf numFmtId="4" fontId="5" fillId="0" borderId="13" xfId="52" applyNumberFormat="1" applyFont="1" applyFill="1" applyBorder="1" applyAlignment="1">
      <alignment horizontal="right" vertical="center" wrapText="1"/>
      <protection/>
    </xf>
    <xf numFmtId="0" fontId="9" fillId="0" borderId="0" xfId="52" applyFont="1" applyFill="1" applyAlignment="1">
      <alignment horizontal="center"/>
      <protection/>
    </xf>
    <xf numFmtId="0" fontId="33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4" fontId="0" fillId="0" borderId="0" xfId="0" applyNumberFormat="1" applyFont="1" applyFill="1" applyAlignment="1">
      <alignment wrapText="1"/>
    </xf>
    <xf numFmtId="4" fontId="0" fillId="0" borderId="0" xfId="0" applyNumberFormat="1" applyFont="1" applyAlignment="1">
      <alignment wrapText="1"/>
    </xf>
    <xf numFmtId="4" fontId="5" fillId="0" borderId="13" xfId="52" applyNumberFormat="1" applyFont="1" applyFill="1" applyBorder="1" applyAlignment="1">
      <alignment horizontal="right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vertical="center"/>
      <protection/>
    </xf>
    <xf numFmtId="0" fontId="5" fillId="0" borderId="24" xfId="0" applyFont="1" applyFill="1" applyBorder="1" applyAlignment="1">
      <alignment vertical="center"/>
    </xf>
    <xf numFmtId="49" fontId="5" fillId="0" borderId="20" xfId="52" applyNumberFormat="1" applyFont="1" applyFill="1" applyBorder="1" applyAlignment="1">
      <alignment horizontal="center" vertical="center"/>
      <protection/>
    </xf>
    <xf numFmtId="4" fontId="2" fillId="0" borderId="0" xfId="52" applyNumberFormat="1" applyFont="1" applyFill="1" applyAlignment="1">
      <alignment vertical="center"/>
      <protection/>
    </xf>
    <xf numFmtId="4" fontId="3" fillId="0" borderId="18" xfId="52" applyNumberFormat="1" applyFont="1" applyFill="1" applyBorder="1" applyAlignment="1">
      <alignment horizontal="right" vertical="center"/>
      <protection/>
    </xf>
    <xf numFmtId="0" fontId="24" fillId="0" borderId="14" xfId="0" applyFont="1" applyFill="1" applyBorder="1" applyAlignment="1">
      <alignment vertical="center" wrapText="1"/>
    </xf>
    <xf numFmtId="0" fontId="24" fillId="0" borderId="22" xfId="52" applyFont="1" applyFill="1" applyBorder="1" applyAlignment="1">
      <alignment vertical="center" wrapText="1"/>
      <protection/>
    </xf>
    <xf numFmtId="4" fontId="24" fillId="34" borderId="21" xfId="0" applyNumberFormat="1" applyFont="1" applyFill="1" applyBorder="1" applyAlignment="1">
      <alignment vertical="center" wrapText="1"/>
    </xf>
    <xf numFmtId="4" fontId="24" fillId="34" borderId="10" xfId="0" applyNumberFormat="1" applyFont="1" applyFill="1" applyBorder="1" applyAlignment="1">
      <alignment vertical="center" wrapText="1"/>
    </xf>
    <xf numFmtId="0" fontId="24" fillId="33" borderId="23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vertical="center" wrapText="1"/>
    </xf>
    <xf numFmtId="4" fontId="24" fillId="33" borderId="21" xfId="0" applyNumberFormat="1" applyFont="1" applyFill="1" applyBorder="1" applyAlignment="1">
      <alignment vertical="center" wrapText="1"/>
    </xf>
    <xf numFmtId="4" fontId="24" fillId="33" borderId="12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" fontId="41" fillId="0" borderId="13" xfId="52" applyNumberFormat="1" applyFont="1" applyFill="1" applyBorder="1" applyAlignment="1">
      <alignment vertical="center"/>
      <protection/>
    </xf>
    <xf numFmtId="0" fontId="24" fillId="33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vertical="center" wrapText="1"/>
    </xf>
    <xf numFmtId="4" fontId="24" fillId="33" borderId="10" xfId="52" applyNumberFormat="1" applyFont="1" applyFill="1" applyBorder="1" applyAlignment="1">
      <alignment vertical="center"/>
      <protection/>
    </xf>
    <xf numFmtId="4" fontId="24" fillId="33" borderId="13" xfId="52" applyNumberFormat="1" applyFont="1" applyFill="1" applyBorder="1" applyAlignment="1">
      <alignment vertical="center"/>
      <protection/>
    </xf>
    <xf numFmtId="49" fontId="31" fillId="0" borderId="0" xfId="52" applyNumberFormat="1" applyFont="1" applyFill="1">
      <alignment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36" fillId="0" borderId="18" xfId="0" applyFont="1" applyFill="1" applyBorder="1" applyAlignment="1">
      <alignment vertical="center"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0" fontId="12" fillId="33" borderId="14" xfId="57" applyFont="1" applyFill="1" applyBorder="1" applyAlignment="1">
      <alignment horizontal="center" vertical="center"/>
      <protection/>
    </xf>
    <xf numFmtId="0" fontId="12" fillId="33" borderId="11" xfId="53" applyFont="1" applyFill="1" applyBorder="1" applyAlignment="1">
      <alignment vertical="center" wrapText="1"/>
      <protection/>
    </xf>
    <xf numFmtId="0" fontId="9" fillId="33" borderId="19" xfId="53" applyFont="1" applyFill="1" applyBorder="1" applyAlignment="1">
      <alignment vertical="center" wrapText="1"/>
      <protection/>
    </xf>
    <xf numFmtId="0" fontId="36" fillId="33" borderId="14" xfId="0" applyFont="1" applyFill="1" applyBorder="1" applyAlignment="1">
      <alignment vertical="center"/>
    </xf>
    <xf numFmtId="4" fontId="3" fillId="33" borderId="14" xfId="53" applyNumberFormat="1" applyFont="1" applyFill="1" applyBorder="1" applyAlignment="1">
      <alignment horizontal="center" vertical="center" wrapText="1"/>
      <protection/>
    </xf>
    <xf numFmtId="4" fontId="3" fillId="33" borderId="16" xfId="53" applyNumberFormat="1" applyFont="1" applyFill="1" applyBorder="1" applyAlignment="1">
      <alignment horizontal="center" vertical="center" wrapText="1"/>
      <protection/>
    </xf>
    <xf numFmtId="0" fontId="9" fillId="33" borderId="15" xfId="57" applyFont="1" applyFill="1" applyBorder="1" applyAlignment="1">
      <alignment horizontal="center" vertical="center"/>
      <protection/>
    </xf>
    <xf numFmtId="4" fontId="9" fillId="33" borderId="14" xfId="57" applyNumberFormat="1" applyFont="1" applyFill="1" applyBorder="1" applyAlignment="1">
      <alignment vertical="center"/>
      <protection/>
    </xf>
    <xf numFmtId="0" fontId="36" fillId="33" borderId="17" xfId="0" applyFont="1" applyFill="1" applyBorder="1" applyAlignment="1">
      <alignment vertical="center"/>
    </xf>
    <xf numFmtId="4" fontId="3" fillId="33" borderId="15" xfId="53" applyNumberFormat="1" applyFont="1" applyFill="1" applyBorder="1" applyAlignment="1">
      <alignment horizontal="center" vertical="center" wrapText="1"/>
      <protection/>
    </xf>
    <xf numFmtId="4" fontId="3" fillId="33" borderId="17" xfId="53" applyNumberFormat="1" applyFont="1" applyFill="1" applyBorder="1" applyAlignment="1">
      <alignment horizontal="center" vertical="center" wrapText="1"/>
      <protection/>
    </xf>
    <xf numFmtId="0" fontId="9" fillId="33" borderId="12" xfId="57" applyFont="1" applyFill="1" applyBorder="1" applyAlignment="1">
      <alignment horizontal="center" vertical="center"/>
      <protection/>
    </xf>
    <xf numFmtId="0" fontId="24" fillId="0" borderId="17" xfId="0" applyFont="1" applyFill="1" applyBorder="1" applyAlignment="1">
      <alignment vertical="top" wrapText="1"/>
    </xf>
    <xf numFmtId="4" fontId="3" fillId="33" borderId="16" xfId="0" applyNumberFormat="1" applyFont="1" applyFill="1" applyBorder="1" applyAlignment="1">
      <alignment vertical="center"/>
    </xf>
    <xf numFmtId="4" fontId="3" fillId="33" borderId="14" xfId="0" applyNumberFormat="1" applyFont="1" applyFill="1" applyBorder="1" applyAlignment="1">
      <alignment vertical="center"/>
    </xf>
    <xf numFmtId="4" fontId="5" fillId="0" borderId="17" xfId="52" applyNumberFormat="1" applyFont="1" applyFill="1" applyBorder="1" applyAlignment="1">
      <alignment horizontal="right" vertical="center" wrapText="1"/>
      <protection/>
    </xf>
    <xf numFmtId="4" fontId="24" fillId="33" borderId="10" xfId="0" applyNumberFormat="1" applyFont="1" applyFill="1" applyBorder="1" applyAlignment="1">
      <alignment vertical="center" wrapText="1"/>
    </xf>
    <xf numFmtId="4" fontId="24" fillId="33" borderId="23" xfId="5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4" fontId="3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40" fillId="0" borderId="10" xfId="0" applyNumberFormat="1" applyFont="1" applyFill="1" applyBorder="1" applyAlignment="1">
      <alignment vertical="center"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0" fontId="24" fillId="33" borderId="10" xfId="0" applyFont="1" applyFill="1" applyBorder="1" applyAlignment="1">
      <alignment vertical="center"/>
    </xf>
    <xf numFmtId="4" fontId="24" fillId="33" borderId="10" xfId="0" applyNumberFormat="1" applyFont="1" applyFill="1" applyBorder="1" applyAlignment="1">
      <alignment vertical="center"/>
    </xf>
    <xf numFmtId="4" fontId="24" fillId="33" borderId="13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5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81"/>
  <sheetViews>
    <sheetView tabSelected="1" zoomScale="130" zoomScaleNormal="130" zoomScalePageLayoutView="0" workbookViewId="0" topLeftCell="A1">
      <selection activeCell="G1" sqref="G1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6.421875" style="634" customWidth="1"/>
    <col min="4" max="4" width="15.28125" style="2" customWidth="1"/>
    <col min="5" max="6" width="15.57421875" style="2" customWidth="1"/>
    <col min="7" max="7" width="15.140625" style="2" customWidth="1"/>
    <col min="8" max="8" width="21.57421875" style="24" customWidth="1"/>
    <col min="9" max="9" width="9.57421875" style="540" customWidth="1"/>
    <col min="10" max="47" width="9.140625" style="540" customWidth="1"/>
    <col min="48" max="16384" width="9.140625" style="2" customWidth="1"/>
  </cols>
  <sheetData>
    <row r="1" spans="1:47" s="35" customFormat="1" ht="18.75" customHeight="1">
      <c r="A1" s="46" t="s">
        <v>77</v>
      </c>
      <c r="B1" s="47"/>
      <c r="C1" s="48"/>
      <c r="D1" s="5"/>
      <c r="E1" s="5"/>
      <c r="F1" s="5"/>
      <c r="G1" s="177" t="s">
        <v>489</v>
      </c>
      <c r="H1" s="164"/>
      <c r="I1" s="642"/>
      <c r="J1" s="642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</row>
    <row r="2" spans="1:47" s="35" customFormat="1" ht="18.75" customHeight="1">
      <c r="A2" s="46" t="s">
        <v>27</v>
      </c>
      <c r="B2" s="47"/>
      <c r="C2" s="48"/>
      <c r="D2" s="5"/>
      <c r="E2" s="5"/>
      <c r="F2" s="5"/>
      <c r="G2" s="41"/>
      <c r="H2" s="183" t="s">
        <v>296</v>
      </c>
      <c r="I2" s="642"/>
      <c r="J2" s="642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</row>
    <row r="3" spans="1:47" s="35" customFormat="1" ht="18" customHeight="1">
      <c r="A3" s="46" t="s">
        <v>0</v>
      </c>
      <c r="B3" s="47"/>
      <c r="C3" s="48"/>
      <c r="D3" s="5"/>
      <c r="E3" s="5"/>
      <c r="F3" s="5"/>
      <c r="G3" s="41"/>
      <c r="H3" s="43"/>
      <c r="I3" s="642"/>
      <c r="J3" s="642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</row>
    <row r="4" spans="1:47" s="35" customFormat="1" ht="12.75" customHeight="1">
      <c r="A4" s="40"/>
      <c r="B4" s="41"/>
      <c r="C4" s="42"/>
      <c r="D4" s="41"/>
      <c r="E4" s="41"/>
      <c r="F4" s="41"/>
      <c r="G4" s="41"/>
      <c r="H4" s="43"/>
      <c r="I4" s="642"/>
      <c r="J4" s="642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</row>
    <row r="5" spans="1:10" ht="12.75" customHeight="1">
      <c r="A5" s="23"/>
      <c r="B5" s="5"/>
      <c r="C5" s="6"/>
      <c r="D5" s="5"/>
      <c r="E5" s="5"/>
      <c r="F5" s="5"/>
      <c r="G5" s="5"/>
      <c r="H5" s="7"/>
      <c r="I5" s="643"/>
      <c r="J5" s="643"/>
    </row>
    <row r="6" spans="1:10" ht="14.25" customHeight="1">
      <c r="A6" s="23" t="s">
        <v>69</v>
      </c>
      <c r="B6" s="5"/>
      <c r="C6" s="6"/>
      <c r="D6" s="5"/>
      <c r="E6" s="5"/>
      <c r="F6" s="5"/>
      <c r="G6" s="5"/>
      <c r="H6" s="7"/>
      <c r="I6" s="643"/>
      <c r="J6" s="643"/>
    </row>
    <row r="7" spans="1:10" ht="15" customHeight="1">
      <c r="A7" s="23"/>
      <c r="B7" s="5"/>
      <c r="C7" s="6"/>
      <c r="D7" s="5"/>
      <c r="E7" s="5"/>
      <c r="F7" s="5"/>
      <c r="G7" s="5"/>
      <c r="H7" s="7"/>
      <c r="I7" s="643"/>
      <c r="J7" s="643"/>
    </row>
    <row r="8" spans="1:10" ht="18" customHeight="1">
      <c r="A8" s="5"/>
      <c r="B8" s="5"/>
      <c r="C8" s="6"/>
      <c r="D8" s="5"/>
      <c r="E8" s="5"/>
      <c r="F8" s="5"/>
      <c r="G8" s="5"/>
      <c r="H8" s="7"/>
      <c r="I8" s="643"/>
      <c r="J8" s="643"/>
    </row>
    <row r="9" spans="1:10" ht="16.5" customHeight="1">
      <c r="A9" s="49" t="s">
        <v>28</v>
      </c>
      <c r="B9" s="47"/>
      <c r="C9" s="48"/>
      <c r="D9" s="5"/>
      <c r="E9" s="5"/>
      <c r="F9" s="5"/>
      <c r="G9" s="5"/>
      <c r="H9" s="7"/>
      <c r="I9" s="643"/>
      <c r="J9" s="643"/>
    </row>
    <row r="10" spans="1:10" ht="14.25" customHeight="1">
      <c r="A10" s="49" t="s">
        <v>411</v>
      </c>
      <c r="B10" s="47"/>
      <c r="C10" s="48"/>
      <c r="D10" s="5"/>
      <c r="E10" s="5"/>
      <c r="F10" s="5"/>
      <c r="G10" s="5"/>
      <c r="H10" s="7"/>
      <c r="I10" s="643"/>
      <c r="J10" s="643"/>
    </row>
    <row r="11" spans="1:10" ht="16.5" customHeight="1">
      <c r="A11" s="49" t="s">
        <v>68</v>
      </c>
      <c r="B11" s="47"/>
      <c r="C11" s="48"/>
      <c r="D11" s="5"/>
      <c r="E11" s="5"/>
      <c r="F11" s="5"/>
      <c r="G11" s="5"/>
      <c r="H11" s="7"/>
      <c r="I11" s="643"/>
      <c r="J11" s="643"/>
    </row>
    <row r="12" spans="1:10" ht="14.25" customHeight="1">
      <c r="A12" s="49"/>
      <c r="B12" s="47"/>
      <c r="C12" s="48"/>
      <c r="D12" s="5"/>
      <c r="E12" s="5"/>
      <c r="F12" s="5"/>
      <c r="G12" s="5"/>
      <c r="H12" s="7"/>
      <c r="I12" s="643"/>
      <c r="J12" s="643"/>
    </row>
    <row r="13" spans="1:10" ht="15" customHeight="1">
      <c r="A13" s="39"/>
      <c r="B13" s="31"/>
      <c r="C13" s="630"/>
      <c r="D13" s="16"/>
      <c r="E13" s="5"/>
      <c r="F13" s="5"/>
      <c r="G13" s="5"/>
      <c r="H13" s="7"/>
      <c r="I13" s="643"/>
      <c r="J13" s="643"/>
    </row>
    <row r="14" spans="1:47" s="28" customFormat="1" ht="15.75">
      <c r="A14" s="8"/>
      <c r="B14" s="8"/>
      <c r="C14" s="30"/>
      <c r="D14" s="8"/>
      <c r="E14" s="30" t="s">
        <v>14</v>
      </c>
      <c r="F14" s="8"/>
      <c r="G14" s="8"/>
      <c r="H14" s="9"/>
      <c r="I14" s="516"/>
      <c r="J14" s="516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</row>
    <row r="15" spans="1:47" s="28" customFormat="1" ht="15.75">
      <c r="A15" s="8"/>
      <c r="B15" s="8"/>
      <c r="C15" s="30"/>
      <c r="D15" s="8"/>
      <c r="E15" s="30"/>
      <c r="F15" s="8"/>
      <c r="G15" s="8"/>
      <c r="H15" s="9"/>
      <c r="I15" s="516"/>
      <c r="J15" s="516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</row>
    <row r="16" spans="1:47" s="28" customFormat="1" ht="15.75">
      <c r="A16" s="526" t="s">
        <v>70</v>
      </c>
      <c r="B16" s="527"/>
      <c r="C16" s="631"/>
      <c r="D16" s="527"/>
      <c r="E16" s="30"/>
      <c r="F16" s="8"/>
      <c r="G16" s="8"/>
      <c r="H16" s="9"/>
      <c r="I16" s="516"/>
      <c r="J16" s="516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  <c r="AT16" s="504"/>
      <c r="AU16" s="504"/>
    </row>
    <row r="17" spans="1:47" s="28" customFormat="1" ht="15.75">
      <c r="A17" s="528" t="s">
        <v>72</v>
      </c>
      <c r="B17" s="527"/>
      <c r="C17" s="631"/>
      <c r="D17" s="527"/>
      <c r="E17" s="30"/>
      <c r="F17" s="8"/>
      <c r="G17" s="8"/>
      <c r="H17" s="9"/>
      <c r="I17" s="516"/>
      <c r="J17" s="516"/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4"/>
      <c r="AU17" s="504"/>
    </row>
    <row r="18" spans="1:47" s="28" customFormat="1" ht="15.75">
      <c r="A18" s="529" t="s">
        <v>73</v>
      </c>
      <c r="B18" s="8"/>
      <c r="C18" s="194"/>
      <c r="D18" s="8"/>
      <c r="E18" s="30"/>
      <c r="F18" s="8"/>
      <c r="G18" s="8"/>
      <c r="H18" s="9"/>
      <c r="I18" s="516"/>
      <c r="J18" s="516"/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4"/>
      <c r="AU18" s="504"/>
    </row>
    <row r="19" spans="1:47" s="28" customFormat="1" ht="15.75">
      <c r="A19" s="36" t="s">
        <v>83</v>
      </c>
      <c r="B19" s="191"/>
      <c r="C19" s="192"/>
      <c r="D19" s="193"/>
      <c r="E19" s="193"/>
      <c r="F19" s="8"/>
      <c r="G19" s="8"/>
      <c r="H19" s="9"/>
      <c r="I19" s="516"/>
      <c r="J19" s="516"/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</row>
    <row r="20" spans="1:47" s="28" customFormat="1" ht="15.75">
      <c r="A20" s="195" t="s">
        <v>80</v>
      </c>
      <c r="B20" s="31"/>
      <c r="C20" s="632"/>
      <c r="D20" s="15"/>
      <c r="E20" s="8"/>
      <c r="F20" s="8"/>
      <c r="G20" s="8"/>
      <c r="H20" s="9"/>
      <c r="I20" s="516"/>
      <c r="J20" s="516"/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</row>
    <row r="21" spans="1:47" s="28" customFormat="1" ht="15.75">
      <c r="A21" s="195" t="s">
        <v>397</v>
      </c>
      <c r="B21" s="31"/>
      <c r="C21" s="632"/>
      <c r="D21" s="15"/>
      <c r="E21" s="8"/>
      <c r="F21" s="8"/>
      <c r="H21" s="1"/>
      <c r="I21" s="516"/>
      <c r="J21" s="516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04"/>
      <c r="AS21" s="504"/>
      <c r="AT21" s="504"/>
      <c r="AU21" s="504"/>
    </row>
    <row r="22" spans="1:47" s="28" customFormat="1" ht="15.75">
      <c r="A22" s="195" t="s">
        <v>398</v>
      </c>
      <c r="B22" s="31"/>
      <c r="C22" s="632"/>
      <c r="D22" s="15"/>
      <c r="E22" s="8"/>
      <c r="F22" s="8"/>
      <c r="H22" s="1"/>
      <c r="I22" s="516"/>
      <c r="J22" s="516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/>
      <c r="AO22" s="504"/>
      <c r="AP22" s="504"/>
      <c r="AQ22" s="504"/>
      <c r="AR22" s="504"/>
      <c r="AS22" s="504"/>
      <c r="AT22" s="504"/>
      <c r="AU22" s="504"/>
    </row>
    <row r="23" spans="1:47" s="28" customFormat="1" ht="15" customHeight="1">
      <c r="A23" s="28" t="s">
        <v>302</v>
      </c>
      <c r="C23" s="633"/>
      <c r="I23" s="516"/>
      <c r="J23" s="516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04"/>
      <c r="AS23" s="504"/>
      <c r="AT23" s="504"/>
      <c r="AU23" s="504"/>
    </row>
    <row r="24" spans="1:47" s="28" customFormat="1" ht="15" customHeight="1">
      <c r="A24" s="28" t="s">
        <v>303</v>
      </c>
      <c r="B24" s="31"/>
      <c r="C24" s="632"/>
      <c r="D24" s="15"/>
      <c r="E24" s="8"/>
      <c r="I24" s="516"/>
      <c r="J24" s="516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/>
      <c r="AP24" s="504"/>
      <c r="AQ24" s="504"/>
      <c r="AR24" s="504"/>
      <c r="AS24" s="504"/>
      <c r="AT24" s="504"/>
      <c r="AU24" s="504"/>
    </row>
    <row r="25" spans="1:47" s="28" customFormat="1" ht="15" customHeight="1">
      <c r="A25" s="28" t="s">
        <v>304</v>
      </c>
      <c r="C25" s="633"/>
      <c r="I25" s="516"/>
      <c r="J25" s="516"/>
      <c r="K25" s="504"/>
      <c r="L25" s="504"/>
      <c r="M25" s="504"/>
      <c r="N25" s="504"/>
      <c r="O25" s="504"/>
      <c r="P25" s="504"/>
      <c r="Q25" s="504"/>
      <c r="R25" s="504"/>
      <c r="S25" s="504"/>
      <c r="T25" s="504"/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4"/>
      <c r="AQ25" s="504"/>
      <c r="AR25" s="504"/>
      <c r="AS25" s="504"/>
      <c r="AT25" s="504"/>
      <c r="AU25" s="504"/>
    </row>
    <row r="26" spans="1:47" s="28" customFormat="1" ht="15" customHeight="1">
      <c r="A26" s="28" t="s">
        <v>322</v>
      </c>
      <c r="C26" s="633"/>
      <c r="I26" s="516"/>
      <c r="J26" s="516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4"/>
      <c r="AS26" s="504"/>
      <c r="AT26" s="504"/>
      <c r="AU26" s="504"/>
    </row>
    <row r="27" spans="1:47" s="28" customFormat="1" ht="15" customHeight="1">
      <c r="A27" s="28" t="s">
        <v>323</v>
      </c>
      <c r="C27" s="633"/>
      <c r="I27" s="516"/>
      <c r="J27" s="516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4"/>
      <c r="AO27" s="504"/>
      <c r="AP27" s="504"/>
      <c r="AQ27" s="504"/>
      <c r="AR27" s="504"/>
      <c r="AS27" s="504"/>
      <c r="AT27" s="504"/>
      <c r="AU27" s="504"/>
    </row>
    <row r="28" spans="1:10" ht="15" customHeight="1">
      <c r="A28" s="28" t="s">
        <v>324</v>
      </c>
      <c r="B28" s="28"/>
      <c r="C28" s="633"/>
      <c r="D28" s="28"/>
      <c r="E28" s="28"/>
      <c r="F28" s="28"/>
      <c r="G28" s="28"/>
      <c r="H28" s="28"/>
      <c r="I28" s="643"/>
      <c r="J28" s="643"/>
    </row>
    <row r="29" spans="1:10" ht="15" customHeight="1">
      <c r="A29" s="28" t="s">
        <v>325</v>
      </c>
      <c r="B29" s="28"/>
      <c r="C29" s="633"/>
      <c r="D29" s="28"/>
      <c r="E29" s="28"/>
      <c r="F29" s="28"/>
      <c r="G29" s="28"/>
      <c r="H29" s="28"/>
      <c r="I29" s="643"/>
      <c r="J29" s="643"/>
    </row>
    <row r="30" spans="1:10" ht="15" customHeight="1">
      <c r="A30" s="28" t="s">
        <v>399</v>
      </c>
      <c r="B30" s="28"/>
      <c r="C30" s="633"/>
      <c r="D30" s="28"/>
      <c r="E30" s="28"/>
      <c r="F30" s="28"/>
      <c r="G30" s="28"/>
      <c r="H30" s="28"/>
      <c r="I30" s="643"/>
      <c r="J30" s="643"/>
    </row>
    <row r="31" spans="1:10" ht="15" customHeight="1">
      <c r="A31" s="28" t="s">
        <v>400</v>
      </c>
      <c r="B31" s="28"/>
      <c r="C31" s="633"/>
      <c r="D31" s="28"/>
      <c r="E31" s="28"/>
      <c r="F31" s="28"/>
      <c r="G31" s="28"/>
      <c r="H31" s="28"/>
      <c r="I31" s="643"/>
      <c r="J31" s="643"/>
    </row>
    <row r="32" spans="1:10" ht="15" customHeight="1">
      <c r="A32" s="28" t="s">
        <v>401</v>
      </c>
      <c r="B32" s="28"/>
      <c r="C32" s="633"/>
      <c r="D32" s="28"/>
      <c r="E32" s="28"/>
      <c r="F32" s="28"/>
      <c r="G32" s="28"/>
      <c r="H32" s="28"/>
      <c r="I32" s="643"/>
      <c r="J32" s="643"/>
    </row>
    <row r="33" spans="1:10" ht="15" customHeight="1">
      <c r="A33" s="28" t="s">
        <v>437</v>
      </c>
      <c r="B33" s="28"/>
      <c r="C33" s="633"/>
      <c r="D33" s="28"/>
      <c r="E33" s="28"/>
      <c r="F33" s="28"/>
      <c r="G33" s="28"/>
      <c r="H33" s="28"/>
      <c r="I33" s="643"/>
      <c r="J33" s="643"/>
    </row>
    <row r="34" spans="9:10" ht="15" customHeight="1">
      <c r="I34" s="643"/>
      <c r="J34" s="643"/>
    </row>
    <row r="35" spans="9:10" ht="15" customHeight="1">
      <c r="I35" s="643"/>
      <c r="J35" s="643"/>
    </row>
    <row r="36" spans="1:10" ht="18.75">
      <c r="A36" s="51" t="s">
        <v>29</v>
      </c>
      <c r="B36" s="50"/>
      <c r="C36" s="635"/>
      <c r="I36" s="643"/>
      <c r="J36" s="643"/>
    </row>
    <row r="37" spans="1:10" ht="15.75">
      <c r="A37" s="53"/>
      <c r="B37" s="54"/>
      <c r="C37" s="636"/>
      <c r="D37" s="26"/>
      <c r="E37" s="26"/>
      <c r="F37" s="55"/>
      <c r="H37" s="55"/>
      <c r="I37" s="643"/>
      <c r="J37" s="643"/>
    </row>
    <row r="38" spans="1:10" ht="15.75">
      <c r="A38" s="53" t="s">
        <v>30</v>
      </c>
      <c r="B38" s="54"/>
      <c r="C38" s="636"/>
      <c r="D38" s="26"/>
      <c r="E38" s="26"/>
      <c r="F38" s="55"/>
      <c r="G38" s="4"/>
      <c r="H38" s="55">
        <f>H41+H53</f>
        <v>423400769.87</v>
      </c>
      <c r="I38" s="643"/>
      <c r="J38" s="643"/>
    </row>
    <row r="39" spans="1:10" ht="15.75">
      <c r="A39" s="53" t="s">
        <v>31</v>
      </c>
      <c r="B39" s="54"/>
      <c r="C39" s="636"/>
      <c r="D39" s="26"/>
      <c r="E39" s="26"/>
      <c r="F39" s="55"/>
      <c r="G39" s="4"/>
      <c r="H39" s="55">
        <f>H42+H54</f>
        <v>423566323.87</v>
      </c>
      <c r="I39" s="643"/>
      <c r="J39" s="643"/>
    </row>
    <row r="40" spans="1:10" ht="15.75">
      <c r="A40" s="56" t="s">
        <v>32</v>
      </c>
      <c r="B40" s="57"/>
      <c r="C40" s="637"/>
      <c r="D40" s="26"/>
      <c r="E40" s="26"/>
      <c r="F40" s="55"/>
      <c r="H40" s="55"/>
      <c r="I40" s="643"/>
      <c r="J40" s="643"/>
    </row>
    <row r="41" spans="1:10" ht="15.75">
      <c r="A41" s="56"/>
      <c r="B41" s="57"/>
      <c r="C41" s="637"/>
      <c r="D41" s="26"/>
      <c r="E41" s="26"/>
      <c r="F41" s="55"/>
      <c r="H41" s="55">
        <v>309491967.39</v>
      </c>
      <c r="I41" s="643"/>
      <c r="J41" s="643"/>
    </row>
    <row r="42" spans="1:10" ht="15.75">
      <c r="A42" s="53" t="s">
        <v>64</v>
      </c>
      <c r="B42" s="54"/>
      <c r="C42" s="636"/>
      <c r="D42" s="58"/>
      <c r="E42" s="26"/>
      <c r="F42" s="1"/>
      <c r="H42" s="55">
        <f>H41-D86+F86</f>
        <v>309661864.99</v>
      </c>
      <c r="I42" s="643"/>
      <c r="J42" s="643"/>
    </row>
    <row r="43" spans="1:10" ht="15.75">
      <c r="A43" s="53" t="s">
        <v>31</v>
      </c>
      <c r="B43" s="54"/>
      <c r="C43" s="636"/>
      <c r="D43" s="58"/>
      <c r="E43" s="26"/>
      <c r="F43" s="1"/>
      <c r="H43" s="55"/>
      <c r="I43" s="643"/>
      <c r="J43" s="643"/>
    </row>
    <row r="44" spans="1:8" ht="15.75">
      <c r="A44" s="56"/>
      <c r="B44" s="50" t="s">
        <v>33</v>
      </c>
      <c r="C44" s="637"/>
      <c r="D44" s="26"/>
      <c r="E44" s="26"/>
      <c r="F44" s="1"/>
      <c r="H44" s="55"/>
    </row>
    <row r="45" spans="1:8" ht="15.75">
      <c r="A45" s="59" t="s">
        <v>34</v>
      </c>
      <c r="B45" s="54"/>
      <c r="C45" s="636"/>
      <c r="D45" s="26"/>
      <c r="E45" s="26"/>
      <c r="F45" s="1"/>
      <c r="H45" s="55">
        <v>287802907.29</v>
      </c>
    </row>
    <row r="46" spans="1:8" ht="15.75">
      <c r="A46" s="59" t="s">
        <v>31</v>
      </c>
      <c r="B46" s="54"/>
      <c r="C46" s="636"/>
      <c r="D46" s="26"/>
      <c r="E46" s="26"/>
      <c r="F46" s="1"/>
      <c r="H46" s="55">
        <f>H45-D86+F86</f>
        <v>287972804.89000005</v>
      </c>
    </row>
    <row r="47" spans="1:8" ht="15.75">
      <c r="A47" s="59"/>
      <c r="B47" s="57" t="s">
        <v>12</v>
      </c>
      <c r="C47" s="636"/>
      <c r="D47" s="26"/>
      <c r="E47" s="26"/>
      <c r="F47" s="1"/>
      <c r="H47" s="55"/>
    </row>
    <row r="48" spans="1:8" ht="15.75">
      <c r="A48" s="59"/>
      <c r="B48" s="161" t="s">
        <v>387</v>
      </c>
      <c r="C48" s="636"/>
      <c r="D48" s="26"/>
      <c r="E48" s="26"/>
      <c r="F48" s="1"/>
      <c r="H48" s="55"/>
    </row>
    <row r="49" spans="1:8" ht="15.75">
      <c r="A49" s="59"/>
      <c r="B49" s="161" t="s">
        <v>388</v>
      </c>
      <c r="C49" s="637"/>
      <c r="D49" s="26"/>
      <c r="E49" s="26"/>
      <c r="F49" s="1"/>
      <c r="H49" s="1">
        <v>1496591.06</v>
      </c>
    </row>
    <row r="50" spans="1:8" ht="15.75">
      <c r="A50" s="59"/>
      <c r="B50" s="60" t="s">
        <v>35</v>
      </c>
      <c r="C50" s="636"/>
      <c r="D50" s="26"/>
      <c r="E50" s="26"/>
      <c r="F50" s="1"/>
      <c r="H50" s="1">
        <f>H49+F84</f>
        <v>1591288.01</v>
      </c>
    </row>
    <row r="51" spans="1:8" ht="15.75">
      <c r="A51" s="59"/>
      <c r="B51" s="57"/>
      <c r="C51" s="636"/>
      <c r="D51" s="26"/>
      <c r="E51" s="26"/>
      <c r="F51" s="1"/>
      <c r="H51" s="55"/>
    </row>
    <row r="52" spans="1:8" ht="15.75">
      <c r="A52" s="59"/>
      <c r="B52" s="60"/>
      <c r="C52" s="636"/>
      <c r="D52" s="26"/>
      <c r="E52" s="26"/>
      <c r="F52" s="1"/>
      <c r="H52" s="1"/>
    </row>
    <row r="53" spans="1:8" ht="15.75">
      <c r="A53" s="53" t="s">
        <v>76</v>
      </c>
      <c r="B53" s="54"/>
      <c r="C53" s="636"/>
      <c r="D53" s="58"/>
      <c r="E53" s="26"/>
      <c r="F53" s="1"/>
      <c r="H53" s="55">
        <f>H56+H60</f>
        <v>113908802.48</v>
      </c>
    </row>
    <row r="54" spans="1:8" ht="15.75">
      <c r="A54" s="53" t="s">
        <v>31</v>
      </c>
      <c r="B54" s="54"/>
      <c r="C54" s="636"/>
      <c r="D54" s="58"/>
      <c r="E54" s="26"/>
      <c r="F54" s="1"/>
      <c r="H54" s="55">
        <f>H57+H61</f>
        <v>113904458.88000001</v>
      </c>
    </row>
    <row r="55" spans="1:8" ht="15.75">
      <c r="A55" s="56"/>
      <c r="B55" s="50" t="s">
        <v>33</v>
      </c>
      <c r="C55" s="637"/>
      <c r="D55" s="26"/>
      <c r="E55" s="26"/>
      <c r="F55" s="1"/>
      <c r="H55" s="55"/>
    </row>
    <row r="56" spans="1:8" ht="15.75">
      <c r="A56" s="59" t="s">
        <v>34</v>
      </c>
      <c r="B56" s="54"/>
      <c r="C56" s="636"/>
      <c r="D56" s="26"/>
      <c r="E56" s="26"/>
      <c r="F56" s="1"/>
      <c r="H56" s="55">
        <v>113378802.48</v>
      </c>
    </row>
    <row r="57" spans="1:8" ht="15.75">
      <c r="A57" s="59" t="s">
        <v>31</v>
      </c>
      <c r="B57" s="54"/>
      <c r="C57" s="636"/>
      <c r="D57" s="26"/>
      <c r="E57" s="26"/>
      <c r="F57" s="1"/>
      <c r="H57" s="55">
        <f>H56-D105+F105-F104</f>
        <v>113359458.88000001</v>
      </c>
    </row>
    <row r="58" spans="1:8" ht="15.75">
      <c r="A58" s="59"/>
      <c r="B58" s="60"/>
      <c r="C58" s="636"/>
      <c r="D58" s="26"/>
      <c r="E58" s="26"/>
      <c r="F58" s="1"/>
      <c r="H58" s="1"/>
    </row>
    <row r="59" spans="1:8" ht="15.75">
      <c r="A59" s="59"/>
      <c r="B59" s="60"/>
      <c r="C59" s="636"/>
      <c r="D59" s="26"/>
      <c r="E59" s="26"/>
      <c r="F59" s="1"/>
      <c r="H59" s="1"/>
    </row>
    <row r="60" spans="1:8" ht="15.75">
      <c r="A60" s="59" t="s">
        <v>84</v>
      </c>
      <c r="B60" s="54"/>
      <c r="C60" s="636"/>
      <c r="D60" s="26"/>
      <c r="E60" s="26"/>
      <c r="F60" s="1"/>
      <c r="H60" s="55">
        <v>530000</v>
      </c>
    </row>
    <row r="61" spans="1:8" ht="15.75">
      <c r="A61" s="59" t="s">
        <v>31</v>
      </c>
      <c r="B61" s="54"/>
      <c r="C61" s="636"/>
      <c r="D61" s="26"/>
      <c r="E61" s="26"/>
      <c r="F61" s="1"/>
      <c r="H61" s="55">
        <f>H60+F104</f>
        <v>545000</v>
      </c>
    </row>
    <row r="62" spans="1:8" ht="15.75">
      <c r="A62" s="59"/>
      <c r="B62" s="60"/>
      <c r="C62" s="636"/>
      <c r="D62" s="26"/>
      <c r="E62" s="26"/>
      <c r="F62" s="1"/>
      <c r="H62" s="1"/>
    </row>
    <row r="63" spans="1:8" ht="15.75">
      <c r="A63" s="59"/>
      <c r="B63" s="60"/>
      <c r="C63" s="636"/>
      <c r="D63" s="26"/>
      <c r="E63" s="26"/>
      <c r="F63" s="1"/>
      <c r="H63" s="1"/>
    </row>
    <row r="64" spans="1:8" ht="15.75">
      <c r="A64" s="59"/>
      <c r="B64" s="60"/>
      <c r="C64" s="636"/>
      <c r="D64" s="26"/>
      <c r="E64" s="26"/>
      <c r="F64" s="1"/>
      <c r="H64" s="1"/>
    </row>
    <row r="65" spans="1:8" ht="19.5">
      <c r="A65" s="63" t="s">
        <v>63</v>
      </c>
      <c r="B65" s="64"/>
      <c r="C65" s="65"/>
      <c r="D65" s="66"/>
      <c r="E65" s="66"/>
      <c r="F65" s="67"/>
      <c r="G65" s="67"/>
      <c r="H65" s="68"/>
    </row>
    <row r="66" spans="1:8" ht="19.5">
      <c r="A66" s="63"/>
      <c r="B66" s="64"/>
      <c r="C66" s="65"/>
      <c r="D66" s="66"/>
      <c r="E66" s="66"/>
      <c r="F66" s="67"/>
      <c r="G66" s="67"/>
      <c r="H66" s="68"/>
    </row>
    <row r="67" spans="1:7" ht="18.75">
      <c r="A67" s="72" t="s">
        <v>62</v>
      </c>
      <c r="B67" s="73"/>
      <c r="C67" s="74"/>
      <c r="D67" s="62"/>
      <c r="E67" s="62"/>
      <c r="F67" s="71"/>
      <c r="G67" s="71"/>
    </row>
    <row r="68" spans="1:7" ht="18.75">
      <c r="A68" s="69"/>
      <c r="B68" s="69"/>
      <c r="C68" s="70"/>
      <c r="D68" s="62"/>
      <c r="E68" s="62"/>
      <c r="F68" s="71"/>
      <c r="G68" s="71"/>
    </row>
    <row r="69" spans="1:7" ht="18.75">
      <c r="A69" s="75"/>
      <c r="B69" s="75"/>
      <c r="C69" s="76"/>
      <c r="D69" s="10" t="s">
        <v>36</v>
      </c>
      <c r="E69" s="11"/>
      <c r="F69" s="10" t="s">
        <v>37</v>
      </c>
      <c r="G69" s="11"/>
    </row>
    <row r="70" spans="1:7" ht="15" customHeight="1">
      <c r="A70" s="77"/>
      <c r="B70" s="77"/>
      <c r="C70" s="78"/>
      <c r="D70" s="12" t="s">
        <v>13</v>
      </c>
      <c r="E70" s="11" t="s">
        <v>12</v>
      </c>
      <c r="F70" s="12" t="s">
        <v>13</v>
      </c>
      <c r="G70" s="11" t="s">
        <v>12</v>
      </c>
    </row>
    <row r="71" spans="1:7" ht="21">
      <c r="A71" s="79" t="s">
        <v>15</v>
      </c>
      <c r="B71" s="79" t="s">
        <v>21</v>
      </c>
      <c r="C71" s="79" t="s">
        <v>16</v>
      </c>
      <c r="D71" s="13" t="s">
        <v>17</v>
      </c>
      <c r="E71" s="14" t="s">
        <v>18</v>
      </c>
      <c r="F71" s="13" t="s">
        <v>17</v>
      </c>
      <c r="G71" s="14" t="s">
        <v>18</v>
      </c>
    </row>
    <row r="72" spans="1:47" s="91" customFormat="1" ht="18.75">
      <c r="A72" s="82" t="s">
        <v>306</v>
      </c>
      <c r="B72" s="83"/>
      <c r="C72" s="83"/>
      <c r="D72" s="81">
        <f>D73+D74</f>
        <v>1000000</v>
      </c>
      <c r="E72" s="81"/>
      <c r="F72" s="81">
        <f>F73+F74</f>
        <v>1000000</v>
      </c>
      <c r="G72" s="95"/>
      <c r="H72" s="96"/>
      <c r="I72" s="645"/>
      <c r="J72" s="645"/>
      <c r="K72" s="645"/>
      <c r="L72" s="645"/>
      <c r="M72" s="645"/>
      <c r="N72" s="645"/>
      <c r="O72" s="645"/>
      <c r="P72" s="645"/>
      <c r="Q72" s="645"/>
      <c r="R72" s="645"/>
      <c r="S72" s="645"/>
      <c r="T72" s="645"/>
      <c r="U72" s="645"/>
      <c r="V72" s="645"/>
      <c r="W72" s="645"/>
      <c r="X72" s="645"/>
      <c r="Y72" s="645"/>
      <c r="Z72" s="645"/>
      <c r="AA72" s="645"/>
      <c r="AB72" s="645"/>
      <c r="AC72" s="645"/>
      <c r="AD72" s="645"/>
      <c r="AE72" s="645"/>
      <c r="AF72" s="645"/>
      <c r="AG72" s="645"/>
      <c r="AH72" s="645"/>
      <c r="AI72" s="645"/>
      <c r="AJ72" s="645"/>
      <c r="AK72" s="645"/>
      <c r="AL72" s="645"/>
      <c r="AM72" s="645"/>
      <c r="AN72" s="645"/>
      <c r="AO72" s="645"/>
      <c r="AP72" s="645"/>
      <c r="AQ72" s="645"/>
      <c r="AR72" s="645"/>
      <c r="AS72" s="645"/>
      <c r="AT72" s="645"/>
      <c r="AU72" s="645"/>
    </row>
    <row r="73" spans="1:7" ht="18.75">
      <c r="A73" s="84"/>
      <c r="B73" s="86" t="s">
        <v>1</v>
      </c>
      <c r="C73" s="86" t="s">
        <v>2</v>
      </c>
      <c r="D73" s="201">
        <v>1000000</v>
      </c>
      <c r="E73" s="201"/>
      <c r="F73" s="201"/>
      <c r="G73" s="201"/>
    </row>
    <row r="74" spans="1:7" ht="18.75">
      <c r="A74" s="88"/>
      <c r="B74" s="165" t="s">
        <v>3</v>
      </c>
      <c r="C74" s="165" t="s">
        <v>2</v>
      </c>
      <c r="D74" s="498"/>
      <c r="E74" s="628"/>
      <c r="F74" s="498">
        <v>1000000</v>
      </c>
      <c r="G74" s="611"/>
    </row>
    <row r="75" spans="1:47" s="91" customFormat="1" ht="18.75">
      <c r="A75" s="82" t="s">
        <v>89</v>
      </c>
      <c r="B75" s="80"/>
      <c r="C75" s="80"/>
      <c r="D75" s="505"/>
      <c r="E75" s="505"/>
      <c r="F75" s="505">
        <f>F76+F77+F80+F81+F82</f>
        <v>163557.6</v>
      </c>
      <c r="G75" s="505"/>
      <c r="H75" s="96"/>
      <c r="I75" s="645"/>
      <c r="J75" s="645"/>
      <c r="K75" s="645"/>
      <c r="L75" s="645"/>
      <c r="M75" s="645"/>
      <c r="N75" s="645"/>
      <c r="O75" s="645"/>
      <c r="P75" s="645"/>
      <c r="Q75" s="645"/>
      <c r="R75" s="645"/>
      <c r="S75" s="645"/>
      <c r="T75" s="645"/>
      <c r="U75" s="645"/>
      <c r="V75" s="645"/>
      <c r="W75" s="645"/>
      <c r="X75" s="645"/>
      <c r="Y75" s="645"/>
      <c r="Z75" s="645"/>
      <c r="AA75" s="645"/>
      <c r="AB75" s="645"/>
      <c r="AC75" s="645"/>
      <c r="AD75" s="645"/>
      <c r="AE75" s="645"/>
      <c r="AF75" s="645"/>
      <c r="AG75" s="645"/>
      <c r="AH75" s="645"/>
      <c r="AI75" s="645"/>
      <c r="AJ75" s="645"/>
      <c r="AK75" s="645"/>
      <c r="AL75" s="645"/>
      <c r="AM75" s="645"/>
      <c r="AN75" s="645"/>
      <c r="AO75" s="645"/>
      <c r="AP75" s="645"/>
      <c r="AQ75" s="645"/>
      <c r="AR75" s="645"/>
      <c r="AS75" s="645"/>
      <c r="AT75" s="645"/>
      <c r="AU75" s="645"/>
    </row>
    <row r="76" spans="1:7" ht="18.75">
      <c r="A76" s="84"/>
      <c r="B76" s="86" t="s">
        <v>91</v>
      </c>
      <c r="C76" s="86" t="s">
        <v>405</v>
      </c>
      <c r="D76" s="611"/>
      <c r="E76" s="611"/>
      <c r="F76" s="611">
        <v>3700</v>
      </c>
      <c r="G76" s="611"/>
    </row>
    <row r="77" spans="1:7" ht="18.75">
      <c r="A77" s="88"/>
      <c r="B77" s="85" t="s">
        <v>406</v>
      </c>
      <c r="C77" s="86"/>
      <c r="D77" s="201"/>
      <c r="E77" s="201"/>
      <c r="F77" s="201">
        <f>SUM(F78:F79)</f>
        <v>10660</v>
      </c>
      <c r="G77" s="201"/>
    </row>
    <row r="78" spans="1:7" ht="18.75">
      <c r="A78" s="88"/>
      <c r="B78" s="85"/>
      <c r="C78" s="86" t="s">
        <v>407</v>
      </c>
      <c r="D78" s="201"/>
      <c r="E78" s="201"/>
      <c r="F78" s="201">
        <v>4500</v>
      </c>
      <c r="G78" s="201"/>
    </row>
    <row r="79" spans="1:7" ht="18.75">
      <c r="A79" s="88"/>
      <c r="B79" s="89"/>
      <c r="C79" s="86" t="s">
        <v>405</v>
      </c>
      <c r="D79" s="201"/>
      <c r="E79" s="201"/>
      <c r="F79" s="201">
        <v>6160</v>
      </c>
      <c r="G79" s="201"/>
    </row>
    <row r="80" spans="1:7" ht="18.75">
      <c r="A80" s="88"/>
      <c r="B80" s="86" t="s">
        <v>410</v>
      </c>
      <c r="C80" s="86" t="s">
        <v>405</v>
      </c>
      <c r="D80" s="201"/>
      <c r="E80" s="201"/>
      <c r="F80" s="201">
        <f>5345+1420</f>
        <v>6765</v>
      </c>
      <c r="G80" s="201"/>
    </row>
    <row r="81" spans="1:7" ht="18.75">
      <c r="A81" s="88"/>
      <c r="B81" s="86" t="s">
        <v>309</v>
      </c>
      <c r="C81" s="86" t="s">
        <v>407</v>
      </c>
      <c r="D81" s="201"/>
      <c r="E81" s="201"/>
      <c r="F81" s="201">
        <f>15000+13000</f>
        <v>28000</v>
      </c>
      <c r="G81" s="201"/>
    </row>
    <row r="82" spans="1:7" ht="18.75">
      <c r="A82" s="88"/>
      <c r="B82" s="165" t="s">
        <v>435</v>
      </c>
      <c r="C82" s="86"/>
      <c r="D82" s="611"/>
      <c r="E82" s="611"/>
      <c r="F82" s="611">
        <f>SUM(F83:F84)</f>
        <v>114432.6</v>
      </c>
      <c r="G82" s="611"/>
    </row>
    <row r="83" spans="1:7" ht="18.75">
      <c r="A83" s="198"/>
      <c r="B83" s="84"/>
      <c r="C83" s="165" t="s">
        <v>405</v>
      </c>
      <c r="D83" s="611"/>
      <c r="E83" s="611"/>
      <c r="F83" s="611">
        <f>6575.25+6575.25+6585.15</f>
        <v>19735.65</v>
      </c>
      <c r="G83" s="611"/>
    </row>
    <row r="84" spans="1:7" ht="18.75">
      <c r="A84" s="202"/>
      <c r="B84" s="97"/>
      <c r="C84" s="86" t="s">
        <v>456</v>
      </c>
      <c r="D84" s="201"/>
      <c r="E84" s="201"/>
      <c r="F84" s="201">
        <v>94696.95</v>
      </c>
      <c r="G84" s="201"/>
    </row>
    <row r="85" spans="1:47" s="91" customFormat="1" ht="18.75">
      <c r="A85" s="207" t="s">
        <v>418</v>
      </c>
      <c r="B85" s="207" t="s">
        <v>419</v>
      </c>
      <c r="C85" s="83" t="s">
        <v>405</v>
      </c>
      <c r="D85" s="95"/>
      <c r="E85" s="95"/>
      <c r="F85" s="95">
        <v>6340</v>
      </c>
      <c r="G85" s="95"/>
      <c r="H85" s="96"/>
      <c r="I85" s="645"/>
      <c r="J85" s="645"/>
      <c r="K85" s="645"/>
      <c r="L85" s="645"/>
      <c r="M85" s="645"/>
      <c r="N85" s="645"/>
      <c r="O85" s="645"/>
      <c r="P85" s="645"/>
      <c r="Q85" s="645"/>
      <c r="R85" s="645"/>
      <c r="S85" s="645"/>
      <c r="T85" s="645"/>
      <c r="U85" s="645"/>
      <c r="V85" s="645"/>
      <c r="W85" s="645"/>
      <c r="X85" s="645"/>
      <c r="Y85" s="645"/>
      <c r="Z85" s="645"/>
      <c r="AA85" s="645"/>
      <c r="AB85" s="645"/>
      <c r="AC85" s="645"/>
      <c r="AD85" s="645"/>
      <c r="AE85" s="645"/>
      <c r="AF85" s="645"/>
      <c r="AG85" s="645"/>
      <c r="AH85" s="645"/>
      <c r="AI85" s="645"/>
      <c r="AJ85" s="645"/>
      <c r="AK85" s="645"/>
      <c r="AL85" s="645"/>
      <c r="AM85" s="645"/>
      <c r="AN85" s="645"/>
      <c r="AO85" s="645"/>
      <c r="AP85" s="645"/>
      <c r="AQ85" s="645"/>
      <c r="AR85" s="645"/>
      <c r="AS85" s="645"/>
      <c r="AT85" s="645"/>
      <c r="AU85" s="645"/>
    </row>
    <row r="86" spans="1:47" s="34" customFormat="1" ht="19.5" customHeight="1">
      <c r="A86" s="626" t="s">
        <v>22</v>
      </c>
      <c r="B86" s="627"/>
      <c r="C86" s="83"/>
      <c r="D86" s="98">
        <f>D72+D75+D85</f>
        <v>1000000</v>
      </c>
      <c r="E86" s="98">
        <f>E72+E75+E85</f>
        <v>0</v>
      </c>
      <c r="F86" s="98">
        <f>F72+F75+F85</f>
        <v>1169897.6</v>
      </c>
      <c r="G86" s="98">
        <f>G72+G75+G85</f>
        <v>0</v>
      </c>
      <c r="H86" s="94"/>
      <c r="I86" s="644"/>
      <c r="J86" s="644"/>
      <c r="K86" s="644"/>
      <c r="L86" s="644"/>
      <c r="M86" s="644"/>
      <c r="N86" s="644"/>
      <c r="O86" s="644"/>
      <c r="P86" s="644"/>
      <c r="Q86" s="644"/>
      <c r="R86" s="644"/>
      <c r="S86" s="644"/>
      <c r="T86" s="644"/>
      <c r="U86" s="644"/>
      <c r="V86" s="644"/>
      <c r="W86" s="644"/>
      <c r="X86" s="644"/>
      <c r="Y86" s="644"/>
      <c r="Z86" s="644"/>
      <c r="AA86" s="644"/>
      <c r="AB86" s="644"/>
      <c r="AC86" s="644"/>
      <c r="AD86" s="644"/>
      <c r="AE86" s="644"/>
      <c r="AF86" s="644"/>
      <c r="AG86" s="644"/>
      <c r="AH86" s="644"/>
      <c r="AI86" s="644"/>
      <c r="AJ86" s="644"/>
      <c r="AK86" s="644"/>
      <c r="AL86" s="644"/>
      <c r="AM86" s="644"/>
      <c r="AN86" s="644"/>
      <c r="AO86" s="644"/>
      <c r="AP86" s="644"/>
      <c r="AQ86" s="644"/>
      <c r="AR86" s="644"/>
      <c r="AS86" s="644"/>
      <c r="AT86" s="644"/>
      <c r="AU86" s="644"/>
    </row>
    <row r="87" spans="1:47" s="34" customFormat="1" ht="19.5" customHeight="1">
      <c r="A87" s="92"/>
      <c r="B87" s="93"/>
      <c r="C87" s="93"/>
      <c r="D87" s="94"/>
      <c r="E87" s="94"/>
      <c r="F87" s="94"/>
      <c r="G87" s="94"/>
      <c r="I87" s="644"/>
      <c r="J87" s="644"/>
      <c r="K87" s="644"/>
      <c r="L87" s="644"/>
      <c r="M87" s="644"/>
      <c r="N87" s="644"/>
      <c r="O87" s="644"/>
      <c r="P87" s="644"/>
      <c r="Q87" s="644"/>
      <c r="R87" s="644"/>
      <c r="S87" s="644"/>
      <c r="T87" s="644"/>
      <c r="U87" s="644"/>
      <c r="V87" s="644"/>
      <c r="W87" s="644"/>
      <c r="X87" s="644"/>
      <c r="Y87" s="644"/>
      <c r="Z87" s="644"/>
      <c r="AA87" s="644"/>
      <c r="AB87" s="644"/>
      <c r="AC87" s="644"/>
      <c r="AD87" s="644"/>
      <c r="AE87" s="644"/>
      <c r="AF87" s="644"/>
      <c r="AG87" s="644"/>
      <c r="AH87" s="644"/>
      <c r="AI87" s="644"/>
      <c r="AJ87" s="644"/>
      <c r="AK87" s="644"/>
      <c r="AL87" s="644"/>
      <c r="AM87" s="644"/>
      <c r="AN87" s="644"/>
      <c r="AO87" s="644"/>
      <c r="AP87" s="644"/>
      <c r="AQ87" s="644"/>
      <c r="AR87" s="644"/>
      <c r="AS87" s="644"/>
      <c r="AT87" s="644"/>
      <c r="AU87" s="644"/>
    </row>
    <row r="88" spans="1:47" s="34" customFormat="1" ht="19.5" customHeight="1">
      <c r="A88" s="92"/>
      <c r="B88" s="93"/>
      <c r="C88" s="93"/>
      <c r="D88" s="94"/>
      <c r="E88" s="94"/>
      <c r="F88" s="94"/>
      <c r="G88" s="94"/>
      <c r="I88" s="644"/>
      <c r="J88" s="644"/>
      <c r="K88" s="644"/>
      <c r="L88" s="644"/>
      <c r="M88" s="644"/>
      <c r="N88" s="644"/>
      <c r="O88" s="644"/>
      <c r="P88" s="644"/>
      <c r="Q88" s="644"/>
      <c r="R88" s="644"/>
      <c r="S88" s="644"/>
      <c r="T88" s="644"/>
      <c r="U88" s="644"/>
      <c r="V88" s="644"/>
      <c r="W88" s="644"/>
      <c r="X88" s="644"/>
      <c r="Y88" s="644"/>
      <c r="Z88" s="644"/>
      <c r="AA88" s="644"/>
      <c r="AB88" s="644"/>
      <c r="AC88" s="644"/>
      <c r="AD88" s="644"/>
      <c r="AE88" s="644"/>
      <c r="AF88" s="644"/>
      <c r="AG88" s="644"/>
      <c r="AH88" s="644"/>
      <c r="AI88" s="644"/>
      <c r="AJ88" s="644"/>
      <c r="AK88" s="644"/>
      <c r="AL88" s="644"/>
      <c r="AM88" s="644"/>
      <c r="AN88" s="644"/>
      <c r="AO88" s="644"/>
      <c r="AP88" s="644"/>
      <c r="AQ88" s="644"/>
      <c r="AR88" s="644"/>
      <c r="AS88" s="644"/>
      <c r="AT88" s="644"/>
      <c r="AU88" s="644"/>
    </row>
    <row r="89" spans="1:47" s="34" customFormat="1" ht="19.5" customHeight="1">
      <c r="A89" s="63" t="s">
        <v>75</v>
      </c>
      <c r="B89" s="64"/>
      <c r="C89" s="65"/>
      <c r="D89" s="66"/>
      <c r="E89" s="66"/>
      <c r="F89" s="67"/>
      <c r="G89" s="67"/>
      <c r="H89" s="68"/>
      <c r="I89" s="644"/>
      <c r="J89" s="644"/>
      <c r="K89" s="644"/>
      <c r="L89" s="644"/>
      <c r="M89" s="644"/>
      <c r="N89" s="644"/>
      <c r="O89" s="644"/>
      <c r="P89" s="644"/>
      <c r="Q89" s="644"/>
      <c r="R89" s="644"/>
      <c r="S89" s="644"/>
      <c r="T89" s="644"/>
      <c r="U89" s="644"/>
      <c r="V89" s="644"/>
      <c r="W89" s="644"/>
      <c r="X89" s="644"/>
      <c r="Y89" s="644"/>
      <c r="Z89" s="644"/>
      <c r="AA89" s="644"/>
      <c r="AB89" s="644"/>
      <c r="AC89" s="644"/>
      <c r="AD89" s="644"/>
      <c r="AE89" s="644"/>
      <c r="AF89" s="644"/>
      <c r="AG89" s="644"/>
      <c r="AH89" s="644"/>
      <c r="AI89" s="644"/>
      <c r="AJ89" s="644"/>
      <c r="AK89" s="644"/>
      <c r="AL89" s="644"/>
      <c r="AM89" s="644"/>
      <c r="AN89" s="644"/>
      <c r="AO89" s="644"/>
      <c r="AP89" s="644"/>
      <c r="AQ89" s="644"/>
      <c r="AR89" s="644"/>
      <c r="AS89" s="644"/>
      <c r="AT89" s="644"/>
      <c r="AU89" s="644"/>
    </row>
    <row r="90" spans="1:47" s="34" customFormat="1" ht="19.5" customHeight="1">
      <c r="A90" s="63"/>
      <c r="B90" s="64"/>
      <c r="C90" s="65"/>
      <c r="D90" s="66"/>
      <c r="E90" s="66"/>
      <c r="F90" s="67"/>
      <c r="G90" s="67"/>
      <c r="H90" s="68"/>
      <c r="I90" s="644"/>
      <c r="J90" s="644"/>
      <c r="K90" s="644"/>
      <c r="L90" s="644"/>
      <c r="M90" s="644"/>
      <c r="N90" s="644"/>
      <c r="O90" s="644"/>
      <c r="P90" s="644"/>
      <c r="Q90" s="644"/>
      <c r="R90" s="644"/>
      <c r="S90" s="644"/>
      <c r="T90" s="644"/>
      <c r="U90" s="644"/>
      <c r="V90" s="644"/>
      <c r="W90" s="644"/>
      <c r="X90" s="644"/>
      <c r="Y90" s="644"/>
      <c r="Z90" s="644"/>
      <c r="AA90" s="644"/>
      <c r="AB90" s="644"/>
      <c r="AC90" s="644"/>
      <c r="AD90" s="644"/>
      <c r="AE90" s="644"/>
      <c r="AF90" s="644"/>
      <c r="AG90" s="644"/>
      <c r="AH90" s="644"/>
      <c r="AI90" s="644"/>
      <c r="AJ90" s="644"/>
      <c r="AK90" s="644"/>
      <c r="AL90" s="644"/>
      <c r="AM90" s="644"/>
      <c r="AN90" s="644"/>
      <c r="AO90" s="644"/>
      <c r="AP90" s="644"/>
      <c r="AQ90" s="644"/>
      <c r="AR90" s="644"/>
      <c r="AS90" s="644"/>
      <c r="AT90" s="644"/>
      <c r="AU90" s="644"/>
    </row>
    <row r="91" spans="1:47" s="34" customFormat="1" ht="19.5" customHeight="1">
      <c r="A91" s="63"/>
      <c r="B91" s="64"/>
      <c r="C91" s="65"/>
      <c r="D91" s="66"/>
      <c r="E91" s="66"/>
      <c r="F91" s="67"/>
      <c r="G91" s="67"/>
      <c r="H91" s="68"/>
      <c r="I91" s="644"/>
      <c r="J91" s="644"/>
      <c r="K91" s="644"/>
      <c r="L91" s="644"/>
      <c r="M91" s="644"/>
      <c r="N91" s="644"/>
      <c r="O91" s="644"/>
      <c r="P91" s="644"/>
      <c r="Q91" s="644"/>
      <c r="R91" s="644"/>
      <c r="S91" s="644"/>
      <c r="T91" s="644"/>
      <c r="U91" s="644"/>
      <c r="V91" s="644"/>
      <c r="W91" s="644"/>
      <c r="X91" s="644"/>
      <c r="Y91" s="644"/>
      <c r="Z91" s="644"/>
      <c r="AA91" s="644"/>
      <c r="AB91" s="644"/>
      <c r="AC91" s="644"/>
      <c r="AD91" s="644"/>
      <c r="AE91" s="644"/>
      <c r="AF91" s="644"/>
      <c r="AG91" s="644"/>
      <c r="AH91" s="644"/>
      <c r="AI91" s="644"/>
      <c r="AJ91" s="644"/>
      <c r="AK91" s="644"/>
      <c r="AL91" s="644"/>
      <c r="AM91" s="644"/>
      <c r="AN91" s="644"/>
      <c r="AO91" s="644"/>
      <c r="AP91" s="644"/>
      <c r="AQ91" s="644"/>
      <c r="AR91" s="644"/>
      <c r="AS91" s="644"/>
      <c r="AT91" s="644"/>
      <c r="AU91" s="644"/>
    </row>
    <row r="92" spans="1:47" s="34" customFormat="1" ht="19.5" customHeight="1">
      <c r="A92" s="72" t="s">
        <v>78</v>
      </c>
      <c r="B92" s="73"/>
      <c r="C92" s="74"/>
      <c r="D92" s="62"/>
      <c r="E92" s="62"/>
      <c r="F92" s="71"/>
      <c r="G92" s="71"/>
      <c r="H92" s="24"/>
      <c r="I92" s="644"/>
      <c r="J92" s="644"/>
      <c r="K92" s="644"/>
      <c r="L92" s="644"/>
      <c r="M92" s="644"/>
      <c r="N92" s="644"/>
      <c r="O92" s="644"/>
      <c r="P92" s="644"/>
      <c r="Q92" s="644"/>
      <c r="R92" s="644"/>
      <c r="S92" s="644"/>
      <c r="T92" s="644"/>
      <c r="U92" s="644"/>
      <c r="V92" s="644"/>
      <c r="W92" s="644"/>
      <c r="X92" s="644"/>
      <c r="Y92" s="644"/>
      <c r="Z92" s="644"/>
      <c r="AA92" s="644"/>
      <c r="AB92" s="644"/>
      <c r="AC92" s="644"/>
      <c r="AD92" s="644"/>
      <c r="AE92" s="644"/>
      <c r="AF92" s="644"/>
      <c r="AG92" s="644"/>
      <c r="AH92" s="644"/>
      <c r="AI92" s="644"/>
      <c r="AJ92" s="644"/>
      <c r="AK92" s="644"/>
      <c r="AL92" s="644"/>
      <c r="AM92" s="644"/>
      <c r="AN92" s="644"/>
      <c r="AO92" s="644"/>
      <c r="AP92" s="644"/>
      <c r="AQ92" s="644"/>
      <c r="AR92" s="644"/>
      <c r="AS92" s="644"/>
      <c r="AT92" s="644"/>
      <c r="AU92" s="644"/>
    </row>
    <row r="93" spans="1:47" s="34" customFormat="1" ht="19.5" customHeight="1">
      <c r="A93" s="69"/>
      <c r="B93" s="69"/>
      <c r="C93" s="70"/>
      <c r="D93" s="62"/>
      <c r="E93" s="62"/>
      <c r="F93" s="71"/>
      <c r="G93" s="71"/>
      <c r="H93" s="24"/>
      <c r="I93" s="644"/>
      <c r="J93" s="644"/>
      <c r="K93" s="644"/>
      <c r="L93" s="644"/>
      <c r="M93" s="644"/>
      <c r="N93" s="644"/>
      <c r="O93" s="644"/>
      <c r="P93" s="644"/>
      <c r="Q93" s="644"/>
      <c r="R93" s="644"/>
      <c r="S93" s="644"/>
      <c r="T93" s="644"/>
      <c r="U93" s="644"/>
      <c r="V93" s="644"/>
      <c r="W93" s="644"/>
      <c r="X93" s="644"/>
      <c r="Y93" s="644"/>
      <c r="Z93" s="644"/>
      <c r="AA93" s="644"/>
      <c r="AB93" s="644"/>
      <c r="AC93" s="644"/>
      <c r="AD93" s="644"/>
      <c r="AE93" s="644"/>
      <c r="AF93" s="644"/>
      <c r="AG93" s="644"/>
      <c r="AH93" s="644"/>
      <c r="AI93" s="644"/>
      <c r="AJ93" s="644"/>
      <c r="AK93" s="644"/>
      <c r="AL93" s="644"/>
      <c r="AM93" s="644"/>
      <c r="AN93" s="644"/>
      <c r="AO93" s="644"/>
      <c r="AP93" s="644"/>
      <c r="AQ93" s="644"/>
      <c r="AR93" s="644"/>
      <c r="AS93" s="644"/>
      <c r="AT93" s="644"/>
      <c r="AU93" s="644"/>
    </row>
    <row r="94" spans="1:47" s="34" customFormat="1" ht="19.5" customHeight="1">
      <c r="A94" s="75"/>
      <c r="B94" s="75"/>
      <c r="C94" s="76"/>
      <c r="D94" s="10" t="s">
        <v>36</v>
      </c>
      <c r="E94" s="11"/>
      <c r="F94" s="10" t="s">
        <v>37</v>
      </c>
      <c r="G94" s="11"/>
      <c r="H94" s="24"/>
      <c r="I94" s="644"/>
      <c r="J94" s="644"/>
      <c r="K94" s="644"/>
      <c r="L94" s="644"/>
      <c r="M94" s="644"/>
      <c r="N94" s="644"/>
      <c r="O94" s="644"/>
      <c r="P94" s="644"/>
      <c r="Q94" s="644"/>
      <c r="R94" s="644"/>
      <c r="S94" s="644"/>
      <c r="T94" s="644"/>
      <c r="U94" s="644"/>
      <c r="V94" s="644"/>
      <c r="W94" s="644"/>
      <c r="X94" s="644"/>
      <c r="Y94" s="644"/>
      <c r="Z94" s="644"/>
      <c r="AA94" s="644"/>
      <c r="AB94" s="644"/>
      <c r="AC94" s="644"/>
      <c r="AD94" s="644"/>
      <c r="AE94" s="644"/>
      <c r="AF94" s="644"/>
      <c r="AG94" s="644"/>
      <c r="AH94" s="644"/>
      <c r="AI94" s="644"/>
      <c r="AJ94" s="644"/>
      <c r="AK94" s="644"/>
      <c r="AL94" s="644"/>
      <c r="AM94" s="644"/>
      <c r="AN94" s="644"/>
      <c r="AO94" s="644"/>
      <c r="AP94" s="644"/>
      <c r="AQ94" s="644"/>
      <c r="AR94" s="644"/>
      <c r="AS94" s="644"/>
      <c r="AT94" s="644"/>
      <c r="AU94" s="644"/>
    </row>
    <row r="95" spans="1:47" s="34" customFormat="1" ht="19.5" customHeight="1">
      <c r="A95" s="77"/>
      <c r="B95" s="77"/>
      <c r="C95" s="78"/>
      <c r="D95" s="12" t="s">
        <v>13</v>
      </c>
      <c r="E95" s="11" t="s">
        <v>12</v>
      </c>
      <c r="F95" s="12" t="s">
        <v>13</v>
      </c>
      <c r="G95" s="11" t="s">
        <v>12</v>
      </c>
      <c r="H95" s="24"/>
      <c r="I95" s="644"/>
      <c r="J95" s="644"/>
      <c r="K95" s="644"/>
      <c r="L95" s="644"/>
      <c r="M95" s="644"/>
      <c r="N95" s="644"/>
      <c r="O95" s="644"/>
      <c r="P95" s="644"/>
      <c r="Q95" s="644"/>
      <c r="R95" s="644"/>
      <c r="S95" s="644"/>
      <c r="T95" s="644"/>
      <c r="U95" s="644"/>
      <c r="V95" s="644"/>
      <c r="W95" s="644"/>
      <c r="X95" s="644"/>
      <c r="Y95" s="644"/>
      <c r="Z95" s="644"/>
      <c r="AA95" s="644"/>
      <c r="AB95" s="644"/>
      <c r="AC95" s="644"/>
      <c r="AD95" s="644"/>
      <c r="AE95" s="644"/>
      <c r="AF95" s="644"/>
      <c r="AG95" s="644"/>
      <c r="AH95" s="644"/>
      <c r="AI95" s="644"/>
      <c r="AJ95" s="644"/>
      <c r="AK95" s="644"/>
      <c r="AL95" s="644"/>
      <c r="AM95" s="644"/>
      <c r="AN95" s="644"/>
      <c r="AO95" s="644"/>
      <c r="AP95" s="644"/>
      <c r="AQ95" s="644"/>
      <c r="AR95" s="644"/>
      <c r="AS95" s="644"/>
      <c r="AT95" s="644"/>
      <c r="AU95" s="644"/>
    </row>
    <row r="96" spans="1:47" s="34" customFormat="1" ht="19.5" customHeight="1">
      <c r="A96" s="79" t="s">
        <v>15</v>
      </c>
      <c r="B96" s="79" t="s">
        <v>21</v>
      </c>
      <c r="C96" s="79" t="s">
        <v>16</v>
      </c>
      <c r="D96" s="13" t="s">
        <v>17</v>
      </c>
      <c r="E96" s="14" t="s">
        <v>18</v>
      </c>
      <c r="F96" s="13" t="s">
        <v>17</v>
      </c>
      <c r="G96" s="14" t="s">
        <v>18</v>
      </c>
      <c r="H96" s="24"/>
      <c r="I96" s="644"/>
      <c r="J96" s="644"/>
      <c r="K96" s="644"/>
      <c r="L96" s="644"/>
      <c r="M96" s="644"/>
      <c r="N96" s="644"/>
      <c r="O96" s="644"/>
      <c r="P96" s="644"/>
      <c r="Q96" s="644"/>
      <c r="R96" s="644"/>
      <c r="S96" s="644"/>
      <c r="T96" s="644"/>
      <c r="U96" s="644"/>
      <c r="V96" s="644"/>
      <c r="W96" s="644"/>
      <c r="X96" s="644"/>
      <c r="Y96" s="644"/>
      <c r="Z96" s="644"/>
      <c r="AA96" s="644"/>
      <c r="AB96" s="644"/>
      <c r="AC96" s="644"/>
      <c r="AD96" s="644"/>
      <c r="AE96" s="644"/>
      <c r="AF96" s="644"/>
      <c r="AG96" s="644"/>
      <c r="AH96" s="644"/>
      <c r="AI96" s="644"/>
      <c r="AJ96" s="644"/>
      <c r="AK96" s="644"/>
      <c r="AL96" s="644"/>
      <c r="AM96" s="644"/>
      <c r="AN96" s="644"/>
      <c r="AO96" s="644"/>
      <c r="AP96" s="644"/>
      <c r="AQ96" s="644"/>
      <c r="AR96" s="644"/>
      <c r="AS96" s="644"/>
      <c r="AT96" s="644"/>
      <c r="AU96" s="644"/>
    </row>
    <row r="97" spans="1:47" s="34" customFormat="1" ht="19.5" customHeight="1">
      <c r="A97" s="82" t="s">
        <v>89</v>
      </c>
      <c r="B97" s="118"/>
      <c r="C97" s="510"/>
      <c r="D97" s="512">
        <f>D98+D103</f>
        <v>50216</v>
      </c>
      <c r="E97" s="513"/>
      <c r="F97" s="512">
        <f>F98+F103</f>
        <v>30872.4</v>
      </c>
      <c r="G97" s="514"/>
      <c r="H97" s="503"/>
      <c r="I97" s="644"/>
      <c r="J97" s="644"/>
      <c r="K97" s="644"/>
      <c r="L97" s="644"/>
      <c r="M97" s="644"/>
      <c r="N97" s="644"/>
      <c r="O97" s="644"/>
      <c r="P97" s="644"/>
      <c r="Q97" s="644"/>
      <c r="R97" s="644"/>
      <c r="S97" s="644"/>
      <c r="T97" s="644"/>
      <c r="U97" s="644"/>
      <c r="V97" s="644"/>
      <c r="W97" s="644"/>
      <c r="X97" s="644"/>
      <c r="Y97" s="644"/>
      <c r="Z97" s="644"/>
      <c r="AA97" s="644"/>
      <c r="AB97" s="644"/>
      <c r="AC97" s="644"/>
      <c r="AD97" s="644"/>
      <c r="AE97" s="644"/>
      <c r="AF97" s="644"/>
      <c r="AG97" s="644"/>
      <c r="AH97" s="644"/>
      <c r="AI97" s="644"/>
      <c r="AJ97" s="644"/>
      <c r="AK97" s="644"/>
      <c r="AL97" s="644"/>
      <c r="AM97" s="644"/>
      <c r="AN97" s="644"/>
      <c r="AO97" s="644"/>
      <c r="AP97" s="644"/>
      <c r="AQ97" s="644"/>
      <c r="AR97" s="644"/>
      <c r="AS97" s="644"/>
      <c r="AT97" s="644"/>
      <c r="AU97" s="644"/>
    </row>
    <row r="98" spans="1:47" s="515" customFormat="1" ht="20.25" customHeight="1">
      <c r="A98" s="84"/>
      <c r="B98" s="165" t="s">
        <v>433</v>
      </c>
      <c r="C98" s="86"/>
      <c r="D98" s="184">
        <f>SUM(D99:D102)</f>
        <v>50216</v>
      </c>
      <c r="E98" s="507"/>
      <c r="F98" s="184">
        <f>SUM(F99:F102)</f>
        <v>17712</v>
      </c>
      <c r="G98" s="507"/>
      <c r="H98" s="504"/>
      <c r="I98" s="502"/>
      <c r="J98" s="502"/>
      <c r="K98" s="502"/>
      <c r="L98" s="502"/>
      <c r="M98" s="502"/>
      <c r="N98" s="502"/>
      <c r="O98" s="502"/>
      <c r="P98" s="502"/>
      <c r="Q98" s="502"/>
      <c r="R98" s="502"/>
      <c r="S98" s="502"/>
      <c r="T98" s="502"/>
      <c r="U98" s="502"/>
      <c r="V98" s="502"/>
      <c r="W98" s="502"/>
      <c r="X98" s="502"/>
      <c r="Y98" s="502"/>
      <c r="Z98" s="502"/>
      <c r="AA98" s="502"/>
      <c r="AB98" s="502"/>
      <c r="AC98" s="502"/>
      <c r="AD98" s="502"/>
      <c r="AE98" s="502"/>
      <c r="AF98" s="502"/>
      <c r="AG98" s="502"/>
      <c r="AH98" s="502"/>
      <c r="AI98" s="502"/>
      <c r="AJ98" s="502"/>
      <c r="AK98" s="502"/>
      <c r="AL98" s="502"/>
      <c r="AM98" s="502"/>
      <c r="AN98" s="502"/>
      <c r="AO98" s="502"/>
      <c r="AP98" s="502"/>
      <c r="AQ98" s="502"/>
      <c r="AR98" s="502"/>
      <c r="AS98" s="502"/>
      <c r="AT98" s="502"/>
      <c r="AU98" s="502"/>
    </row>
    <row r="99" spans="1:8" s="502" customFormat="1" ht="20.25" customHeight="1">
      <c r="A99" s="88"/>
      <c r="B99" s="89"/>
      <c r="C99" s="90" t="s">
        <v>317</v>
      </c>
      <c r="D99" s="87"/>
      <c r="E99" s="197"/>
      <c r="F99" s="87">
        <v>17042</v>
      </c>
      <c r="G99" s="506"/>
      <c r="H99" s="504"/>
    </row>
    <row r="100" spans="1:8" s="502" customFormat="1" ht="20.25" customHeight="1">
      <c r="A100" s="88"/>
      <c r="B100" s="89"/>
      <c r="C100" s="90" t="s">
        <v>434</v>
      </c>
      <c r="D100" s="87">
        <v>50036</v>
      </c>
      <c r="E100" s="197"/>
      <c r="F100" s="87"/>
      <c r="G100" s="506"/>
      <c r="H100" s="504"/>
    </row>
    <row r="101" spans="1:8" s="502" customFormat="1" ht="20.25" customHeight="1">
      <c r="A101" s="88"/>
      <c r="B101" s="89"/>
      <c r="C101" s="90" t="s">
        <v>407</v>
      </c>
      <c r="D101" s="87">
        <v>180</v>
      </c>
      <c r="E101" s="197"/>
      <c r="F101" s="87"/>
      <c r="G101" s="506"/>
      <c r="H101" s="504"/>
    </row>
    <row r="102" spans="1:8" s="502" customFormat="1" ht="20.25" customHeight="1">
      <c r="A102" s="88"/>
      <c r="B102" s="89"/>
      <c r="C102" s="90" t="s">
        <v>405</v>
      </c>
      <c r="D102" s="87"/>
      <c r="E102" s="197"/>
      <c r="F102" s="87">
        <v>670</v>
      </c>
      <c r="G102" s="506"/>
      <c r="H102" s="504"/>
    </row>
    <row r="103" spans="1:47" s="179" customFormat="1" ht="19.5" customHeight="1">
      <c r="A103" s="88"/>
      <c r="B103" s="165" t="s">
        <v>435</v>
      </c>
      <c r="C103" s="90" t="s">
        <v>405</v>
      </c>
      <c r="D103" s="87"/>
      <c r="E103" s="197"/>
      <c r="F103" s="87">
        <f>6580.2+6580.2</f>
        <v>13160.4</v>
      </c>
      <c r="G103" s="506"/>
      <c r="H103" s="28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  <c r="Y103" s="502"/>
      <c r="Z103" s="502"/>
      <c r="AA103" s="502"/>
      <c r="AB103" s="502"/>
      <c r="AC103" s="502"/>
      <c r="AD103" s="502"/>
      <c r="AE103" s="502"/>
      <c r="AF103" s="502"/>
      <c r="AG103" s="502"/>
      <c r="AH103" s="502"/>
      <c r="AI103" s="502"/>
      <c r="AJ103" s="502"/>
      <c r="AK103" s="502"/>
      <c r="AL103" s="502"/>
      <c r="AM103" s="502"/>
      <c r="AN103" s="502"/>
      <c r="AO103" s="502"/>
      <c r="AP103" s="502"/>
      <c r="AQ103" s="502"/>
      <c r="AR103" s="502"/>
      <c r="AS103" s="502"/>
      <c r="AT103" s="502"/>
      <c r="AU103" s="502"/>
    </row>
    <row r="104" spans="1:47" s="34" customFormat="1" ht="19.5" customHeight="1">
      <c r="A104" s="80" t="s">
        <v>412</v>
      </c>
      <c r="B104" s="80" t="s">
        <v>415</v>
      </c>
      <c r="C104" s="80" t="s">
        <v>417</v>
      </c>
      <c r="D104" s="187"/>
      <c r="E104" s="629"/>
      <c r="F104" s="187">
        <v>15000</v>
      </c>
      <c r="G104" s="196"/>
      <c r="H104" s="29"/>
      <c r="I104" s="644"/>
      <c r="J104" s="644"/>
      <c r="K104" s="644"/>
      <c r="L104" s="644"/>
      <c r="M104" s="644"/>
      <c r="N104" s="644"/>
      <c r="O104" s="644"/>
      <c r="P104" s="644"/>
      <c r="Q104" s="644"/>
      <c r="R104" s="644"/>
      <c r="S104" s="644"/>
      <c r="T104" s="644"/>
      <c r="U104" s="644"/>
      <c r="V104" s="644"/>
      <c r="W104" s="644"/>
      <c r="X104" s="644"/>
      <c r="Y104" s="644"/>
      <c r="Z104" s="644"/>
      <c r="AA104" s="644"/>
      <c r="AB104" s="644"/>
      <c r="AC104" s="644"/>
      <c r="AD104" s="644"/>
      <c r="AE104" s="644"/>
      <c r="AF104" s="644"/>
      <c r="AG104" s="644"/>
      <c r="AH104" s="644"/>
      <c r="AI104" s="644"/>
      <c r="AJ104" s="644"/>
      <c r="AK104" s="644"/>
      <c r="AL104" s="644"/>
      <c r="AM104" s="644"/>
      <c r="AN104" s="644"/>
      <c r="AO104" s="644"/>
      <c r="AP104" s="644"/>
      <c r="AQ104" s="644"/>
      <c r="AR104" s="644"/>
      <c r="AS104" s="644"/>
      <c r="AT104" s="644"/>
      <c r="AU104" s="644"/>
    </row>
    <row r="105" spans="1:47" s="34" customFormat="1" ht="19.5" customHeight="1">
      <c r="A105" s="199" t="s">
        <v>22</v>
      </c>
      <c r="B105" s="200"/>
      <c r="C105" s="83"/>
      <c r="D105" s="98">
        <f>D97+D104</f>
        <v>50216</v>
      </c>
      <c r="E105" s="98">
        <f>E97+E104</f>
        <v>0</v>
      </c>
      <c r="F105" s="98">
        <f>F97+F104</f>
        <v>45872.4</v>
      </c>
      <c r="G105" s="98">
        <f>G97+G104</f>
        <v>0</v>
      </c>
      <c r="H105" s="94"/>
      <c r="I105" s="644"/>
      <c r="J105" s="644"/>
      <c r="K105" s="644"/>
      <c r="L105" s="644"/>
      <c r="M105" s="644"/>
      <c r="N105" s="644"/>
      <c r="O105" s="644"/>
      <c r="P105" s="644"/>
      <c r="Q105" s="644"/>
      <c r="R105" s="644"/>
      <c r="S105" s="644"/>
      <c r="T105" s="644"/>
      <c r="U105" s="644"/>
      <c r="V105" s="644"/>
      <c r="W105" s="644"/>
      <c r="X105" s="644"/>
      <c r="Y105" s="644"/>
      <c r="Z105" s="644"/>
      <c r="AA105" s="644"/>
      <c r="AB105" s="644"/>
      <c r="AC105" s="644"/>
      <c r="AD105" s="644"/>
      <c r="AE105" s="644"/>
      <c r="AF105" s="644"/>
      <c r="AG105" s="644"/>
      <c r="AH105" s="644"/>
      <c r="AI105" s="644"/>
      <c r="AJ105" s="644"/>
      <c r="AK105" s="644"/>
      <c r="AL105" s="644"/>
      <c r="AM105" s="644"/>
      <c r="AN105" s="644"/>
      <c r="AO105" s="644"/>
      <c r="AP105" s="644"/>
      <c r="AQ105" s="644"/>
      <c r="AR105" s="644"/>
      <c r="AS105" s="644"/>
      <c r="AT105" s="644"/>
      <c r="AU105" s="644"/>
    </row>
    <row r="106" spans="1:47" s="34" customFormat="1" ht="19.5" customHeight="1">
      <c r="A106" s="92"/>
      <c r="B106" s="93"/>
      <c r="C106" s="93"/>
      <c r="D106" s="94"/>
      <c r="E106" s="94"/>
      <c r="F106" s="94"/>
      <c r="G106" s="94"/>
      <c r="I106" s="644"/>
      <c r="J106" s="644"/>
      <c r="K106" s="644"/>
      <c r="L106" s="644"/>
      <c r="M106" s="644"/>
      <c r="N106" s="644"/>
      <c r="O106" s="644"/>
      <c r="P106" s="644"/>
      <c r="Q106" s="644"/>
      <c r="R106" s="644"/>
      <c r="S106" s="644"/>
      <c r="T106" s="644"/>
      <c r="U106" s="644"/>
      <c r="V106" s="644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644"/>
      <c r="AG106" s="644"/>
      <c r="AH106" s="644"/>
      <c r="AI106" s="644"/>
      <c r="AJ106" s="644"/>
      <c r="AK106" s="644"/>
      <c r="AL106" s="644"/>
      <c r="AM106" s="644"/>
      <c r="AN106" s="644"/>
      <c r="AO106" s="644"/>
      <c r="AP106" s="644"/>
      <c r="AQ106" s="644"/>
      <c r="AR106" s="644"/>
      <c r="AS106" s="644"/>
      <c r="AT106" s="644"/>
      <c r="AU106" s="644"/>
    </row>
    <row r="107" spans="1:47" s="34" customFormat="1" ht="19.5" customHeight="1">
      <c r="A107" s="28"/>
      <c r="B107" s="28"/>
      <c r="C107" s="635"/>
      <c r="D107" s="2"/>
      <c r="E107" s="2"/>
      <c r="F107" s="2"/>
      <c r="G107" s="2"/>
      <c r="H107" s="516"/>
      <c r="I107" s="644"/>
      <c r="J107" s="644"/>
      <c r="K107" s="644"/>
      <c r="L107" s="644"/>
      <c r="M107" s="644"/>
      <c r="N107" s="644"/>
      <c r="O107" s="644"/>
      <c r="P107" s="644"/>
      <c r="Q107" s="644"/>
      <c r="R107" s="644"/>
      <c r="S107" s="644"/>
      <c r="T107" s="644"/>
      <c r="U107" s="644"/>
      <c r="V107" s="644"/>
      <c r="W107" s="644"/>
      <c r="X107" s="644"/>
      <c r="Y107" s="644"/>
      <c r="Z107" s="644"/>
      <c r="AA107" s="644"/>
      <c r="AB107" s="644"/>
      <c r="AC107" s="644"/>
      <c r="AD107" s="644"/>
      <c r="AE107" s="644"/>
      <c r="AF107" s="644"/>
      <c r="AG107" s="644"/>
      <c r="AH107" s="644"/>
      <c r="AI107" s="644"/>
      <c r="AJ107" s="644"/>
      <c r="AK107" s="644"/>
      <c r="AL107" s="644"/>
      <c r="AM107" s="644"/>
      <c r="AN107" s="644"/>
      <c r="AO107" s="644"/>
      <c r="AP107" s="644"/>
      <c r="AQ107" s="644"/>
      <c r="AR107" s="644"/>
      <c r="AS107" s="644"/>
      <c r="AT107" s="644"/>
      <c r="AU107" s="644"/>
    </row>
    <row r="108" spans="1:3" ht="18.75">
      <c r="A108" s="50"/>
      <c r="B108" s="50"/>
      <c r="C108" s="635"/>
    </row>
    <row r="109" spans="1:47" s="28" customFormat="1" ht="15.75">
      <c r="A109" s="51" t="s">
        <v>444</v>
      </c>
      <c r="B109" s="100"/>
      <c r="C109" s="101"/>
      <c r="H109" s="1"/>
      <c r="I109" s="504"/>
      <c r="J109" s="504"/>
      <c r="K109" s="504"/>
      <c r="L109" s="504"/>
      <c r="M109" s="504"/>
      <c r="N109" s="504"/>
      <c r="O109" s="504"/>
      <c r="P109" s="504"/>
      <c r="Q109" s="504"/>
      <c r="R109" s="504"/>
      <c r="S109" s="504"/>
      <c r="T109" s="504"/>
      <c r="U109" s="504"/>
      <c r="V109" s="504"/>
      <c r="W109" s="504"/>
      <c r="X109" s="504"/>
      <c r="Y109" s="504"/>
      <c r="Z109" s="504"/>
      <c r="AA109" s="504"/>
      <c r="AB109" s="504"/>
      <c r="AC109" s="504"/>
      <c r="AD109" s="504"/>
      <c r="AE109" s="504"/>
      <c r="AF109" s="504"/>
      <c r="AG109" s="504"/>
      <c r="AH109" s="504"/>
      <c r="AI109" s="504"/>
      <c r="AJ109" s="504"/>
      <c r="AK109" s="504"/>
      <c r="AL109" s="504"/>
      <c r="AM109" s="504"/>
      <c r="AN109" s="504"/>
      <c r="AO109" s="504"/>
      <c r="AP109" s="504"/>
      <c r="AQ109" s="504"/>
      <c r="AR109" s="504"/>
      <c r="AS109" s="504"/>
      <c r="AT109" s="504"/>
      <c r="AU109" s="504"/>
    </row>
    <row r="110" spans="1:8" ht="15.75">
      <c r="A110" s="99"/>
      <c r="B110" s="99"/>
      <c r="C110" s="640"/>
      <c r="D110" s="28"/>
      <c r="E110" s="28"/>
      <c r="F110" s="28"/>
      <c r="G110" s="28"/>
      <c r="H110" s="1"/>
    </row>
    <row r="111" spans="1:8" ht="18.75">
      <c r="A111" s="51"/>
      <c r="B111" s="100"/>
      <c r="C111" s="101"/>
      <c r="D111" s="16"/>
      <c r="E111" s="16"/>
      <c r="F111" s="16"/>
      <c r="G111" s="16"/>
      <c r="H111" s="17"/>
    </row>
    <row r="112" spans="1:8" ht="15.75">
      <c r="A112" s="51"/>
      <c r="B112" s="102" t="s">
        <v>38</v>
      </c>
      <c r="C112" s="103"/>
      <c r="D112" s="16"/>
      <c r="E112" s="16"/>
      <c r="F112" s="16"/>
      <c r="G112" s="16"/>
      <c r="H112" s="104">
        <f>H115+H130</f>
        <v>423012715.15000004</v>
      </c>
    </row>
    <row r="113" spans="1:8" ht="15.75">
      <c r="A113" s="51"/>
      <c r="B113" s="102" t="s">
        <v>35</v>
      </c>
      <c r="C113" s="103"/>
      <c r="D113" s="16"/>
      <c r="E113" s="16"/>
      <c r="F113" s="16"/>
      <c r="G113" s="16"/>
      <c r="H113" s="104">
        <f>H116+H131</f>
        <v>423178269.15000004</v>
      </c>
    </row>
    <row r="114" spans="1:8" ht="15.75">
      <c r="A114" s="51"/>
      <c r="B114" s="105" t="s">
        <v>33</v>
      </c>
      <c r="C114" s="101"/>
      <c r="D114" s="16"/>
      <c r="E114" s="16"/>
      <c r="F114" s="16"/>
      <c r="G114" s="16"/>
      <c r="H114" s="104"/>
    </row>
    <row r="115" spans="1:8" ht="15.75">
      <c r="A115" s="107" t="s">
        <v>39</v>
      </c>
      <c r="B115" s="107"/>
      <c r="C115" s="636"/>
      <c r="D115" s="66"/>
      <c r="E115" s="62"/>
      <c r="F115" s="62"/>
      <c r="G115" s="16"/>
      <c r="H115" s="104">
        <f>H118+H126</f>
        <v>305687417.59000003</v>
      </c>
    </row>
    <row r="116" spans="1:8" ht="15.75">
      <c r="A116" s="107"/>
      <c r="B116" s="108" t="s">
        <v>35</v>
      </c>
      <c r="C116" s="636"/>
      <c r="D116" s="66"/>
      <c r="E116" s="62"/>
      <c r="F116" s="62"/>
      <c r="G116" s="16"/>
      <c r="H116" s="104">
        <f>H119+H127</f>
        <v>305870618.83000004</v>
      </c>
    </row>
    <row r="117" spans="1:8" ht="15.75">
      <c r="A117" s="61" t="s">
        <v>13</v>
      </c>
      <c r="B117" s="61" t="s">
        <v>40</v>
      </c>
      <c r="C117" s="637"/>
      <c r="D117" s="62"/>
      <c r="E117" s="62"/>
      <c r="F117" s="62"/>
      <c r="G117" s="16"/>
      <c r="H117" s="104"/>
    </row>
    <row r="118" spans="1:8" ht="15.75">
      <c r="A118" s="109" t="s">
        <v>41</v>
      </c>
      <c r="B118" s="109"/>
      <c r="C118" s="638"/>
      <c r="D118" s="110"/>
      <c r="E118" s="62"/>
      <c r="F118" s="62"/>
      <c r="G118" s="16"/>
      <c r="H118" s="104">
        <v>266843752.74</v>
      </c>
    </row>
    <row r="119" spans="1:8" ht="15.75">
      <c r="A119" s="109"/>
      <c r="B119" s="111" t="s">
        <v>35</v>
      </c>
      <c r="C119" s="638"/>
      <c r="D119" s="110"/>
      <c r="E119" s="66"/>
      <c r="F119" s="110"/>
      <c r="G119" s="112"/>
      <c r="H119" s="104">
        <f>H118-D225+D223+F225-F149-F184</f>
        <v>267199292.98000002</v>
      </c>
    </row>
    <row r="120" spans="1:8" ht="15.75">
      <c r="A120" s="109"/>
      <c r="B120" s="111" t="s">
        <v>12</v>
      </c>
      <c r="C120" s="638"/>
      <c r="D120" s="110"/>
      <c r="E120" s="66"/>
      <c r="F120" s="110"/>
      <c r="G120" s="16"/>
      <c r="H120" s="104"/>
    </row>
    <row r="121" spans="1:8" ht="15.75">
      <c r="A121" s="109"/>
      <c r="B121" s="163" t="s">
        <v>65</v>
      </c>
      <c r="C121" s="639"/>
      <c r="D121" s="62"/>
      <c r="E121" s="66"/>
      <c r="F121" s="110"/>
      <c r="G121" s="16"/>
      <c r="H121" s="104"/>
    </row>
    <row r="122" spans="1:8" ht="15.75">
      <c r="A122" s="109"/>
      <c r="B122" s="163" t="s">
        <v>66</v>
      </c>
      <c r="C122" s="639"/>
      <c r="D122" s="62"/>
      <c r="E122" s="66"/>
      <c r="F122" s="110"/>
      <c r="G122" s="16"/>
      <c r="H122" s="106">
        <v>1567898.49</v>
      </c>
    </row>
    <row r="123" spans="1:8" ht="15.75">
      <c r="A123" s="109"/>
      <c r="B123" s="205" t="s">
        <v>35</v>
      </c>
      <c r="C123" s="638"/>
      <c r="D123" s="110"/>
      <c r="E123" s="66"/>
      <c r="F123" s="110"/>
      <c r="G123" s="16"/>
      <c r="H123" s="106">
        <f>H122+F210+F211+F212+F213</f>
        <v>1579498.49</v>
      </c>
    </row>
    <row r="124" spans="1:8" ht="15.75">
      <c r="A124" s="59"/>
      <c r="B124" s="60"/>
      <c r="C124" s="636"/>
      <c r="D124" s="26"/>
      <c r="E124" s="66"/>
      <c r="F124" s="110"/>
      <c r="G124" s="16"/>
      <c r="H124" s="104"/>
    </row>
    <row r="125" spans="1:8" ht="15.75">
      <c r="A125" s="109"/>
      <c r="B125" s="111"/>
      <c r="C125" s="638"/>
      <c r="D125" s="110"/>
      <c r="E125" s="66"/>
      <c r="F125" s="110"/>
      <c r="G125" s="16"/>
      <c r="H125" s="104"/>
    </row>
    <row r="126" spans="1:8" ht="15.75">
      <c r="A126" s="109" t="s">
        <v>42</v>
      </c>
      <c r="B126" s="109"/>
      <c r="C126" s="636"/>
      <c r="D126" s="110"/>
      <c r="E126" s="66"/>
      <c r="F126" s="110"/>
      <c r="G126" s="16"/>
      <c r="H126" s="104">
        <v>38843664.85</v>
      </c>
    </row>
    <row r="127" spans="1:8" ht="15.75">
      <c r="A127" s="109"/>
      <c r="B127" s="111" t="s">
        <v>35</v>
      </c>
      <c r="C127" s="636"/>
      <c r="D127" s="110"/>
      <c r="E127" s="66"/>
      <c r="F127" s="110"/>
      <c r="G127" s="16"/>
      <c r="H127" s="104">
        <f>H126-D223+F184+F149</f>
        <v>38671325.85</v>
      </c>
    </row>
    <row r="128" spans="1:8" ht="15.75">
      <c r="A128" s="109"/>
      <c r="B128" s="111"/>
      <c r="C128" s="636"/>
      <c r="D128" s="110"/>
      <c r="E128" s="66"/>
      <c r="F128" s="110"/>
      <c r="G128" s="16"/>
      <c r="H128" s="104"/>
    </row>
    <row r="129" spans="1:8" ht="15.75">
      <c r="A129" s="109"/>
      <c r="B129" s="111"/>
      <c r="C129" s="636"/>
      <c r="D129" s="110"/>
      <c r="E129" s="66"/>
      <c r="F129" s="110"/>
      <c r="G129" s="16"/>
      <c r="H129" s="104"/>
    </row>
    <row r="130" spans="1:8" ht="15.75">
      <c r="A130" s="107" t="s">
        <v>43</v>
      </c>
      <c r="B130" s="107"/>
      <c r="C130" s="636"/>
      <c r="D130" s="66"/>
      <c r="E130" s="66"/>
      <c r="F130" s="110"/>
      <c r="G130" s="16"/>
      <c r="H130" s="104">
        <f>H133+H137</f>
        <v>117325297.56</v>
      </c>
    </row>
    <row r="131" spans="1:8" ht="15.75">
      <c r="A131" s="107"/>
      <c r="B131" s="108" t="s">
        <v>35</v>
      </c>
      <c r="C131" s="636"/>
      <c r="D131" s="66"/>
      <c r="E131" s="66"/>
      <c r="F131" s="110"/>
      <c r="H131" s="55">
        <f>H134+H138</f>
        <v>117307650.32000001</v>
      </c>
    </row>
    <row r="132" spans="1:8" ht="15.75">
      <c r="A132" s="61" t="s">
        <v>13</v>
      </c>
      <c r="B132" s="61" t="s">
        <v>40</v>
      </c>
      <c r="C132" s="637"/>
      <c r="D132" s="62"/>
      <c r="E132" s="66"/>
      <c r="F132" s="110"/>
      <c r="H132" s="55"/>
    </row>
    <row r="133" spans="1:8" ht="15.75">
      <c r="A133" s="109" t="s">
        <v>41</v>
      </c>
      <c r="B133" s="109"/>
      <c r="C133" s="638"/>
      <c r="D133" s="110"/>
      <c r="E133" s="66"/>
      <c r="F133" s="110"/>
      <c r="G133" s="16"/>
      <c r="H133" s="104">
        <v>107373199.26</v>
      </c>
    </row>
    <row r="134" spans="1:8" ht="15.75">
      <c r="A134" s="109"/>
      <c r="B134" s="111" t="s">
        <v>35</v>
      </c>
      <c r="C134" s="638"/>
      <c r="D134" s="110"/>
      <c r="E134" s="66"/>
      <c r="F134" s="110"/>
      <c r="G134" s="16"/>
      <c r="H134" s="104">
        <f>H133-D294+F294-F279</f>
        <v>107338552.02000001</v>
      </c>
    </row>
    <row r="135" spans="1:8" ht="15.75">
      <c r="A135" s="109"/>
      <c r="B135" s="111"/>
      <c r="C135" s="638"/>
      <c r="D135" s="110"/>
      <c r="E135" s="66"/>
      <c r="F135" s="110"/>
      <c r="G135" s="16"/>
      <c r="H135" s="104"/>
    </row>
    <row r="136" spans="1:8" ht="15.75">
      <c r="A136" s="109"/>
      <c r="B136" s="111"/>
      <c r="C136" s="638"/>
      <c r="D136" s="110"/>
      <c r="E136" s="66"/>
      <c r="F136" s="110"/>
      <c r="G136" s="16"/>
      <c r="H136" s="104"/>
    </row>
    <row r="137" spans="1:8" ht="15.75">
      <c r="A137" s="109" t="s">
        <v>42</v>
      </c>
      <c r="B137" s="109"/>
      <c r="C137" s="636"/>
      <c r="D137" s="110"/>
      <c r="E137" s="66"/>
      <c r="F137" s="110"/>
      <c r="G137" s="16"/>
      <c r="H137" s="104">
        <v>9952098.3</v>
      </c>
    </row>
    <row r="138" spans="1:8" ht="15.75">
      <c r="A138" s="109"/>
      <c r="B138" s="111" t="s">
        <v>35</v>
      </c>
      <c r="C138" s="636"/>
      <c r="D138" s="110"/>
      <c r="E138" s="66"/>
      <c r="F138" s="110"/>
      <c r="G138" s="16"/>
      <c r="H138" s="104">
        <f>H137+F279</f>
        <v>9969098.3</v>
      </c>
    </row>
    <row r="139" spans="1:8" ht="15.75">
      <c r="A139" s="109"/>
      <c r="B139" s="111"/>
      <c r="C139" s="638"/>
      <c r="D139" s="110"/>
      <c r="E139" s="66"/>
      <c r="F139" s="110"/>
      <c r="G139" s="16"/>
      <c r="H139" s="104"/>
    </row>
    <row r="140" spans="1:8" ht="18.75">
      <c r="A140" s="113" t="s">
        <v>26</v>
      </c>
      <c r="B140" s="114"/>
      <c r="C140" s="115"/>
      <c r="D140" s="18"/>
      <c r="E140" s="18"/>
      <c r="F140" s="18"/>
      <c r="G140" s="18"/>
      <c r="H140" s="21"/>
    </row>
    <row r="141" spans="1:8" ht="18.75">
      <c r="A141" s="113"/>
      <c r="B141" s="114"/>
      <c r="C141" s="115"/>
      <c r="D141" s="18"/>
      <c r="E141" s="18"/>
      <c r="F141" s="18"/>
      <c r="G141" s="18"/>
      <c r="H141" s="21"/>
    </row>
    <row r="142" spans="1:8" ht="15" customHeight="1">
      <c r="A142" s="113"/>
      <c r="B142" s="114"/>
      <c r="C142" s="115"/>
      <c r="D142" s="18"/>
      <c r="E142" s="18"/>
      <c r="F142" s="18"/>
      <c r="G142" s="18"/>
      <c r="H142" s="21"/>
    </row>
    <row r="143" spans="1:8" ht="18.75">
      <c r="A143" s="116" t="s">
        <v>445</v>
      </c>
      <c r="B143" s="116"/>
      <c r="C143" s="117"/>
      <c r="D143" s="19"/>
      <c r="E143" s="19"/>
      <c r="F143" s="19"/>
      <c r="G143" s="19"/>
      <c r="H143" s="17"/>
    </row>
    <row r="144" spans="1:8" ht="15" customHeight="1">
      <c r="A144" s="116"/>
      <c r="B144" s="116"/>
      <c r="C144" s="117"/>
      <c r="D144" s="19"/>
      <c r="E144" s="19"/>
      <c r="F144" s="19"/>
      <c r="G144" s="19"/>
      <c r="H144" s="17"/>
    </row>
    <row r="145" spans="1:8" ht="18.75">
      <c r="A145" s="75"/>
      <c r="B145" s="75"/>
      <c r="C145" s="76"/>
      <c r="D145" s="10" t="s">
        <v>10</v>
      </c>
      <c r="E145" s="11"/>
      <c r="F145" s="10" t="s">
        <v>11</v>
      </c>
      <c r="G145" s="11"/>
      <c r="H145" s="17"/>
    </row>
    <row r="146" spans="1:8" ht="13.5" customHeight="1">
      <c r="A146" s="77"/>
      <c r="B146" s="77"/>
      <c r="C146" s="78"/>
      <c r="D146" s="12" t="s">
        <v>13</v>
      </c>
      <c r="E146" s="11" t="s">
        <v>12</v>
      </c>
      <c r="F146" s="12" t="s">
        <v>13</v>
      </c>
      <c r="G146" s="11" t="s">
        <v>12</v>
      </c>
      <c r="H146" s="17"/>
    </row>
    <row r="147" spans="1:8" ht="27.75" customHeight="1">
      <c r="A147" s="79" t="s">
        <v>15</v>
      </c>
      <c r="B147" s="79" t="s">
        <v>21</v>
      </c>
      <c r="C147" s="79" t="s">
        <v>16</v>
      </c>
      <c r="D147" s="13" t="s">
        <v>17</v>
      </c>
      <c r="E147" s="14" t="s">
        <v>18</v>
      </c>
      <c r="F147" s="13" t="s">
        <v>17</v>
      </c>
      <c r="G147" s="14" t="s">
        <v>18</v>
      </c>
      <c r="H147" s="17"/>
    </row>
    <row r="148" spans="1:47" s="34" customFormat="1" ht="19.5" customHeight="1">
      <c r="A148" s="80" t="s">
        <v>9</v>
      </c>
      <c r="B148" s="83" t="s">
        <v>4</v>
      </c>
      <c r="C148" s="166" t="s">
        <v>5</v>
      </c>
      <c r="D148" s="81"/>
      <c r="E148" s="167"/>
      <c r="F148" s="81">
        <v>1000</v>
      </c>
      <c r="G148" s="168"/>
      <c r="H148" s="29"/>
      <c r="I148" s="644"/>
      <c r="J148" s="644"/>
      <c r="K148" s="644"/>
      <c r="L148" s="644"/>
      <c r="M148" s="644"/>
      <c r="N148" s="644"/>
      <c r="O148" s="644"/>
      <c r="P148" s="644"/>
      <c r="Q148" s="644"/>
      <c r="R148" s="644"/>
      <c r="S148" s="644"/>
      <c r="T148" s="644"/>
      <c r="U148" s="644"/>
      <c r="V148" s="644"/>
      <c r="W148" s="644"/>
      <c r="X148" s="644"/>
      <c r="Y148" s="644"/>
      <c r="Z148" s="644"/>
      <c r="AA148" s="644"/>
      <c r="AB148" s="644"/>
      <c r="AC148" s="644"/>
      <c r="AD148" s="644"/>
      <c r="AE148" s="644"/>
      <c r="AF148" s="644"/>
      <c r="AG148" s="644"/>
      <c r="AH148" s="644"/>
      <c r="AI148" s="644"/>
      <c r="AJ148" s="644"/>
      <c r="AK148" s="644"/>
      <c r="AL148" s="644"/>
      <c r="AM148" s="644"/>
      <c r="AN148" s="644"/>
      <c r="AO148" s="644"/>
      <c r="AP148" s="644"/>
      <c r="AQ148" s="644"/>
      <c r="AR148" s="644"/>
      <c r="AS148" s="644"/>
      <c r="AT148" s="644"/>
      <c r="AU148" s="644"/>
    </row>
    <row r="149" spans="1:47" s="34" customFormat="1" ht="19.5" customHeight="1">
      <c r="A149" s="82" t="s">
        <v>474</v>
      </c>
      <c r="B149" s="118" t="s">
        <v>475</v>
      </c>
      <c r="C149" s="80" t="s">
        <v>409</v>
      </c>
      <c r="D149" s="187"/>
      <c r="E149" s="167"/>
      <c r="F149" s="81">
        <v>13500</v>
      </c>
      <c r="G149" s="690"/>
      <c r="H149" s="29"/>
      <c r="I149" s="644"/>
      <c r="J149" s="644"/>
      <c r="K149" s="644"/>
      <c r="L149" s="644"/>
      <c r="M149" s="644"/>
      <c r="N149" s="644"/>
      <c r="O149" s="644"/>
      <c r="P149" s="644"/>
      <c r="Q149" s="644"/>
      <c r="R149" s="644"/>
      <c r="S149" s="644"/>
      <c r="T149" s="644"/>
      <c r="U149" s="644"/>
      <c r="V149" s="644"/>
      <c r="W149" s="644"/>
      <c r="X149" s="644"/>
      <c r="Y149" s="644"/>
      <c r="Z149" s="644"/>
      <c r="AA149" s="644"/>
      <c r="AB149" s="644"/>
      <c r="AC149" s="644"/>
      <c r="AD149" s="644"/>
      <c r="AE149" s="644"/>
      <c r="AF149" s="644"/>
      <c r="AG149" s="644"/>
      <c r="AH149" s="644"/>
      <c r="AI149" s="644"/>
      <c r="AJ149" s="644"/>
      <c r="AK149" s="644"/>
      <c r="AL149" s="644"/>
      <c r="AM149" s="644"/>
      <c r="AN149" s="644"/>
      <c r="AO149" s="644"/>
      <c r="AP149" s="644"/>
      <c r="AQ149" s="644"/>
      <c r="AR149" s="644"/>
      <c r="AS149" s="644"/>
      <c r="AT149" s="644"/>
      <c r="AU149" s="644"/>
    </row>
    <row r="150" spans="1:47" s="34" customFormat="1" ht="19.5" customHeight="1">
      <c r="A150" s="82" t="s">
        <v>307</v>
      </c>
      <c r="B150" s="118" t="s">
        <v>308</v>
      </c>
      <c r="C150" s="80" t="s">
        <v>92</v>
      </c>
      <c r="D150" s="187">
        <v>1000</v>
      </c>
      <c r="E150" s="629"/>
      <c r="F150" s="187"/>
      <c r="G150" s="514"/>
      <c r="H150" s="503"/>
      <c r="I150" s="644"/>
      <c r="J150" s="644"/>
      <c r="K150" s="644"/>
      <c r="L150" s="644"/>
      <c r="M150" s="644"/>
      <c r="N150" s="644"/>
      <c r="O150" s="644"/>
      <c r="P150" s="644"/>
      <c r="Q150" s="644"/>
      <c r="R150" s="644"/>
      <c r="S150" s="644"/>
      <c r="T150" s="644"/>
      <c r="U150" s="644"/>
      <c r="V150" s="644"/>
      <c r="W150" s="644"/>
      <c r="X150" s="644"/>
      <c r="Y150" s="644"/>
      <c r="Z150" s="644"/>
      <c r="AA150" s="644"/>
      <c r="AB150" s="644"/>
      <c r="AC150" s="644"/>
      <c r="AD150" s="644"/>
      <c r="AE150" s="644"/>
      <c r="AF150" s="644"/>
      <c r="AG150" s="644"/>
      <c r="AH150" s="644"/>
      <c r="AI150" s="644"/>
      <c r="AJ150" s="644"/>
      <c r="AK150" s="644"/>
      <c r="AL150" s="644"/>
      <c r="AM150" s="644"/>
      <c r="AN150" s="644"/>
      <c r="AO150" s="644"/>
      <c r="AP150" s="644"/>
      <c r="AQ150" s="644"/>
      <c r="AR150" s="644"/>
      <c r="AS150" s="644"/>
      <c r="AT150" s="644"/>
      <c r="AU150" s="644"/>
    </row>
    <row r="151" spans="1:47" s="34" customFormat="1" ht="19.5" customHeight="1">
      <c r="A151" s="82" t="s">
        <v>472</v>
      </c>
      <c r="B151" s="118" t="s">
        <v>473</v>
      </c>
      <c r="C151" s="80" t="s">
        <v>92</v>
      </c>
      <c r="D151" s="187"/>
      <c r="E151" s="629"/>
      <c r="F151" s="187">
        <v>28219</v>
      </c>
      <c r="G151" s="514"/>
      <c r="H151" s="503"/>
      <c r="I151" s="644"/>
      <c r="J151" s="644"/>
      <c r="K151" s="644"/>
      <c r="L151" s="644"/>
      <c r="M151" s="644"/>
      <c r="N151" s="644"/>
      <c r="O151" s="644"/>
      <c r="P151" s="644"/>
      <c r="Q151" s="644"/>
      <c r="R151" s="644"/>
      <c r="S151" s="644"/>
      <c r="T151" s="644"/>
      <c r="U151" s="644"/>
      <c r="V151" s="644"/>
      <c r="W151" s="644"/>
      <c r="X151" s="644"/>
      <c r="Y151" s="644"/>
      <c r="Z151" s="644"/>
      <c r="AA151" s="644"/>
      <c r="AB151" s="644"/>
      <c r="AC151" s="644"/>
      <c r="AD151" s="644"/>
      <c r="AE151" s="644"/>
      <c r="AF151" s="644"/>
      <c r="AG151" s="644"/>
      <c r="AH151" s="644"/>
      <c r="AI151" s="644"/>
      <c r="AJ151" s="644"/>
      <c r="AK151" s="644"/>
      <c r="AL151" s="644"/>
      <c r="AM151" s="644"/>
      <c r="AN151" s="644"/>
      <c r="AO151" s="644"/>
      <c r="AP151" s="644"/>
      <c r="AQ151" s="644"/>
      <c r="AR151" s="644"/>
      <c r="AS151" s="644"/>
      <c r="AT151" s="644"/>
      <c r="AU151" s="644"/>
    </row>
    <row r="152" spans="1:47" s="652" customFormat="1" ht="19.5" customHeight="1">
      <c r="A152" s="82" t="s">
        <v>88</v>
      </c>
      <c r="B152" s="118" t="s">
        <v>310</v>
      </c>
      <c r="C152" s="80" t="s">
        <v>311</v>
      </c>
      <c r="D152" s="187"/>
      <c r="E152" s="629"/>
      <c r="F152" s="187">
        <f>839+83096.95-11242+135420-86000</f>
        <v>122113.95000000001</v>
      </c>
      <c r="G152" s="629"/>
      <c r="H152" s="503"/>
      <c r="I152" s="644"/>
      <c r="J152" s="644"/>
      <c r="K152" s="644"/>
      <c r="L152" s="644"/>
      <c r="M152" s="644"/>
      <c r="N152" s="644"/>
      <c r="O152" s="644"/>
      <c r="P152" s="644"/>
      <c r="Q152" s="644"/>
      <c r="R152" s="644"/>
      <c r="S152" s="644"/>
      <c r="T152" s="644"/>
      <c r="U152" s="644"/>
      <c r="V152" s="644"/>
      <c r="W152" s="644"/>
      <c r="X152" s="644"/>
      <c r="Y152" s="644"/>
      <c r="Z152" s="644"/>
      <c r="AA152" s="644"/>
      <c r="AB152" s="644"/>
      <c r="AC152" s="644"/>
      <c r="AD152" s="644"/>
      <c r="AE152" s="644"/>
      <c r="AF152" s="644"/>
      <c r="AG152" s="644"/>
      <c r="AH152" s="644"/>
      <c r="AI152" s="644"/>
      <c r="AJ152" s="644"/>
      <c r="AK152" s="644"/>
      <c r="AL152" s="644"/>
      <c r="AM152" s="644"/>
      <c r="AN152" s="644"/>
      <c r="AO152" s="644"/>
      <c r="AP152" s="644"/>
      <c r="AQ152" s="644"/>
      <c r="AR152" s="644"/>
      <c r="AS152" s="644"/>
      <c r="AT152" s="644"/>
      <c r="AU152" s="644"/>
    </row>
    <row r="153" spans="1:8" s="644" customFormat="1" ht="19.5" customHeight="1">
      <c r="A153" s="80" t="s">
        <v>89</v>
      </c>
      <c r="B153" s="83"/>
      <c r="C153" s="166"/>
      <c r="D153" s="81">
        <f>D154+D170+D179+D185+D188+D198+D199+D206</f>
        <v>111085.25</v>
      </c>
      <c r="E153" s="81">
        <f>E154+E170+E179+E185+E188+E198+E199+E206</f>
        <v>2054.25</v>
      </c>
      <c r="F153" s="81">
        <f>F154+F170+F179+F185+F188+F198+F199+F206</f>
        <v>211440.54</v>
      </c>
      <c r="G153" s="81">
        <f>G154+G170+G179+G185+G188+G198+G199+G206</f>
        <v>2054.25</v>
      </c>
      <c r="H153" s="503"/>
    </row>
    <row r="154" spans="1:8" s="502" customFormat="1" ht="19.5" customHeight="1">
      <c r="A154" s="88"/>
      <c r="B154" s="89" t="s">
        <v>91</v>
      </c>
      <c r="C154" s="90"/>
      <c r="D154" s="87">
        <f>SUM(D155:D169)</f>
        <v>39665.25</v>
      </c>
      <c r="E154" s="87">
        <f>SUM(E155:E169)</f>
        <v>2054.25</v>
      </c>
      <c r="F154" s="87">
        <f>SUM(F155:F169)</f>
        <v>70341.25</v>
      </c>
      <c r="G154" s="87">
        <f>SUM(G155:G169)</f>
        <v>2054.25</v>
      </c>
      <c r="H154" s="504"/>
    </row>
    <row r="155" spans="1:8" s="502" customFormat="1" ht="19.5" customHeight="1">
      <c r="A155" s="198"/>
      <c r="B155" s="84"/>
      <c r="C155" s="90" t="s">
        <v>404</v>
      </c>
      <c r="D155" s="87"/>
      <c r="E155" s="197"/>
      <c r="F155" s="87">
        <v>2054.25</v>
      </c>
      <c r="G155" s="197">
        <v>2054.25</v>
      </c>
      <c r="H155" s="504"/>
    </row>
    <row r="156" spans="1:8" s="502" customFormat="1" ht="19.5" customHeight="1">
      <c r="A156" s="198"/>
      <c r="B156" s="88"/>
      <c r="C156" s="165" t="s">
        <v>450</v>
      </c>
      <c r="D156" s="184"/>
      <c r="E156" s="507"/>
      <c r="F156" s="184">
        <f>11192-6190</f>
        <v>5002</v>
      </c>
      <c r="G156" s="507"/>
      <c r="H156" s="504"/>
    </row>
    <row r="157" spans="1:8" s="502" customFormat="1" ht="19.5" customHeight="1">
      <c r="A157" s="198"/>
      <c r="B157" s="88"/>
      <c r="C157" s="165" t="s">
        <v>94</v>
      </c>
      <c r="D157" s="184"/>
      <c r="E157" s="507"/>
      <c r="F157" s="184">
        <f>6185+52000</f>
        <v>58185</v>
      </c>
      <c r="G157" s="507"/>
      <c r="H157" s="504"/>
    </row>
    <row r="158" spans="1:8" s="502" customFormat="1" ht="19.5" customHeight="1">
      <c r="A158" s="198"/>
      <c r="B158" s="88"/>
      <c r="C158" s="90" t="s">
        <v>96</v>
      </c>
      <c r="D158" s="87">
        <v>964</v>
      </c>
      <c r="E158" s="197"/>
      <c r="F158" s="87"/>
      <c r="G158" s="197"/>
      <c r="H158" s="504"/>
    </row>
    <row r="159" spans="1:8" s="502" customFormat="1" ht="19.5" customHeight="1">
      <c r="A159" s="198"/>
      <c r="B159" s="88"/>
      <c r="C159" s="90" t="s">
        <v>451</v>
      </c>
      <c r="D159" s="87">
        <v>226</v>
      </c>
      <c r="E159" s="197"/>
      <c r="F159" s="87"/>
      <c r="G159" s="197"/>
      <c r="H159" s="504"/>
    </row>
    <row r="160" spans="1:8" s="502" customFormat="1" ht="19.5" customHeight="1">
      <c r="A160" s="198"/>
      <c r="B160" s="88"/>
      <c r="C160" s="90" t="s">
        <v>87</v>
      </c>
      <c r="D160" s="87">
        <f>4556-1500</f>
        <v>3056</v>
      </c>
      <c r="E160" s="197"/>
      <c r="F160" s="87"/>
      <c r="G160" s="197"/>
      <c r="H160" s="504"/>
    </row>
    <row r="161" spans="1:8" s="502" customFormat="1" ht="19.5" customHeight="1">
      <c r="A161" s="198"/>
      <c r="B161" s="88"/>
      <c r="C161" s="90" t="s">
        <v>294</v>
      </c>
      <c r="D161" s="87">
        <f>584.06+787.08+683.11+1300</f>
        <v>3354.25</v>
      </c>
      <c r="E161" s="87">
        <f>584.06+787.08+683.11</f>
        <v>2054.25</v>
      </c>
      <c r="F161" s="87"/>
      <c r="G161" s="197"/>
      <c r="H161" s="504"/>
    </row>
    <row r="162" spans="1:8" s="502" customFormat="1" ht="19.5" customHeight="1">
      <c r="A162" s="198"/>
      <c r="B162" s="88"/>
      <c r="C162" s="90" t="s">
        <v>421</v>
      </c>
      <c r="D162" s="87">
        <v>20000</v>
      </c>
      <c r="E162" s="87"/>
      <c r="F162" s="87"/>
      <c r="G162" s="197"/>
      <c r="H162" s="504"/>
    </row>
    <row r="163" spans="1:8" s="502" customFormat="1" ht="19.5" customHeight="1">
      <c r="A163" s="198"/>
      <c r="B163" s="88"/>
      <c r="C163" s="90" t="s">
        <v>292</v>
      </c>
      <c r="D163" s="87"/>
      <c r="E163" s="197"/>
      <c r="F163" s="87">
        <f>1600+3700-4000</f>
        <v>1300</v>
      </c>
      <c r="G163" s="197"/>
      <c r="H163" s="504"/>
    </row>
    <row r="164" spans="1:8" s="502" customFormat="1" ht="19.5" customHeight="1">
      <c r="A164" s="198"/>
      <c r="B164" s="88"/>
      <c r="C164" s="90" t="s">
        <v>92</v>
      </c>
      <c r="D164" s="87"/>
      <c r="E164" s="197"/>
      <c r="F164" s="87">
        <v>3800</v>
      </c>
      <c r="G164" s="197"/>
      <c r="H164" s="504"/>
    </row>
    <row r="165" spans="1:8" s="502" customFormat="1" ht="19.5" customHeight="1">
      <c r="A165" s="198"/>
      <c r="B165" s="88"/>
      <c r="C165" s="90" t="s">
        <v>452</v>
      </c>
      <c r="D165" s="87">
        <v>1200</v>
      </c>
      <c r="E165" s="197"/>
      <c r="F165" s="87"/>
      <c r="G165" s="197"/>
      <c r="H165" s="504"/>
    </row>
    <row r="166" spans="1:8" s="502" customFormat="1" ht="19.5" customHeight="1">
      <c r="A166" s="198"/>
      <c r="B166" s="88"/>
      <c r="C166" s="90" t="s">
        <v>90</v>
      </c>
      <c r="D166" s="87">
        <v>10047</v>
      </c>
      <c r="E166" s="197"/>
      <c r="F166" s="87"/>
      <c r="G166" s="197"/>
      <c r="H166" s="504"/>
    </row>
    <row r="167" spans="1:8" s="502" customFormat="1" ht="19.5" customHeight="1">
      <c r="A167" s="198"/>
      <c r="B167" s="88"/>
      <c r="C167" s="90" t="s">
        <v>453</v>
      </c>
      <c r="D167" s="87">
        <v>333</v>
      </c>
      <c r="E167" s="197"/>
      <c r="F167" s="87"/>
      <c r="G167" s="197"/>
      <c r="H167" s="504"/>
    </row>
    <row r="168" spans="1:8" s="502" customFormat="1" ht="19.5" customHeight="1">
      <c r="A168" s="198"/>
      <c r="B168" s="88"/>
      <c r="C168" s="90" t="s">
        <v>423</v>
      </c>
      <c r="D168" s="87">
        <v>400</v>
      </c>
      <c r="E168" s="197"/>
      <c r="F168" s="87"/>
      <c r="G168" s="197"/>
      <c r="H168" s="504"/>
    </row>
    <row r="169" spans="1:8" s="502" customFormat="1" ht="19.5" customHeight="1">
      <c r="A169" s="198"/>
      <c r="B169" s="97"/>
      <c r="C169" s="90" t="s">
        <v>454</v>
      </c>
      <c r="D169" s="87">
        <v>85</v>
      </c>
      <c r="E169" s="197"/>
      <c r="F169" s="87"/>
      <c r="G169" s="197"/>
      <c r="H169" s="504"/>
    </row>
    <row r="170" spans="1:8" s="502" customFormat="1" ht="19.5" customHeight="1">
      <c r="A170" s="198"/>
      <c r="B170" s="165" t="s">
        <v>455</v>
      </c>
      <c r="C170" s="90"/>
      <c r="D170" s="87">
        <f>SUM(D171:D178)</f>
        <v>15349</v>
      </c>
      <c r="E170" s="197"/>
      <c r="F170" s="87">
        <f>SUM(F171:F178)</f>
        <v>0</v>
      </c>
      <c r="G170" s="197"/>
      <c r="H170" s="504"/>
    </row>
    <row r="171" spans="1:8" s="502" customFormat="1" ht="19.5" customHeight="1">
      <c r="A171" s="198"/>
      <c r="B171" s="88"/>
      <c r="C171" s="90" t="s">
        <v>94</v>
      </c>
      <c r="D171" s="87">
        <v>2410</v>
      </c>
      <c r="E171" s="197"/>
      <c r="F171" s="87"/>
      <c r="G171" s="197"/>
      <c r="H171" s="504"/>
    </row>
    <row r="172" spans="1:8" s="502" customFormat="1" ht="19.5" customHeight="1">
      <c r="A172" s="198"/>
      <c r="B172" s="88"/>
      <c r="C172" s="90" t="s">
        <v>95</v>
      </c>
      <c r="D172" s="87">
        <v>9540</v>
      </c>
      <c r="E172" s="197"/>
      <c r="F172" s="87"/>
      <c r="G172" s="197"/>
      <c r="H172" s="504"/>
    </row>
    <row r="173" spans="1:8" s="502" customFormat="1" ht="19.5" customHeight="1">
      <c r="A173" s="198"/>
      <c r="B173" s="88"/>
      <c r="C173" s="90" t="s">
        <v>96</v>
      </c>
      <c r="D173" s="87">
        <v>1800</v>
      </c>
      <c r="E173" s="197"/>
      <c r="F173" s="87"/>
      <c r="G173" s="197"/>
      <c r="H173" s="504"/>
    </row>
    <row r="174" spans="1:8" s="502" customFormat="1" ht="19.5" customHeight="1">
      <c r="A174" s="198"/>
      <c r="B174" s="88"/>
      <c r="C174" s="90" t="s">
        <v>429</v>
      </c>
      <c r="D174" s="87">
        <v>200</v>
      </c>
      <c r="E174" s="197"/>
      <c r="F174" s="87"/>
      <c r="G174" s="197"/>
      <c r="H174" s="504"/>
    </row>
    <row r="175" spans="1:8" s="502" customFormat="1" ht="19.5" customHeight="1">
      <c r="A175" s="198"/>
      <c r="B175" s="88"/>
      <c r="C175" s="90" t="s">
        <v>421</v>
      </c>
      <c r="D175" s="87">
        <v>640</v>
      </c>
      <c r="E175" s="197"/>
      <c r="F175" s="87"/>
      <c r="G175" s="197"/>
      <c r="H175" s="504"/>
    </row>
    <row r="176" spans="1:8" s="502" customFormat="1" ht="19.5" customHeight="1">
      <c r="A176" s="198"/>
      <c r="B176" s="88"/>
      <c r="C176" s="90" t="s">
        <v>422</v>
      </c>
      <c r="D176" s="87">
        <v>200</v>
      </c>
      <c r="E176" s="197"/>
      <c r="F176" s="87"/>
      <c r="G176" s="197"/>
      <c r="H176" s="504"/>
    </row>
    <row r="177" spans="1:8" s="502" customFormat="1" ht="19.5" customHeight="1">
      <c r="A177" s="198"/>
      <c r="B177" s="88"/>
      <c r="C177" s="90" t="s">
        <v>92</v>
      </c>
      <c r="D177" s="87">
        <v>326</v>
      </c>
      <c r="E177" s="197"/>
      <c r="F177" s="87"/>
      <c r="G177" s="197"/>
      <c r="H177" s="504"/>
    </row>
    <row r="178" spans="1:8" s="502" customFormat="1" ht="19.5" customHeight="1">
      <c r="A178" s="198"/>
      <c r="B178" s="88"/>
      <c r="C178" s="90" t="s">
        <v>423</v>
      </c>
      <c r="D178" s="87">
        <v>233</v>
      </c>
      <c r="E178" s="197"/>
      <c r="F178" s="87"/>
      <c r="G178" s="197"/>
      <c r="H178" s="504"/>
    </row>
    <row r="179" spans="1:8" s="502" customFormat="1" ht="19.5" customHeight="1">
      <c r="A179" s="198"/>
      <c r="B179" s="165" t="s">
        <v>406</v>
      </c>
      <c r="C179" s="90"/>
      <c r="D179" s="87">
        <f>SUM(D180:D184)</f>
        <v>15300</v>
      </c>
      <c r="E179" s="197"/>
      <c r="F179" s="87">
        <f>SUM(F180:F184)</f>
        <v>25960</v>
      </c>
      <c r="G179" s="197"/>
      <c r="H179" s="504"/>
    </row>
    <row r="180" spans="1:8" s="502" customFormat="1" ht="19.5" customHeight="1">
      <c r="A180" s="198"/>
      <c r="B180" s="84"/>
      <c r="C180" s="90" t="s">
        <v>94</v>
      </c>
      <c r="D180" s="87"/>
      <c r="E180" s="197"/>
      <c r="F180" s="87">
        <v>5250</v>
      </c>
      <c r="G180" s="197"/>
      <c r="H180" s="504"/>
    </row>
    <row r="181" spans="1:8" s="502" customFormat="1" ht="19.5" customHeight="1">
      <c r="A181" s="198"/>
      <c r="B181" s="88"/>
      <c r="C181" s="90" t="s">
        <v>95</v>
      </c>
      <c r="D181" s="87"/>
      <c r="E181" s="197"/>
      <c r="F181" s="87">
        <v>910</v>
      </c>
      <c r="G181" s="197"/>
      <c r="H181" s="504"/>
    </row>
    <row r="182" spans="1:8" s="502" customFormat="1" ht="19.5" customHeight="1">
      <c r="A182" s="198"/>
      <c r="B182" s="88"/>
      <c r="C182" s="90" t="s">
        <v>408</v>
      </c>
      <c r="D182" s="87">
        <v>15300</v>
      </c>
      <c r="E182" s="197"/>
      <c r="F182" s="87"/>
      <c r="G182" s="197"/>
      <c r="H182" s="504"/>
    </row>
    <row r="183" spans="1:8" s="502" customFormat="1" ht="19.5" customHeight="1">
      <c r="A183" s="198"/>
      <c r="B183" s="88"/>
      <c r="C183" s="90" t="s">
        <v>90</v>
      </c>
      <c r="D183" s="87"/>
      <c r="E183" s="197"/>
      <c r="F183" s="87">
        <v>4500</v>
      </c>
      <c r="G183" s="197"/>
      <c r="H183" s="504"/>
    </row>
    <row r="184" spans="1:8" s="502" customFormat="1" ht="19.5" customHeight="1">
      <c r="A184" s="198"/>
      <c r="B184" s="97"/>
      <c r="C184" s="90" t="s">
        <v>409</v>
      </c>
      <c r="D184" s="87"/>
      <c r="E184" s="197"/>
      <c r="F184" s="87">
        <v>15300</v>
      </c>
      <c r="G184" s="197"/>
      <c r="H184" s="504"/>
    </row>
    <row r="185" spans="1:8" s="502" customFormat="1" ht="19.5" customHeight="1">
      <c r="A185" s="198"/>
      <c r="B185" s="165" t="s">
        <v>410</v>
      </c>
      <c r="C185" s="90"/>
      <c r="D185" s="87">
        <f>SUM(D186:D187)</f>
        <v>7000</v>
      </c>
      <c r="E185" s="197"/>
      <c r="F185" s="87">
        <f>SUM(F186:F187)</f>
        <v>6765</v>
      </c>
      <c r="G185" s="197"/>
      <c r="H185" s="504"/>
    </row>
    <row r="186" spans="1:8" s="502" customFormat="1" ht="19.5" customHeight="1">
      <c r="A186" s="198"/>
      <c r="B186" s="88"/>
      <c r="C186" s="90" t="s">
        <v>94</v>
      </c>
      <c r="D186" s="87">
        <v>7000</v>
      </c>
      <c r="E186" s="197"/>
      <c r="F186" s="87"/>
      <c r="G186" s="197"/>
      <c r="H186" s="504"/>
    </row>
    <row r="187" spans="1:8" s="502" customFormat="1" ht="19.5" customHeight="1">
      <c r="A187" s="198"/>
      <c r="B187" s="88"/>
      <c r="C187" s="90" t="s">
        <v>292</v>
      </c>
      <c r="D187" s="87"/>
      <c r="E187" s="197"/>
      <c r="F187" s="87">
        <f>5345+1420</f>
        <v>6765</v>
      </c>
      <c r="G187" s="197"/>
      <c r="H187" s="504"/>
    </row>
    <row r="188" spans="1:8" s="502" customFormat="1" ht="19.5" customHeight="1">
      <c r="A188" s="198"/>
      <c r="B188" s="84" t="s">
        <v>309</v>
      </c>
      <c r="C188" s="86"/>
      <c r="D188" s="87">
        <f>SUM(D189:D197)</f>
        <v>8446</v>
      </c>
      <c r="E188" s="197"/>
      <c r="F188" s="87">
        <f>SUM(F189:F197)</f>
        <v>13249</v>
      </c>
      <c r="G188" s="197"/>
      <c r="H188" s="504"/>
    </row>
    <row r="189" spans="1:8" s="502" customFormat="1" ht="19.5" customHeight="1">
      <c r="A189" s="198"/>
      <c r="B189" s="84"/>
      <c r="C189" s="90" t="s">
        <v>450</v>
      </c>
      <c r="D189" s="87">
        <v>1400</v>
      </c>
      <c r="E189" s="197"/>
      <c r="F189" s="87"/>
      <c r="G189" s="197"/>
      <c r="H189" s="504"/>
    </row>
    <row r="190" spans="1:8" s="502" customFormat="1" ht="19.5" customHeight="1">
      <c r="A190" s="198"/>
      <c r="B190" s="88"/>
      <c r="C190" s="165" t="s">
        <v>87</v>
      </c>
      <c r="D190" s="184">
        <v>4541</v>
      </c>
      <c r="E190" s="507"/>
      <c r="F190" s="184"/>
      <c r="G190" s="507"/>
      <c r="H190" s="504"/>
    </row>
    <row r="191" spans="1:8" s="502" customFormat="1" ht="19.5" customHeight="1">
      <c r="A191" s="198"/>
      <c r="B191" s="88"/>
      <c r="C191" s="165" t="s">
        <v>408</v>
      </c>
      <c r="D191" s="184"/>
      <c r="E191" s="507"/>
      <c r="F191" s="184">
        <f>15000+13000-15000</f>
        <v>13000</v>
      </c>
      <c r="G191" s="507"/>
      <c r="H191" s="504"/>
    </row>
    <row r="192" spans="1:8" s="502" customFormat="1" ht="19.5" customHeight="1">
      <c r="A192" s="198"/>
      <c r="B192" s="88"/>
      <c r="C192" s="90" t="s">
        <v>292</v>
      </c>
      <c r="D192" s="87">
        <v>1500</v>
      </c>
      <c r="E192" s="197"/>
      <c r="F192" s="87"/>
      <c r="G192" s="197"/>
      <c r="H192" s="504"/>
    </row>
    <row r="193" spans="1:8" s="502" customFormat="1" ht="19.5" customHeight="1">
      <c r="A193" s="198"/>
      <c r="B193" s="88"/>
      <c r="C193" s="90" t="s">
        <v>92</v>
      </c>
      <c r="D193" s="87">
        <v>85</v>
      </c>
      <c r="E193" s="197"/>
      <c r="F193" s="87"/>
      <c r="G193" s="197"/>
      <c r="H193" s="504"/>
    </row>
    <row r="194" spans="1:8" s="502" customFormat="1" ht="19.5" customHeight="1">
      <c r="A194" s="198"/>
      <c r="B194" s="88"/>
      <c r="C194" s="90" t="s">
        <v>90</v>
      </c>
      <c r="D194" s="87"/>
      <c r="E194" s="197"/>
      <c r="F194" s="87">
        <v>164</v>
      </c>
      <c r="G194" s="197"/>
      <c r="H194" s="504"/>
    </row>
    <row r="195" spans="1:8" s="502" customFormat="1" ht="19.5" customHeight="1">
      <c r="A195" s="198"/>
      <c r="B195" s="88"/>
      <c r="C195" s="90" t="s">
        <v>6</v>
      </c>
      <c r="D195" s="87"/>
      <c r="E195" s="197"/>
      <c r="F195" s="87">
        <v>85</v>
      </c>
      <c r="G195" s="197"/>
      <c r="H195" s="504"/>
    </row>
    <row r="196" spans="1:8" s="502" customFormat="1" ht="19.5" customHeight="1">
      <c r="A196" s="198"/>
      <c r="B196" s="88"/>
      <c r="C196" s="90" t="s">
        <v>423</v>
      </c>
      <c r="D196" s="87">
        <v>810</v>
      </c>
      <c r="E196" s="197"/>
      <c r="F196" s="87"/>
      <c r="G196" s="197"/>
      <c r="H196" s="504"/>
    </row>
    <row r="197" spans="1:8" s="502" customFormat="1" ht="19.5" customHeight="1">
      <c r="A197" s="198"/>
      <c r="B197" s="97"/>
      <c r="C197" s="90" t="s">
        <v>454</v>
      </c>
      <c r="D197" s="87">
        <v>110</v>
      </c>
      <c r="E197" s="197"/>
      <c r="F197" s="87"/>
      <c r="G197" s="197"/>
      <c r="H197" s="504"/>
    </row>
    <row r="198" spans="1:8" s="502" customFormat="1" ht="19.5" customHeight="1">
      <c r="A198" s="198"/>
      <c r="B198" s="165" t="s">
        <v>466</v>
      </c>
      <c r="C198" s="90" t="s">
        <v>467</v>
      </c>
      <c r="D198" s="87">
        <v>25000</v>
      </c>
      <c r="E198" s="197"/>
      <c r="F198" s="87"/>
      <c r="G198" s="197"/>
      <c r="H198" s="504"/>
    </row>
    <row r="199" spans="1:8" s="502" customFormat="1" ht="19.5" customHeight="1">
      <c r="A199" s="198"/>
      <c r="B199" s="97" t="s">
        <v>293</v>
      </c>
      <c r="C199" s="90"/>
      <c r="D199" s="87">
        <f>SUM(D200:D205)</f>
        <v>325</v>
      </c>
      <c r="E199" s="197"/>
      <c r="F199" s="87">
        <f>SUM(F200:F205)</f>
        <v>63789.64</v>
      </c>
      <c r="G199" s="197"/>
      <c r="H199" s="504"/>
    </row>
    <row r="200" spans="1:8" s="502" customFormat="1" ht="19.5" customHeight="1">
      <c r="A200" s="198"/>
      <c r="B200" s="88"/>
      <c r="C200" s="90" t="s">
        <v>94</v>
      </c>
      <c r="D200" s="87"/>
      <c r="E200" s="197"/>
      <c r="F200" s="87">
        <f>23980.64+30000-13193</f>
        <v>40787.64</v>
      </c>
      <c r="G200" s="197"/>
      <c r="H200" s="504"/>
    </row>
    <row r="201" spans="1:8" s="502" customFormat="1" ht="19.5" customHeight="1">
      <c r="A201" s="198"/>
      <c r="B201" s="88"/>
      <c r="C201" s="90" t="s">
        <v>95</v>
      </c>
      <c r="D201" s="87"/>
      <c r="E201" s="197"/>
      <c r="F201" s="87">
        <f>8000+2323-2256</f>
        <v>8067</v>
      </c>
      <c r="G201" s="197"/>
      <c r="H201" s="504"/>
    </row>
    <row r="202" spans="1:8" s="502" customFormat="1" ht="19.5" customHeight="1">
      <c r="A202" s="198"/>
      <c r="B202" s="88"/>
      <c r="C202" s="90" t="s">
        <v>96</v>
      </c>
      <c r="D202" s="87">
        <v>325</v>
      </c>
      <c r="E202" s="197"/>
      <c r="F202" s="87"/>
      <c r="G202" s="197"/>
      <c r="H202" s="504"/>
    </row>
    <row r="203" spans="1:8" s="502" customFormat="1" ht="19.5" customHeight="1">
      <c r="A203" s="198"/>
      <c r="B203" s="88"/>
      <c r="C203" s="90" t="s">
        <v>87</v>
      </c>
      <c r="D203" s="87"/>
      <c r="E203" s="197"/>
      <c r="F203" s="87">
        <v>10000</v>
      </c>
      <c r="G203" s="197"/>
      <c r="H203" s="504"/>
    </row>
    <row r="204" spans="1:8" s="502" customFormat="1" ht="19.5" customHeight="1">
      <c r="A204" s="198"/>
      <c r="B204" s="88"/>
      <c r="C204" s="90" t="s">
        <v>294</v>
      </c>
      <c r="D204" s="87"/>
      <c r="E204" s="197"/>
      <c r="F204" s="87">
        <v>1220</v>
      </c>
      <c r="G204" s="197"/>
      <c r="H204" s="504"/>
    </row>
    <row r="205" spans="1:8" s="502" customFormat="1" ht="19.5" customHeight="1">
      <c r="A205" s="198"/>
      <c r="B205" s="88"/>
      <c r="C205" s="90" t="s">
        <v>90</v>
      </c>
      <c r="D205" s="87"/>
      <c r="E205" s="197"/>
      <c r="F205" s="87">
        <v>3715</v>
      </c>
      <c r="G205" s="197"/>
      <c r="H205" s="504"/>
    </row>
    <row r="206" spans="1:8" s="502" customFormat="1" ht="19.5" customHeight="1">
      <c r="A206" s="198"/>
      <c r="B206" s="84" t="s">
        <v>435</v>
      </c>
      <c r="C206" s="86"/>
      <c r="D206" s="87">
        <f>SUM(D207:D213)</f>
        <v>0</v>
      </c>
      <c r="E206" s="197"/>
      <c r="F206" s="87">
        <f>SUM(F207:F213)</f>
        <v>31335.65</v>
      </c>
      <c r="G206" s="197"/>
      <c r="H206" s="504"/>
    </row>
    <row r="207" spans="1:8" s="502" customFormat="1" ht="19.5" customHeight="1">
      <c r="A207" s="198"/>
      <c r="B207" s="84"/>
      <c r="C207" s="86" t="s">
        <v>436</v>
      </c>
      <c r="D207" s="87"/>
      <c r="E207" s="197"/>
      <c r="F207" s="87">
        <f>5500+5500+5500</f>
        <v>16500</v>
      </c>
      <c r="G207" s="197"/>
      <c r="H207" s="504"/>
    </row>
    <row r="208" spans="1:8" s="502" customFormat="1" ht="19.5" customHeight="1">
      <c r="A208" s="198"/>
      <c r="B208" s="88"/>
      <c r="C208" s="86" t="s">
        <v>95</v>
      </c>
      <c r="D208" s="87"/>
      <c r="E208" s="197"/>
      <c r="F208" s="87">
        <f>940.5+940.5+950.4</f>
        <v>2831.4</v>
      </c>
      <c r="G208" s="197"/>
      <c r="H208" s="504"/>
    </row>
    <row r="209" spans="1:8" s="502" customFormat="1" ht="19.5" customHeight="1">
      <c r="A209" s="198"/>
      <c r="B209" s="88"/>
      <c r="C209" s="86" t="s">
        <v>96</v>
      </c>
      <c r="D209" s="87"/>
      <c r="E209" s="197"/>
      <c r="F209" s="87">
        <f>134.75+134.75+134.75</f>
        <v>404.25</v>
      </c>
      <c r="G209" s="197"/>
      <c r="H209" s="504"/>
    </row>
    <row r="210" spans="1:8" s="502" customFormat="1" ht="19.5" customHeight="1">
      <c r="A210" s="198"/>
      <c r="B210" s="88"/>
      <c r="C210" s="86" t="s">
        <v>460</v>
      </c>
      <c r="D210" s="87"/>
      <c r="E210" s="197"/>
      <c r="F210" s="87">
        <v>4000</v>
      </c>
      <c r="G210" s="197"/>
      <c r="H210" s="504"/>
    </row>
    <row r="211" spans="1:8" s="502" customFormat="1" ht="19.5" customHeight="1">
      <c r="A211" s="198"/>
      <c r="B211" s="88"/>
      <c r="C211" s="86" t="s">
        <v>457</v>
      </c>
      <c r="D211" s="87"/>
      <c r="E211" s="197"/>
      <c r="F211" s="87">
        <v>3000</v>
      </c>
      <c r="G211" s="197"/>
      <c r="H211" s="504"/>
    </row>
    <row r="212" spans="1:8" s="502" customFormat="1" ht="19.5" customHeight="1">
      <c r="A212" s="198"/>
      <c r="B212" s="88"/>
      <c r="C212" s="86" t="s">
        <v>458</v>
      </c>
      <c r="D212" s="87"/>
      <c r="E212" s="197"/>
      <c r="F212" s="87">
        <v>4500</v>
      </c>
      <c r="G212" s="197"/>
      <c r="H212" s="504"/>
    </row>
    <row r="213" spans="1:8" s="502" customFormat="1" ht="19.5" customHeight="1">
      <c r="A213" s="198"/>
      <c r="B213" s="88"/>
      <c r="C213" s="85" t="s">
        <v>459</v>
      </c>
      <c r="D213" s="87"/>
      <c r="E213" s="197"/>
      <c r="F213" s="87">
        <v>100</v>
      </c>
      <c r="G213" s="197"/>
      <c r="H213" s="504"/>
    </row>
    <row r="214" spans="1:8" s="644" customFormat="1" ht="19.5" customHeight="1">
      <c r="A214" s="701" t="s">
        <v>477</v>
      </c>
      <c r="B214" s="80" t="s">
        <v>485</v>
      </c>
      <c r="C214" s="83" t="s">
        <v>486</v>
      </c>
      <c r="D214" s="81"/>
      <c r="E214" s="167"/>
      <c r="F214" s="81">
        <v>86000</v>
      </c>
      <c r="G214" s="167"/>
      <c r="H214" s="503"/>
    </row>
    <row r="215" spans="1:47" s="34" customFormat="1" ht="21" customHeight="1">
      <c r="A215" s="80" t="s">
        <v>412</v>
      </c>
      <c r="B215" s="207" t="s">
        <v>413</v>
      </c>
      <c r="C215" s="80"/>
      <c r="D215" s="649">
        <f>SUM(D216:D217)</f>
        <v>2000</v>
      </c>
      <c r="E215" s="167"/>
      <c r="F215" s="649">
        <f>SUM(F216:F217)</f>
        <v>50</v>
      </c>
      <c r="G215" s="167"/>
      <c r="H215" s="25"/>
      <c r="I215" s="644"/>
      <c r="J215" s="644"/>
      <c r="K215" s="644"/>
      <c r="L215" s="644"/>
      <c r="M215" s="644"/>
      <c r="N215" s="644"/>
      <c r="O215" s="644"/>
      <c r="P215" s="644"/>
      <c r="Q215" s="644"/>
      <c r="R215" s="644"/>
      <c r="S215" s="644"/>
      <c r="T215" s="644"/>
      <c r="U215" s="644"/>
      <c r="V215" s="644"/>
      <c r="W215" s="644"/>
      <c r="X215" s="644"/>
      <c r="Y215" s="644"/>
      <c r="Z215" s="644"/>
      <c r="AA215" s="644"/>
      <c r="AB215" s="644"/>
      <c r="AC215" s="644"/>
      <c r="AD215" s="644"/>
      <c r="AE215" s="644"/>
      <c r="AF215" s="644"/>
      <c r="AG215" s="644"/>
      <c r="AH215" s="644"/>
      <c r="AI215" s="644"/>
      <c r="AJ215" s="644"/>
      <c r="AK215" s="644"/>
      <c r="AL215" s="644"/>
      <c r="AM215" s="644"/>
      <c r="AN215" s="644"/>
      <c r="AO215" s="644"/>
      <c r="AP215" s="644"/>
      <c r="AQ215" s="644"/>
      <c r="AR215" s="644"/>
      <c r="AS215" s="644"/>
      <c r="AT215" s="644"/>
      <c r="AU215" s="644"/>
    </row>
    <row r="216" spans="1:47" s="179" customFormat="1" ht="21" customHeight="1">
      <c r="A216" s="198"/>
      <c r="B216" s="88"/>
      <c r="C216" s="90" t="s">
        <v>92</v>
      </c>
      <c r="D216" s="204">
        <v>2000</v>
      </c>
      <c r="E216" s="197"/>
      <c r="F216" s="204"/>
      <c r="G216" s="197"/>
      <c r="H216" s="37"/>
      <c r="I216" s="502"/>
      <c r="J216" s="502"/>
      <c r="K216" s="502"/>
      <c r="L216" s="502"/>
      <c r="M216" s="502"/>
      <c r="N216" s="502"/>
      <c r="O216" s="502"/>
      <c r="P216" s="502"/>
      <c r="Q216" s="502"/>
      <c r="R216" s="502"/>
      <c r="S216" s="502"/>
      <c r="T216" s="502"/>
      <c r="U216" s="502"/>
      <c r="V216" s="502"/>
      <c r="W216" s="502"/>
      <c r="X216" s="502"/>
      <c r="Y216" s="502"/>
      <c r="Z216" s="502"/>
      <c r="AA216" s="502"/>
      <c r="AB216" s="502"/>
      <c r="AC216" s="502"/>
      <c r="AD216" s="502"/>
      <c r="AE216" s="502"/>
      <c r="AF216" s="502"/>
      <c r="AG216" s="502"/>
      <c r="AH216" s="502"/>
      <c r="AI216" s="502"/>
      <c r="AJ216" s="502"/>
      <c r="AK216" s="502"/>
      <c r="AL216" s="502"/>
      <c r="AM216" s="502"/>
      <c r="AN216" s="502"/>
      <c r="AO216" s="502"/>
      <c r="AP216" s="502"/>
      <c r="AQ216" s="502"/>
      <c r="AR216" s="502"/>
      <c r="AS216" s="502"/>
      <c r="AT216" s="502"/>
      <c r="AU216" s="502"/>
    </row>
    <row r="217" spans="1:47" s="179" customFormat="1" ht="21" customHeight="1">
      <c r="A217" s="198"/>
      <c r="B217" s="88"/>
      <c r="C217" s="90" t="s">
        <v>414</v>
      </c>
      <c r="D217" s="204"/>
      <c r="E217" s="197"/>
      <c r="F217" s="204">
        <v>50</v>
      </c>
      <c r="G217" s="197"/>
      <c r="H217" s="37"/>
      <c r="I217" s="502"/>
      <c r="J217" s="502"/>
      <c r="K217" s="502"/>
      <c r="L217" s="502"/>
      <c r="M217" s="502"/>
      <c r="N217" s="502"/>
      <c r="O217" s="502"/>
      <c r="P217" s="502"/>
      <c r="Q217" s="502"/>
      <c r="R217" s="502"/>
      <c r="S217" s="502"/>
      <c r="T217" s="502"/>
      <c r="U217" s="502"/>
      <c r="V217" s="502"/>
      <c r="W217" s="502"/>
      <c r="X217" s="502"/>
      <c r="Y217" s="502"/>
      <c r="Z217" s="502"/>
      <c r="AA217" s="502"/>
      <c r="AB217" s="502"/>
      <c r="AC217" s="502"/>
      <c r="AD217" s="502"/>
      <c r="AE217" s="502"/>
      <c r="AF217" s="502"/>
      <c r="AG217" s="502"/>
      <c r="AH217" s="502"/>
      <c r="AI217" s="502"/>
      <c r="AJ217" s="502"/>
      <c r="AK217" s="502"/>
      <c r="AL217" s="502"/>
      <c r="AM217" s="502"/>
      <c r="AN217" s="502"/>
      <c r="AO217" s="502"/>
      <c r="AP217" s="502"/>
      <c r="AQ217" s="502"/>
      <c r="AR217" s="502"/>
      <c r="AS217" s="502"/>
      <c r="AT217" s="502"/>
      <c r="AU217" s="502"/>
    </row>
    <row r="218" spans="1:47" s="34" customFormat="1" ht="21" customHeight="1">
      <c r="A218" s="80" t="s">
        <v>402</v>
      </c>
      <c r="B218" s="82" t="s">
        <v>403</v>
      </c>
      <c r="C218" s="207"/>
      <c r="D218" s="206">
        <f>SUM(D219:D222)</f>
        <v>230</v>
      </c>
      <c r="E218" s="167"/>
      <c r="F218" s="206">
        <f>SUM(F219:F222)</f>
        <v>29992</v>
      </c>
      <c r="G218" s="167"/>
      <c r="H218" s="25"/>
      <c r="I218" s="644"/>
      <c r="J218" s="644"/>
      <c r="K218" s="644"/>
      <c r="L218" s="644"/>
      <c r="M218" s="644"/>
      <c r="N218" s="644"/>
      <c r="O218" s="644"/>
      <c r="P218" s="644"/>
      <c r="Q218" s="644"/>
      <c r="R218" s="644"/>
      <c r="S218" s="644"/>
      <c r="T218" s="644"/>
      <c r="U218" s="644"/>
      <c r="V218" s="644"/>
      <c r="W218" s="644"/>
      <c r="X218" s="644"/>
      <c r="Y218" s="644"/>
      <c r="Z218" s="644"/>
      <c r="AA218" s="644"/>
      <c r="AB218" s="644"/>
      <c r="AC218" s="644"/>
      <c r="AD218" s="644"/>
      <c r="AE218" s="644"/>
      <c r="AF218" s="644"/>
      <c r="AG218" s="644"/>
      <c r="AH218" s="644"/>
      <c r="AI218" s="644"/>
      <c r="AJ218" s="644"/>
      <c r="AK218" s="644"/>
      <c r="AL218" s="644"/>
      <c r="AM218" s="644"/>
      <c r="AN218" s="644"/>
      <c r="AO218" s="644"/>
      <c r="AP218" s="644"/>
      <c r="AQ218" s="644"/>
      <c r="AR218" s="644"/>
      <c r="AS218" s="644"/>
      <c r="AT218" s="644"/>
      <c r="AU218" s="644"/>
    </row>
    <row r="219" spans="1:47" s="179" customFormat="1" ht="21" customHeight="1">
      <c r="A219" s="198"/>
      <c r="B219" s="84"/>
      <c r="C219" s="90" t="s">
        <v>94</v>
      </c>
      <c r="D219" s="204"/>
      <c r="E219" s="197"/>
      <c r="F219" s="204">
        <f>21000+7000</f>
        <v>28000</v>
      </c>
      <c r="G219" s="197"/>
      <c r="H219" s="37"/>
      <c r="I219" s="502"/>
      <c r="J219" s="502"/>
      <c r="K219" s="502"/>
      <c r="L219" s="502"/>
      <c r="M219" s="502"/>
      <c r="N219" s="502"/>
      <c r="O219" s="502"/>
      <c r="P219" s="502"/>
      <c r="Q219" s="502"/>
      <c r="R219" s="502"/>
      <c r="S219" s="502"/>
      <c r="T219" s="502"/>
      <c r="U219" s="502"/>
      <c r="V219" s="502"/>
      <c r="W219" s="502"/>
      <c r="X219" s="502"/>
      <c r="Y219" s="502"/>
      <c r="Z219" s="502"/>
      <c r="AA219" s="502"/>
      <c r="AB219" s="502"/>
      <c r="AC219" s="502"/>
      <c r="AD219" s="502"/>
      <c r="AE219" s="502"/>
      <c r="AF219" s="502"/>
      <c r="AG219" s="502"/>
      <c r="AH219" s="502"/>
      <c r="AI219" s="502"/>
      <c r="AJ219" s="502"/>
      <c r="AK219" s="502"/>
      <c r="AL219" s="502"/>
      <c r="AM219" s="502"/>
      <c r="AN219" s="502"/>
      <c r="AO219" s="502"/>
      <c r="AP219" s="502"/>
      <c r="AQ219" s="502"/>
      <c r="AR219" s="502"/>
      <c r="AS219" s="502"/>
      <c r="AT219" s="502"/>
      <c r="AU219" s="502"/>
    </row>
    <row r="220" spans="1:47" s="179" customFormat="1" ht="21" customHeight="1">
      <c r="A220" s="198"/>
      <c r="B220" s="88"/>
      <c r="C220" s="90" t="s">
        <v>95</v>
      </c>
      <c r="D220" s="204"/>
      <c r="E220" s="197"/>
      <c r="F220" s="204">
        <f>3500-1903</f>
        <v>1597</v>
      </c>
      <c r="G220" s="197"/>
      <c r="H220" s="37"/>
      <c r="I220" s="502"/>
      <c r="J220" s="502"/>
      <c r="K220" s="502"/>
      <c r="L220" s="502"/>
      <c r="M220" s="502"/>
      <c r="N220" s="502"/>
      <c r="O220" s="502"/>
      <c r="P220" s="502"/>
      <c r="Q220" s="502"/>
      <c r="R220" s="502"/>
      <c r="S220" s="502"/>
      <c r="T220" s="502"/>
      <c r="U220" s="502"/>
      <c r="V220" s="502"/>
      <c r="W220" s="502"/>
      <c r="X220" s="502"/>
      <c r="Y220" s="502"/>
      <c r="Z220" s="502"/>
      <c r="AA220" s="502"/>
      <c r="AB220" s="502"/>
      <c r="AC220" s="502"/>
      <c r="AD220" s="502"/>
      <c r="AE220" s="502"/>
      <c r="AF220" s="502"/>
      <c r="AG220" s="502"/>
      <c r="AH220" s="502"/>
      <c r="AI220" s="502"/>
      <c r="AJ220" s="502"/>
      <c r="AK220" s="502"/>
      <c r="AL220" s="502"/>
      <c r="AM220" s="502"/>
      <c r="AN220" s="502"/>
      <c r="AO220" s="502"/>
      <c r="AP220" s="502"/>
      <c r="AQ220" s="502"/>
      <c r="AR220" s="502"/>
      <c r="AS220" s="502"/>
      <c r="AT220" s="502"/>
      <c r="AU220" s="502"/>
    </row>
    <row r="221" spans="1:47" s="179" customFormat="1" ht="21" customHeight="1">
      <c r="A221" s="198"/>
      <c r="B221" s="88"/>
      <c r="C221" s="90" t="s">
        <v>96</v>
      </c>
      <c r="D221" s="204"/>
      <c r="E221" s="197"/>
      <c r="F221" s="204">
        <f>500-105</f>
        <v>395</v>
      </c>
      <c r="G221" s="197"/>
      <c r="H221" s="37"/>
      <c r="I221" s="502"/>
      <c r="J221" s="502"/>
      <c r="K221" s="502"/>
      <c r="L221" s="502"/>
      <c r="M221" s="502"/>
      <c r="N221" s="502"/>
      <c r="O221" s="502"/>
      <c r="P221" s="502"/>
      <c r="Q221" s="502"/>
      <c r="R221" s="502"/>
      <c r="S221" s="502"/>
      <c r="T221" s="502"/>
      <c r="U221" s="502"/>
      <c r="V221" s="502"/>
      <c r="W221" s="502"/>
      <c r="X221" s="502"/>
      <c r="Y221" s="502"/>
      <c r="Z221" s="502"/>
      <c r="AA221" s="502"/>
      <c r="AB221" s="502"/>
      <c r="AC221" s="502"/>
      <c r="AD221" s="502"/>
      <c r="AE221" s="502"/>
      <c r="AF221" s="502"/>
      <c r="AG221" s="502"/>
      <c r="AH221" s="502"/>
      <c r="AI221" s="502"/>
      <c r="AJ221" s="502"/>
      <c r="AK221" s="502"/>
      <c r="AL221" s="502"/>
      <c r="AM221" s="502"/>
      <c r="AN221" s="502"/>
      <c r="AO221" s="502"/>
      <c r="AP221" s="502"/>
      <c r="AQ221" s="502"/>
      <c r="AR221" s="502"/>
      <c r="AS221" s="502"/>
      <c r="AT221" s="502"/>
      <c r="AU221" s="502"/>
    </row>
    <row r="222" spans="1:47" s="179" customFormat="1" ht="21" customHeight="1">
      <c r="A222" s="198"/>
      <c r="B222" s="97"/>
      <c r="C222" s="90" t="s">
        <v>90</v>
      </c>
      <c r="D222" s="204">
        <v>230</v>
      </c>
      <c r="E222" s="197"/>
      <c r="F222" s="204"/>
      <c r="G222" s="197"/>
      <c r="H222" s="37"/>
      <c r="I222" s="502"/>
      <c r="J222" s="502"/>
      <c r="K222" s="502"/>
      <c r="L222" s="502"/>
      <c r="M222" s="502"/>
      <c r="N222" s="502"/>
      <c r="O222" s="502"/>
      <c r="P222" s="502"/>
      <c r="Q222" s="502"/>
      <c r="R222" s="502"/>
      <c r="S222" s="502"/>
      <c r="T222" s="502"/>
      <c r="U222" s="502"/>
      <c r="V222" s="502"/>
      <c r="W222" s="502"/>
      <c r="X222" s="502"/>
      <c r="Y222" s="502"/>
      <c r="Z222" s="502"/>
      <c r="AA222" s="502"/>
      <c r="AB222" s="502"/>
      <c r="AC222" s="502"/>
      <c r="AD222" s="502"/>
      <c r="AE222" s="502"/>
      <c r="AF222" s="502"/>
      <c r="AG222" s="502"/>
      <c r="AH222" s="502"/>
      <c r="AI222" s="502"/>
      <c r="AJ222" s="502"/>
      <c r="AK222" s="502"/>
      <c r="AL222" s="502"/>
      <c r="AM222" s="502"/>
      <c r="AN222" s="502"/>
      <c r="AO222" s="502"/>
      <c r="AP222" s="502"/>
      <c r="AQ222" s="502"/>
      <c r="AR222" s="502"/>
      <c r="AS222" s="502"/>
      <c r="AT222" s="502"/>
      <c r="AU222" s="502"/>
    </row>
    <row r="223" spans="1:47" s="34" customFormat="1" ht="21" customHeight="1">
      <c r="A223" s="80" t="s">
        <v>93</v>
      </c>
      <c r="B223" s="83" t="s">
        <v>449</v>
      </c>
      <c r="C223" s="83" t="s">
        <v>409</v>
      </c>
      <c r="D223" s="649">
        <f>92989+108150</f>
        <v>201139</v>
      </c>
      <c r="E223" s="629"/>
      <c r="F223" s="649"/>
      <c r="G223" s="629"/>
      <c r="H223" s="25"/>
      <c r="I223" s="644"/>
      <c r="J223" s="644"/>
      <c r="K223" s="644"/>
      <c r="L223" s="644"/>
      <c r="M223" s="644"/>
      <c r="N223" s="644"/>
      <c r="O223" s="644"/>
      <c r="P223" s="644"/>
      <c r="Q223" s="644"/>
      <c r="R223" s="644"/>
      <c r="S223" s="644"/>
      <c r="T223" s="644"/>
      <c r="U223" s="644"/>
      <c r="V223" s="644"/>
      <c r="W223" s="644"/>
      <c r="X223" s="644"/>
      <c r="Y223" s="644"/>
      <c r="Z223" s="644"/>
      <c r="AA223" s="644"/>
      <c r="AB223" s="644"/>
      <c r="AC223" s="644"/>
      <c r="AD223" s="644"/>
      <c r="AE223" s="644"/>
      <c r="AF223" s="644"/>
      <c r="AG223" s="644"/>
      <c r="AH223" s="644"/>
      <c r="AI223" s="644"/>
      <c r="AJ223" s="644"/>
      <c r="AK223" s="644"/>
      <c r="AL223" s="644"/>
      <c r="AM223" s="644"/>
      <c r="AN223" s="644"/>
      <c r="AO223" s="644"/>
      <c r="AP223" s="644"/>
      <c r="AQ223" s="644"/>
      <c r="AR223" s="644"/>
      <c r="AS223" s="644"/>
      <c r="AT223" s="644"/>
      <c r="AU223" s="644"/>
    </row>
    <row r="224" spans="1:47" s="29" customFormat="1" ht="19.5" customHeight="1">
      <c r="A224" s="80" t="s">
        <v>418</v>
      </c>
      <c r="B224" s="83" t="s">
        <v>419</v>
      </c>
      <c r="C224" s="80" t="s">
        <v>292</v>
      </c>
      <c r="D224" s="187"/>
      <c r="E224" s="187"/>
      <c r="F224" s="187">
        <v>6340</v>
      </c>
      <c r="G224" s="187"/>
      <c r="H224" s="104"/>
      <c r="I224" s="503"/>
      <c r="J224" s="503"/>
      <c r="K224" s="503"/>
      <c r="L224" s="503"/>
      <c r="M224" s="503"/>
      <c r="N224" s="503"/>
      <c r="O224" s="503"/>
      <c r="P224" s="503"/>
      <c r="Q224" s="503"/>
      <c r="R224" s="503"/>
      <c r="S224" s="503"/>
      <c r="T224" s="503"/>
      <c r="U224" s="503"/>
      <c r="V224" s="503"/>
      <c r="W224" s="503"/>
      <c r="X224" s="503"/>
      <c r="Y224" s="503"/>
      <c r="Z224" s="503"/>
      <c r="AA224" s="503"/>
      <c r="AB224" s="503"/>
      <c r="AC224" s="503"/>
      <c r="AD224" s="503"/>
      <c r="AE224" s="503"/>
      <c r="AF224" s="503"/>
      <c r="AG224" s="503"/>
      <c r="AH224" s="503"/>
      <c r="AI224" s="503"/>
      <c r="AJ224" s="503"/>
      <c r="AK224" s="503"/>
      <c r="AL224" s="503"/>
      <c r="AM224" s="503"/>
      <c r="AN224" s="503"/>
      <c r="AO224" s="503"/>
      <c r="AP224" s="503"/>
      <c r="AQ224" s="503"/>
      <c r="AR224" s="503"/>
      <c r="AS224" s="503"/>
      <c r="AT224" s="503"/>
      <c r="AU224" s="503"/>
    </row>
    <row r="225" spans="1:47" s="3" customFormat="1" ht="21.75" customHeight="1">
      <c r="A225" s="651" t="s">
        <v>19</v>
      </c>
      <c r="B225" s="612"/>
      <c r="C225" s="119"/>
      <c r="D225" s="33">
        <f>D148+D149+D150+D151+D152+D153+D214+D215+D218+D223+D224</f>
        <v>315454.25</v>
      </c>
      <c r="E225" s="33">
        <f>E148+E149+E150+E151+E152+E153+E214+E215+E218+E223+E224</f>
        <v>2054.25</v>
      </c>
      <c r="F225" s="33">
        <f>F148+F149+F150+F151+F152+F153+F214+F215+F218+F223+F224</f>
        <v>498655.49</v>
      </c>
      <c r="G225" s="33">
        <f>G148+G149+G150+G151+G152+G153+G214+G215+G218+G223+G224</f>
        <v>2054.25</v>
      </c>
      <c r="H225" s="20"/>
      <c r="I225" s="642"/>
      <c r="J225" s="642"/>
      <c r="K225" s="642"/>
      <c r="L225" s="642"/>
      <c r="M225" s="642"/>
      <c r="N225" s="642"/>
      <c r="O225" s="642"/>
      <c r="P225" s="642"/>
      <c r="Q225" s="642"/>
      <c r="R225" s="642"/>
      <c r="S225" s="642"/>
      <c r="T225" s="642"/>
      <c r="U225" s="642"/>
      <c r="V225" s="642"/>
      <c r="W225" s="642"/>
      <c r="X225" s="642"/>
      <c r="Y225" s="642"/>
      <c r="Z225" s="642"/>
      <c r="AA225" s="642"/>
      <c r="AB225" s="642"/>
      <c r="AC225" s="642"/>
      <c r="AD225" s="642"/>
      <c r="AE225" s="642"/>
      <c r="AF225" s="642"/>
      <c r="AG225" s="642"/>
      <c r="AH225" s="642"/>
      <c r="AI225" s="642"/>
      <c r="AJ225" s="642"/>
      <c r="AK225" s="642"/>
      <c r="AL225" s="642"/>
      <c r="AM225" s="642"/>
      <c r="AN225" s="642"/>
      <c r="AO225" s="642"/>
      <c r="AP225" s="642"/>
      <c r="AQ225" s="642"/>
      <c r="AR225" s="642"/>
      <c r="AS225" s="642"/>
      <c r="AT225" s="642"/>
      <c r="AU225" s="642"/>
    </row>
    <row r="226" spans="1:47" s="3" customFormat="1" ht="18.75" customHeight="1">
      <c r="A226" s="120"/>
      <c r="B226" s="121"/>
      <c r="C226" s="122"/>
      <c r="D226" s="27"/>
      <c r="E226" s="27"/>
      <c r="F226" s="27"/>
      <c r="G226" s="27"/>
      <c r="H226" s="20"/>
      <c r="I226" s="642"/>
      <c r="J226" s="642"/>
      <c r="K226" s="642"/>
      <c r="L226" s="642"/>
      <c r="M226" s="642"/>
      <c r="N226" s="642"/>
      <c r="O226" s="642"/>
      <c r="P226" s="642"/>
      <c r="Q226" s="642"/>
      <c r="R226" s="642"/>
      <c r="S226" s="642"/>
      <c r="T226" s="642"/>
      <c r="U226" s="642"/>
      <c r="V226" s="642"/>
      <c r="W226" s="642"/>
      <c r="X226" s="642"/>
      <c r="Y226" s="642"/>
      <c r="Z226" s="642"/>
      <c r="AA226" s="642"/>
      <c r="AB226" s="642"/>
      <c r="AC226" s="642"/>
      <c r="AD226" s="642"/>
      <c r="AE226" s="642"/>
      <c r="AF226" s="642"/>
      <c r="AG226" s="642"/>
      <c r="AH226" s="642"/>
      <c r="AI226" s="642"/>
      <c r="AJ226" s="642"/>
      <c r="AK226" s="642"/>
      <c r="AL226" s="642"/>
      <c r="AM226" s="642"/>
      <c r="AN226" s="642"/>
      <c r="AO226" s="642"/>
      <c r="AP226" s="642"/>
      <c r="AQ226" s="642"/>
      <c r="AR226" s="642"/>
      <c r="AS226" s="642"/>
      <c r="AT226" s="642"/>
      <c r="AU226" s="642"/>
    </row>
    <row r="227" spans="1:47" s="3" customFormat="1" ht="18.75" customHeight="1">
      <c r="A227" s="120"/>
      <c r="B227" s="121"/>
      <c r="C227" s="122"/>
      <c r="D227" s="27"/>
      <c r="E227" s="27"/>
      <c r="F227" s="27"/>
      <c r="G227" s="27"/>
      <c r="H227" s="20"/>
      <c r="I227" s="642"/>
      <c r="J227" s="642"/>
      <c r="K227" s="642"/>
      <c r="L227" s="642"/>
      <c r="M227" s="642"/>
      <c r="N227" s="642"/>
      <c r="O227" s="642"/>
      <c r="P227" s="642"/>
      <c r="Q227" s="642"/>
      <c r="R227" s="642"/>
      <c r="S227" s="642"/>
      <c r="T227" s="642"/>
      <c r="U227" s="642"/>
      <c r="V227" s="642"/>
      <c r="W227" s="642"/>
      <c r="X227" s="642"/>
      <c r="Y227" s="642"/>
      <c r="Z227" s="642"/>
      <c r="AA227" s="642"/>
      <c r="AB227" s="642"/>
      <c r="AC227" s="642"/>
      <c r="AD227" s="642"/>
      <c r="AE227" s="642"/>
      <c r="AF227" s="642"/>
      <c r="AG227" s="642"/>
      <c r="AH227" s="642"/>
      <c r="AI227" s="642"/>
      <c r="AJ227" s="642"/>
      <c r="AK227" s="642"/>
      <c r="AL227" s="642"/>
      <c r="AM227" s="642"/>
      <c r="AN227" s="642"/>
      <c r="AO227" s="642"/>
      <c r="AP227" s="642"/>
      <c r="AQ227" s="642"/>
      <c r="AR227" s="642"/>
      <c r="AS227" s="642"/>
      <c r="AT227" s="642"/>
      <c r="AU227" s="642"/>
    </row>
    <row r="228" spans="1:8" ht="18.75">
      <c r="A228" s="113" t="s">
        <v>20</v>
      </c>
      <c r="B228" s="100"/>
      <c r="C228" s="115"/>
      <c r="D228" s="18"/>
      <c r="E228" s="18"/>
      <c r="F228" s="18"/>
      <c r="G228" s="18"/>
      <c r="H228" s="21"/>
    </row>
    <row r="229" spans="1:8" ht="18.75">
      <c r="A229" s="113"/>
      <c r="B229" s="100"/>
      <c r="C229" s="115"/>
      <c r="D229" s="18"/>
      <c r="E229" s="18"/>
      <c r="F229" s="18"/>
      <c r="G229" s="18"/>
      <c r="H229" s="21"/>
    </row>
    <row r="230" spans="1:8" ht="14.25" customHeight="1">
      <c r="A230" s="113"/>
      <c r="B230" s="100"/>
      <c r="C230" s="115"/>
      <c r="D230" s="18"/>
      <c r="E230" s="18"/>
      <c r="F230" s="18"/>
      <c r="G230" s="18"/>
      <c r="H230" s="21"/>
    </row>
    <row r="231" spans="1:8" ht="18.75">
      <c r="A231" s="116" t="s">
        <v>67</v>
      </c>
      <c r="B231" s="114"/>
      <c r="C231" s="117"/>
      <c r="D231" s="19"/>
      <c r="E231" s="19"/>
      <c r="F231" s="19"/>
      <c r="G231" s="19"/>
      <c r="H231" s="17"/>
    </row>
    <row r="232" spans="1:8" ht="18.75">
      <c r="A232" s="116"/>
      <c r="B232" s="114"/>
      <c r="C232" s="117"/>
      <c r="D232" s="19"/>
      <c r="E232" s="19"/>
      <c r="F232" s="19"/>
      <c r="G232" s="19"/>
      <c r="H232" s="17"/>
    </row>
    <row r="233" spans="1:8" ht="18.75">
      <c r="A233" s="123"/>
      <c r="B233" s="75"/>
      <c r="C233" s="124"/>
      <c r="D233" s="10" t="s">
        <v>10</v>
      </c>
      <c r="E233" s="11"/>
      <c r="F233" s="10" t="s">
        <v>44</v>
      </c>
      <c r="G233" s="11"/>
      <c r="H233" s="17"/>
    </row>
    <row r="234" spans="1:8" ht="13.5" customHeight="1">
      <c r="A234" s="125"/>
      <c r="B234" s="77"/>
      <c r="C234" s="126"/>
      <c r="D234" s="12" t="s">
        <v>13</v>
      </c>
      <c r="E234" s="11" t="s">
        <v>12</v>
      </c>
      <c r="F234" s="12" t="s">
        <v>13</v>
      </c>
      <c r="G234" s="11" t="s">
        <v>12</v>
      </c>
      <c r="H234" s="17"/>
    </row>
    <row r="235" spans="1:8" ht="27.75" customHeight="1">
      <c r="A235" s="127" t="s">
        <v>15</v>
      </c>
      <c r="B235" s="128" t="s">
        <v>21</v>
      </c>
      <c r="C235" s="129" t="s">
        <v>16</v>
      </c>
      <c r="D235" s="130" t="s">
        <v>17</v>
      </c>
      <c r="E235" s="131" t="s">
        <v>18</v>
      </c>
      <c r="F235" s="130" t="s">
        <v>17</v>
      </c>
      <c r="G235" s="131" t="s">
        <v>18</v>
      </c>
      <c r="H235" s="17"/>
    </row>
    <row r="236" spans="1:47" s="186" customFormat="1" ht="21" customHeight="1">
      <c r="A236" s="170" t="s">
        <v>474</v>
      </c>
      <c r="B236" s="82" t="s">
        <v>476</v>
      </c>
      <c r="C236" s="83" t="s">
        <v>292</v>
      </c>
      <c r="D236" s="32"/>
      <c r="E236" s="196"/>
      <c r="F236" s="32">
        <v>19000</v>
      </c>
      <c r="G236" s="196"/>
      <c r="H236" s="20"/>
      <c r="I236" s="646"/>
      <c r="J236" s="646"/>
      <c r="K236" s="646"/>
      <c r="L236" s="646"/>
      <c r="M236" s="646"/>
      <c r="N236" s="646"/>
      <c r="O236" s="646"/>
      <c r="P236" s="646"/>
      <c r="Q236" s="646"/>
      <c r="R236" s="646"/>
      <c r="S236" s="646"/>
      <c r="T236" s="646"/>
      <c r="U236" s="646"/>
      <c r="V236" s="646"/>
      <c r="W236" s="646"/>
      <c r="X236" s="646"/>
      <c r="Y236" s="646"/>
      <c r="Z236" s="646"/>
      <c r="AA236" s="646"/>
      <c r="AB236" s="646"/>
      <c r="AC236" s="646"/>
      <c r="AD236" s="646"/>
      <c r="AE236" s="646"/>
      <c r="AF236" s="646"/>
      <c r="AG236" s="646"/>
      <c r="AH236" s="646"/>
      <c r="AI236" s="646"/>
      <c r="AJ236" s="646"/>
      <c r="AK236" s="646"/>
      <c r="AL236" s="646"/>
      <c r="AM236" s="646"/>
      <c r="AN236" s="646"/>
      <c r="AO236" s="646"/>
      <c r="AP236" s="646"/>
      <c r="AQ236" s="646"/>
      <c r="AR236" s="646"/>
      <c r="AS236" s="646"/>
      <c r="AT236" s="646"/>
      <c r="AU236" s="646"/>
    </row>
    <row r="237" spans="1:47" s="186" customFormat="1" ht="21" customHeight="1">
      <c r="A237" s="170" t="s">
        <v>89</v>
      </c>
      <c r="B237" s="82"/>
      <c r="C237" s="83"/>
      <c r="D237" s="32">
        <f>D238+D244+D250+D257+D258+D265+D269+D274</f>
        <v>100602.64</v>
      </c>
      <c r="E237" s="32">
        <f>E238+E244+E250+E257+E258+E265+E269+E274</f>
        <v>0</v>
      </c>
      <c r="F237" s="32">
        <f>F238+F244+F250+F257+F258+F265+F269+F274</f>
        <v>43745.4</v>
      </c>
      <c r="G237" s="32">
        <f>G238+G244+G250+G257+G258+G265+G269+G274</f>
        <v>0</v>
      </c>
      <c r="H237" s="20"/>
      <c r="I237" s="646"/>
      <c r="J237" s="646"/>
      <c r="K237" s="646"/>
      <c r="L237" s="646"/>
      <c r="M237" s="646"/>
      <c r="N237" s="646"/>
      <c r="O237" s="646"/>
      <c r="P237" s="646"/>
      <c r="Q237" s="646"/>
      <c r="R237" s="646"/>
      <c r="S237" s="646"/>
      <c r="T237" s="646"/>
      <c r="U237" s="646"/>
      <c r="V237" s="646"/>
      <c r="W237" s="646"/>
      <c r="X237" s="646"/>
      <c r="Y237" s="646"/>
      <c r="Z237" s="646"/>
      <c r="AA237" s="646"/>
      <c r="AB237" s="646"/>
      <c r="AC237" s="646"/>
      <c r="AD237" s="646"/>
      <c r="AE237" s="646"/>
      <c r="AF237" s="646"/>
      <c r="AG237" s="646"/>
      <c r="AH237" s="646"/>
      <c r="AI237" s="646"/>
      <c r="AJ237" s="646"/>
      <c r="AK237" s="646"/>
      <c r="AL237" s="646"/>
      <c r="AM237" s="646"/>
      <c r="AN237" s="646"/>
      <c r="AO237" s="646"/>
      <c r="AP237" s="646"/>
      <c r="AQ237" s="646"/>
      <c r="AR237" s="646"/>
      <c r="AS237" s="646"/>
      <c r="AT237" s="646"/>
      <c r="AU237" s="646"/>
    </row>
    <row r="238" spans="1:47" s="35" customFormat="1" ht="21" customHeight="1">
      <c r="A238" s="511"/>
      <c r="B238" s="165" t="s">
        <v>420</v>
      </c>
      <c r="C238" s="86"/>
      <c r="D238" s="178">
        <f>SUM(D239:D243)</f>
        <v>5300</v>
      </c>
      <c r="E238" s="203"/>
      <c r="F238" s="178">
        <f>SUM(F239:F243)</f>
        <v>2874</v>
      </c>
      <c r="G238" s="203"/>
      <c r="H238" s="654"/>
      <c r="I238" s="351"/>
      <c r="J238" s="351"/>
      <c r="K238" s="351"/>
      <c r="L238" s="351"/>
      <c r="M238" s="351"/>
      <c r="N238" s="351"/>
      <c r="O238" s="351"/>
      <c r="P238" s="351"/>
      <c r="Q238" s="351"/>
      <c r="R238" s="351"/>
      <c r="S238" s="351"/>
      <c r="T238" s="351"/>
      <c r="U238" s="351"/>
      <c r="V238" s="351"/>
      <c r="W238" s="351"/>
      <c r="X238" s="351"/>
      <c r="Y238" s="351"/>
      <c r="Z238" s="351"/>
      <c r="AA238" s="351"/>
      <c r="AB238" s="351"/>
      <c r="AC238" s="351"/>
      <c r="AD238" s="351"/>
      <c r="AE238" s="351"/>
      <c r="AF238" s="351"/>
      <c r="AG238" s="351"/>
      <c r="AH238" s="351"/>
      <c r="AI238" s="351"/>
      <c r="AJ238" s="351"/>
      <c r="AK238" s="351"/>
      <c r="AL238" s="351"/>
      <c r="AM238" s="351"/>
      <c r="AN238" s="351"/>
      <c r="AO238" s="351"/>
      <c r="AP238" s="351"/>
      <c r="AQ238" s="351"/>
      <c r="AR238" s="351"/>
      <c r="AS238" s="351"/>
      <c r="AT238" s="351"/>
      <c r="AU238" s="351"/>
    </row>
    <row r="239" spans="1:47" s="35" customFormat="1" ht="21" customHeight="1">
      <c r="A239" s="198"/>
      <c r="B239" s="88"/>
      <c r="C239" s="86" t="s">
        <v>294</v>
      </c>
      <c r="D239" s="178"/>
      <c r="E239" s="203"/>
      <c r="F239" s="178">
        <v>161</v>
      </c>
      <c r="G239" s="203"/>
      <c r="H239" s="654"/>
      <c r="I239" s="351"/>
      <c r="J239" s="351"/>
      <c r="K239" s="351"/>
      <c r="L239" s="351"/>
      <c r="M239" s="351"/>
      <c r="N239" s="351"/>
      <c r="O239" s="351"/>
      <c r="P239" s="351"/>
      <c r="Q239" s="351"/>
      <c r="R239" s="351"/>
      <c r="S239" s="351"/>
      <c r="T239" s="351"/>
      <c r="U239" s="351"/>
      <c r="V239" s="351"/>
      <c r="W239" s="351"/>
      <c r="X239" s="351"/>
      <c r="Y239" s="351"/>
      <c r="Z239" s="351"/>
      <c r="AA239" s="351"/>
      <c r="AB239" s="351"/>
      <c r="AC239" s="351"/>
      <c r="AD239" s="351"/>
      <c r="AE239" s="351"/>
      <c r="AF239" s="351"/>
      <c r="AG239" s="351"/>
      <c r="AH239" s="351"/>
      <c r="AI239" s="351"/>
      <c r="AJ239" s="351"/>
      <c r="AK239" s="351"/>
      <c r="AL239" s="351"/>
      <c r="AM239" s="351"/>
      <c r="AN239" s="351"/>
      <c r="AO239" s="351"/>
      <c r="AP239" s="351"/>
      <c r="AQ239" s="351"/>
      <c r="AR239" s="351"/>
      <c r="AS239" s="351"/>
      <c r="AT239" s="351"/>
      <c r="AU239" s="351"/>
    </row>
    <row r="240" spans="1:47" s="35" customFormat="1" ht="21" customHeight="1">
      <c r="A240" s="198"/>
      <c r="B240" s="88"/>
      <c r="C240" s="86" t="s">
        <v>421</v>
      </c>
      <c r="D240" s="178">
        <v>5000</v>
      </c>
      <c r="E240" s="203"/>
      <c r="F240" s="178"/>
      <c r="G240" s="203"/>
      <c r="H240" s="654"/>
      <c r="I240" s="351"/>
      <c r="J240" s="351"/>
      <c r="K240" s="351"/>
      <c r="L240" s="351"/>
      <c r="M240" s="351"/>
      <c r="N240" s="351"/>
      <c r="O240" s="351"/>
      <c r="P240" s="351"/>
      <c r="Q240" s="351"/>
      <c r="R240" s="351"/>
      <c r="S240" s="351"/>
      <c r="T240" s="351"/>
      <c r="U240" s="351"/>
      <c r="V240" s="351"/>
      <c r="W240" s="351"/>
      <c r="X240" s="351"/>
      <c r="Y240" s="351"/>
      <c r="Z240" s="351"/>
      <c r="AA240" s="351"/>
      <c r="AB240" s="351"/>
      <c r="AC240" s="351"/>
      <c r="AD240" s="351"/>
      <c r="AE240" s="351"/>
      <c r="AF240" s="351"/>
      <c r="AG240" s="351"/>
      <c r="AH240" s="351"/>
      <c r="AI240" s="351"/>
      <c r="AJ240" s="351"/>
      <c r="AK240" s="351"/>
      <c r="AL240" s="351"/>
      <c r="AM240" s="351"/>
      <c r="AN240" s="351"/>
      <c r="AO240" s="351"/>
      <c r="AP240" s="351"/>
      <c r="AQ240" s="351"/>
      <c r="AR240" s="351"/>
      <c r="AS240" s="351"/>
      <c r="AT240" s="351"/>
      <c r="AU240" s="351"/>
    </row>
    <row r="241" spans="1:47" s="35" customFormat="1" ht="21" customHeight="1">
      <c r="A241" s="198"/>
      <c r="B241" s="88"/>
      <c r="C241" s="86" t="s">
        <v>422</v>
      </c>
      <c r="D241" s="178"/>
      <c r="E241" s="203"/>
      <c r="F241" s="178">
        <v>395</v>
      </c>
      <c r="G241" s="203"/>
      <c r="H241" s="654"/>
      <c r="I241" s="351"/>
      <c r="J241" s="351"/>
      <c r="K241" s="351"/>
      <c r="L241" s="351"/>
      <c r="M241" s="351"/>
      <c r="N241" s="351"/>
      <c r="O241" s="351"/>
      <c r="P241" s="351"/>
      <c r="Q241" s="351"/>
      <c r="R241" s="351"/>
      <c r="S241" s="351"/>
      <c r="T241" s="351"/>
      <c r="U241" s="351"/>
      <c r="V241" s="351"/>
      <c r="W241" s="351"/>
      <c r="X241" s="351"/>
      <c r="Y241" s="351"/>
      <c r="Z241" s="351"/>
      <c r="AA241" s="351"/>
      <c r="AB241" s="351"/>
      <c r="AC241" s="351"/>
      <c r="AD241" s="351"/>
      <c r="AE241" s="351"/>
      <c r="AF241" s="351"/>
      <c r="AG241" s="351"/>
      <c r="AH241" s="351"/>
      <c r="AI241" s="351"/>
      <c r="AJ241" s="351"/>
      <c r="AK241" s="351"/>
      <c r="AL241" s="351"/>
      <c r="AM241" s="351"/>
      <c r="AN241" s="351"/>
      <c r="AO241" s="351"/>
      <c r="AP241" s="351"/>
      <c r="AQ241" s="351"/>
      <c r="AR241" s="351"/>
      <c r="AS241" s="351"/>
      <c r="AT241" s="351"/>
      <c r="AU241" s="351"/>
    </row>
    <row r="242" spans="1:47" s="35" customFormat="1" ht="21" customHeight="1">
      <c r="A242" s="198"/>
      <c r="B242" s="88"/>
      <c r="C242" s="86" t="s">
        <v>90</v>
      </c>
      <c r="D242" s="178"/>
      <c r="E242" s="203"/>
      <c r="F242" s="178">
        <v>2318</v>
      </c>
      <c r="G242" s="203"/>
      <c r="H242" s="654"/>
      <c r="I242" s="351"/>
      <c r="J242" s="351"/>
      <c r="K242" s="351"/>
      <c r="L242" s="351"/>
      <c r="M242" s="351"/>
      <c r="N242" s="351"/>
      <c r="O242" s="351"/>
      <c r="P242" s="351"/>
      <c r="Q242" s="351"/>
      <c r="R242" s="351"/>
      <c r="S242" s="351"/>
      <c r="T242" s="351"/>
      <c r="U242" s="351"/>
      <c r="V242" s="351"/>
      <c r="W242" s="351"/>
      <c r="X242" s="351"/>
      <c r="Y242" s="351"/>
      <c r="Z242" s="351"/>
      <c r="AA242" s="351"/>
      <c r="AB242" s="351"/>
      <c r="AC242" s="351"/>
      <c r="AD242" s="351"/>
      <c r="AE242" s="351"/>
      <c r="AF242" s="351"/>
      <c r="AG242" s="351"/>
      <c r="AH242" s="351"/>
      <c r="AI242" s="351"/>
      <c r="AJ242" s="351"/>
      <c r="AK242" s="351"/>
      <c r="AL242" s="351"/>
      <c r="AM242" s="351"/>
      <c r="AN242" s="351"/>
      <c r="AO242" s="351"/>
      <c r="AP242" s="351"/>
      <c r="AQ242" s="351"/>
      <c r="AR242" s="351"/>
      <c r="AS242" s="351"/>
      <c r="AT242" s="351"/>
      <c r="AU242" s="351"/>
    </row>
    <row r="243" spans="1:47" s="35" customFormat="1" ht="21" customHeight="1">
      <c r="A243" s="198"/>
      <c r="B243" s="88"/>
      <c r="C243" s="86" t="s">
        <v>423</v>
      </c>
      <c r="D243" s="178">
        <v>300</v>
      </c>
      <c r="E243" s="203"/>
      <c r="F243" s="178"/>
      <c r="G243" s="203"/>
      <c r="H243" s="654"/>
      <c r="I243" s="351"/>
      <c r="J243" s="351"/>
      <c r="K243" s="351"/>
      <c r="L243" s="351"/>
      <c r="M243" s="351"/>
      <c r="N243" s="351"/>
      <c r="O243" s="351"/>
      <c r="P243" s="351"/>
      <c r="Q243" s="351"/>
      <c r="R243" s="351"/>
      <c r="S243" s="351"/>
      <c r="T243" s="351"/>
      <c r="U243" s="351"/>
      <c r="V243" s="351"/>
      <c r="W243" s="351"/>
      <c r="X243" s="351"/>
      <c r="Y243" s="351"/>
      <c r="Z243" s="351"/>
      <c r="AA243" s="351"/>
      <c r="AB243" s="351"/>
      <c r="AC243" s="351"/>
      <c r="AD243" s="351"/>
      <c r="AE243" s="351"/>
      <c r="AF243" s="351"/>
      <c r="AG243" s="351"/>
      <c r="AH243" s="351"/>
      <c r="AI243" s="351"/>
      <c r="AJ243" s="351"/>
      <c r="AK243" s="351"/>
      <c r="AL243" s="351"/>
      <c r="AM243" s="351"/>
      <c r="AN243" s="351"/>
      <c r="AO243" s="351"/>
      <c r="AP243" s="351"/>
      <c r="AQ243" s="351"/>
      <c r="AR243" s="351"/>
      <c r="AS243" s="351"/>
      <c r="AT243" s="351"/>
      <c r="AU243" s="351"/>
    </row>
    <row r="244" spans="1:47" s="35" customFormat="1" ht="21" customHeight="1">
      <c r="A244" s="198"/>
      <c r="B244" s="165" t="s">
        <v>424</v>
      </c>
      <c r="C244" s="86"/>
      <c r="D244" s="178">
        <f>SUM(D245:D249)</f>
        <v>9240</v>
      </c>
      <c r="E244" s="203"/>
      <c r="F244" s="178">
        <f>SUM(F245:F249)</f>
        <v>7000</v>
      </c>
      <c r="G244" s="203"/>
      <c r="H244" s="654"/>
      <c r="I244" s="351"/>
      <c r="J244" s="351"/>
      <c r="K244" s="351"/>
      <c r="L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X244" s="351"/>
      <c r="Y244" s="351"/>
      <c r="Z244" s="351"/>
      <c r="AA244" s="351"/>
      <c r="AB244" s="351"/>
      <c r="AC244" s="351"/>
      <c r="AD244" s="351"/>
      <c r="AE244" s="351"/>
      <c r="AF244" s="351"/>
      <c r="AG244" s="351"/>
      <c r="AH244" s="351"/>
      <c r="AI244" s="351"/>
      <c r="AJ244" s="351"/>
      <c r="AK244" s="351"/>
      <c r="AL244" s="351"/>
      <c r="AM244" s="351"/>
      <c r="AN244" s="351"/>
      <c r="AO244" s="351"/>
      <c r="AP244" s="351"/>
      <c r="AQ244" s="351"/>
      <c r="AR244" s="351"/>
      <c r="AS244" s="351"/>
      <c r="AT244" s="351"/>
      <c r="AU244" s="351"/>
    </row>
    <row r="245" spans="1:47" s="35" customFormat="1" ht="21" customHeight="1">
      <c r="A245" s="198"/>
      <c r="B245" s="88"/>
      <c r="C245" s="86" t="s">
        <v>94</v>
      </c>
      <c r="D245" s="178"/>
      <c r="E245" s="203"/>
      <c r="F245" s="178">
        <v>7000</v>
      </c>
      <c r="G245" s="203"/>
      <c r="H245" s="654"/>
      <c r="I245" s="351"/>
      <c r="J245" s="351"/>
      <c r="K245" s="351"/>
      <c r="L245" s="351"/>
      <c r="M245" s="351"/>
      <c r="N245" s="351"/>
      <c r="O245" s="351"/>
      <c r="P245" s="351"/>
      <c r="Q245" s="351"/>
      <c r="R245" s="351"/>
      <c r="S245" s="351"/>
      <c r="T245" s="351"/>
      <c r="U245" s="351"/>
      <c r="V245" s="351"/>
      <c r="W245" s="351"/>
      <c r="X245" s="351"/>
      <c r="Y245" s="351"/>
      <c r="Z245" s="351"/>
      <c r="AA245" s="351"/>
      <c r="AB245" s="351"/>
      <c r="AC245" s="351"/>
      <c r="AD245" s="351"/>
      <c r="AE245" s="351"/>
      <c r="AF245" s="351"/>
      <c r="AG245" s="351"/>
      <c r="AH245" s="351"/>
      <c r="AI245" s="351"/>
      <c r="AJ245" s="351"/>
      <c r="AK245" s="351"/>
      <c r="AL245" s="351"/>
      <c r="AM245" s="351"/>
      <c r="AN245" s="351"/>
      <c r="AO245" s="351"/>
      <c r="AP245" s="351"/>
      <c r="AQ245" s="351"/>
      <c r="AR245" s="351"/>
      <c r="AS245" s="351"/>
      <c r="AT245" s="351"/>
      <c r="AU245" s="351"/>
    </row>
    <row r="246" spans="1:47" s="35" customFormat="1" ht="21" customHeight="1">
      <c r="A246" s="198"/>
      <c r="B246" s="88"/>
      <c r="C246" s="86" t="s">
        <v>421</v>
      </c>
      <c r="D246" s="178">
        <v>5000</v>
      </c>
      <c r="E246" s="203"/>
      <c r="F246" s="178"/>
      <c r="G246" s="203"/>
      <c r="H246" s="654"/>
      <c r="I246" s="351"/>
      <c r="J246" s="351"/>
      <c r="K246" s="351"/>
      <c r="L246" s="351"/>
      <c r="M246" s="351"/>
      <c r="N246" s="351"/>
      <c r="O246" s="351"/>
      <c r="P246" s="351"/>
      <c r="Q246" s="351"/>
      <c r="R246" s="351"/>
      <c r="S246" s="351"/>
      <c r="T246" s="351"/>
      <c r="U246" s="351"/>
      <c r="V246" s="351"/>
      <c r="W246" s="351"/>
      <c r="X246" s="351"/>
      <c r="Y246" s="351"/>
      <c r="Z246" s="351"/>
      <c r="AA246" s="351"/>
      <c r="AB246" s="351"/>
      <c r="AC246" s="351"/>
      <c r="AD246" s="351"/>
      <c r="AE246" s="351"/>
      <c r="AF246" s="351"/>
      <c r="AG246" s="351"/>
      <c r="AH246" s="351"/>
      <c r="AI246" s="351"/>
      <c r="AJ246" s="351"/>
      <c r="AK246" s="351"/>
      <c r="AL246" s="351"/>
      <c r="AM246" s="351"/>
      <c r="AN246" s="351"/>
      <c r="AO246" s="351"/>
      <c r="AP246" s="351"/>
      <c r="AQ246" s="351"/>
      <c r="AR246" s="351"/>
      <c r="AS246" s="351"/>
      <c r="AT246" s="351"/>
      <c r="AU246" s="351"/>
    </row>
    <row r="247" spans="1:47" s="35" customFormat="1" ht="21" customHeight="1">
      <c r="A247" s="198"/>
      <c r="B247" s="88"/>
      <c r="C247" s="86" t="s">
        <v>422</v>
      </c>
      <c r="D247" s="178">
        <v>32</v>
      </c>
      <c r="E247" s="203"/>
      <c r="F247" s="178"/>
      <c r="G247" s="203"/>
      <c r="H247" s="654"/>
      <c r="I247" s="351"/>
      <c r="J247" s="351"/>
      <c r="K247" s="351"/>
      <c r="L247" s="351"/>
      <c r="M247" s="351"/>
      <c r="N247" s="351"/>
      <c r="O247" s="351"/>
      <c r="P247" s="351"/>
      <c r="Q247" s="351"/>
      <c r="R247" s="351"/>
      <c r="S247" s="351"/>
      <c r="T247" s="351"/>
      <c r="U247" s="351"/>
      <c r="V247" s="351"/>
      <c r="W247" s="351"/>
      <c r="X247" s="351"/>
      <c r="Y247" s="351"/>
      <c r="Z247" s="351"/>
      <c r="AA247" s="351"/>
      <c r="AB247" s="351"/>
      <c r="AC247" s="351"/>
      <c r="AD247" s="351"/>
      <c r="AE247" s="351"/>
      <c r="AF247" s="351"/>
      <c r="AG247" s="351"/>
      <c r="AH247" s="351"/>
      <c r="AI247" s="351"/>
      <c r="AJ247" s="351"/>
      <c r="AK247" s="351"/>
      <c r="AL247" s="351"/>
      <c r="AM247" s="351"/>
      <c r="AN247" s="351"/>
      <c r="AO247" s="351"/>
      <c r="AP247" s="351"/>
      <c r="AQ247" s="351"/>
      <c r="AR247" s="351"/>
      <c r="AS247" s="351"/>
      <c r="AT247" s="351"/>
      <c r="AU247" s="351"/>
    </row>
    <row r="248" spans="1:47" s="35" customFormat="1" ht="21" customHeight="1">
      <c r="A248" s="198"/>
      <c r="B248" s="88"/>
      <c r="C248" s="86" t="s">
        <v>90</v>
      </c>
      <c r="D248" s="178">
        <v>3828</v>
      </c>
      <c r="E248" s="203"/>
      <c r="F248" s="178"/>
      <c r="G248" s="203"/>
      <c r="H248" s="654"/>
      <c r="I248" s="351"/>
      <c r="J248" s="351"/>
      <c r="K248" s="351"/>
      <c r="L248" s="351"/>
      <c r="M248" s="351"/>
      <c r="N248" s="351"/>
      <c r="O248" s="351"/>
      <c r="P248" s="351"/>
      <c r="Q248" s="351"/>
      <c r="R248" s="351"/>
      <c r="S248" s="351"/>
      <c r="T248" s="351"/>
      <c r="U248" s="351"/>
      <c r="V248" s="351"/>
      <c r="W248" s="351"/>
      <c r="X248" s="351"/>
      <c r="Y248" s="351"/>
      <c r="Z248" s="351"/>
      <c r="AA248" s="351"/>
      <c r="AB248" s="351"/>
      <c r="AC248" s="351"/>
      <c r="AD248" s="351"/>
      <c r="AE248" s="351"/>
      <c r="AF248" s="351"/>
      <c r="AG248" s="351"/>
      <c r="AH248" s="351"/>
      <c r="AI248" s="351"/>
      <c r="AJ248" s="351"/>
      <c r="AK248" s="351"/>
      <c r="AL248" s="351"/>
      <c r="AM248" s="351"/>
      <c r="AN248" s="351"/>
      <c r="AO248" s="351"/>
      <c r="AP248" s="351"/>
      <c r="AQ248" s="351"/>
      <c r="AR248" s="351"/>
      <c r="AS248" s="351"/>
      <c r="AT248" s="351"/>
      <c r="AU248" s="351"/>
    </row>
    <row r="249" spans="1:47" s="35" customFormat="1" ht="21" customHeight="1">
      <c r="A249" s="198"/>
      <c r="B249" s="88"/>
      <c r="C249" s="86" t="s">
        <v>423</v>
      </c>
      <c r="D249" s="178">
        <v>380</v>
      </c>
      <c r="E249" s="203"/>
      <c r="F249" s="178"/>
      <c r="G249" s="203"/>
      <c r="H249" s="654"/>
      <c r="I249" s="351"/>
      <c r="J249" s="351"/>
      <c r="K249" s="351"/>
      <c r="L249" s="351"/>
      <c r="M249" s="351"/>
      <c r="N249" s="351"/>
      <c r="O249" s="351"/>
      <c r="P249" s="351"/>
      <c r="Q249" s="351"/>
      <c r="R249" s="351"/>
      <c r="S249" s="351"/>
      <c r="T249" s="351"/>
      <c r="U249" s="351"/>
      <c r="V249" s="351"/>
      <c r="W249" s="351"/>
      <c r="X249" s="351"/>
      <c r="Y249" s="351"/>
      <c r="Z249" s="351"/>
      <c r="AA249" s="351"/>
      <c r="AB249" s="351"/>
      <c r="AC249" s="351"/>
      <c r="AD249" s="351"/>
      <c r="AE249" s="351"/>
      <c r="AF249" s="351"/>
      <c r="AG249" s="351"/>
      <c r="AH249" s="351"/>
      <c r="AI249" s="351"/>
      <c r="AJ249" s="351"/>
      <c r="AK249" s="351"/>
      <c r="AL249" s="351"/>
      <c r="AM249" s="351"/>
      <c r="AN249" s="351"/>
      <c r="AO249" s="351"/>
      <c r="AP249" s="351"/>
      <c r="AQ249" s="351"/>
      <c r="AR249" s="351"/>
      <c r="AS249" s="351"/>
      <c r="AT249" s="351"/>
      <c r="AU249" s="351"/>
    </row>
    <row r="250" spans="1:47" s="35" customFormat="1" ht="21" customHeight="1">
      <c r="A250" s="198"/>
      <c r="B250" s="165" t="s">
        <v>425</v>
      </c>
      <c r="C250" s="86"/>
      <c r="D250" s="178">
        <f>SUM(D251:D256)</f>
        <v>2151</v>
      </c>
      <c r="E250" s="203"/>
      <c r="F250" s="178">
        <f>SUM(F251:F256)</f>
        <v>17582</v>
      </c>
      <c r="G250" s="203"/>
      <c r="H250" s="654"/>
      <c r="I250" s="351"/>
      <c r="J250" s="351"/>
      <c r="K250" s="351"/>
      <c r="L250" s="351"/>
      <c r="M250" s="351"/>
      <c r="N250" s="351"/>
      <c r="O250" s="351"/>
      <c r="P250" s="351"/>
      <c r="Q250" s="351"/>
      <c r="R250" s="351"/>
      <c r="S250" s="351"/>
      <c r="T250" s="351"/>
      <c r="U250" s="351"/>
      <c r="V250" s="351"/>
      <c r="W250" s="351"/>
      <c r="X250" s="351"/>
      <c r="Y250" s="351"/>
      <c r="Z250" s="351"/>
      <c r="AA250" s="351"/>
      <c r="AB250" s="351"/>
      <c r="AC250" s="351"/>
      <c r="AD250" s="351"/>
      <c r="AE250" s="351"/>
      <c r="AF250" s="351"/>
      <c r="AG250" s="351"/>
      <c r="AH250" s="351"/>
      <c r="AI250" s="351"/>
      <c r="AJ250" s="351"/>
      <c r="AK250" s="351"/>
      <c r="AL250" s="351"/>
      <c r="AM250" s="351"/>
      <c r="AN250" s="351"/>
      <c r="AO250" s="351"/>
      <c r="AP250" s="351"/>
      <c r="AQ250" s="351"/>
      <c r="AR250" s="351"/>
      <c r="AS250" s="351"/>
      <c r="AT250" s="351"/>
      <c r="AU250" s="351"/>
    </row>
    <row r="251" spans="1:47" s="35" customFormat="1" ht="21" customHeight="1">
      <c r="A251" s="198"/>
      <c r="B251" s="88"/>
      <c r="C251" s="86" t="s">
        <v>94</v>
      </c>
      <c r="D251" s="178"/>
      <c r="E251" s="203"/>
      <c r="F251" s="178">
        <v>5582</v>
      </c>
      <c r="G251" s="203"/>
      <c r="H251" s="654"/>
      <c r="I251" s="351"/>
      <c r="J251" s="351"/>
      <c r="K251" s="351"/>
      <c r="L251" s="351"/>
      <c r="M251" s="351"/>
      <c r="N251" s="351"/>
      <c r="O251" s="351"/>
      <c r="P251" s="351"/>
      <c r="Q251" s="351"/>
      <c r="R251" s="351"/>
      <c r="S251" s="351"/>
      <c r="T251" s="351"/>
      <c r="U251" s="351"/>
      <c r="V251" s="351"/>
      <c r="W251" s="351"/>
      <c r="X251" s="351"/>
      <c r="Y251" s="351"/>
      <c r="Z251" s="351"/>
      <c r="AA251" s="351"/>
      <c r="AB251" s="351"/>
      <c r="AC251" s="351"/>
      <c r="AD251" s="351"/>
      <c r="AE251" s="351"/>
      <c r="AF251" s="351"/>
      <c r="AG251" s="351"/>
      <c r="AH251" s="351"/>
      <c r="AI251" s="351"/>
      <c r="AJ251" s="351"/>
      <c r="AK251" s="351"/>
      <c r="AL251" s="351"/>
      <c r="AM251" s="351"/>
      <c r="AN251" s="351"/>
      <c r="AO251" s="351"/>
      <c r="AP251" s="351"/>
      <c r="AQ251" s="351"/>
      <c r="AR251" s="351"/>
      <c r="AS251" s="351"/>
      <c r="AT251" s="351"/>
      <c r="AU251" s="351"/>
    </row>
    <row r="252" spans="1:47" s="35" customFormat="1" ht="21" customHeight="1">
      <c r="A252" s="198"/>
      <c r="B252" s="88"/>
      <c r="C252" s="86" t="s">
        <v>95</v>
      </c>
      <c r="D252" s="178"/>
      <c r="E252" s="203"/>
      <c r="F252" s="178">
        <v>12000</v>
      </c>
      <c r="G252" s="203"/>
      <c r="H252" s="654"/>
      <c r="I252" s="351"/>
      <c r="J252" s="351"/>
      <c r="K252" s="351"/>
      <c r="L252" s="351"/>
      <c r="M252" s="351"/>
      <c r="N252" s="351"/>
      <c r="O252" s="351"/>
      <c r="P252" s="351"/>
      <c r="Q252" s="351"/>
      <c r="R252" s="351"/>
      <c r="S252" s="351"/>
      <c r="T252" s="351"/>
      <c r="U252" s="351"/>
      <c r="V252" s="351"/>
      <c r="W252" s="351"/>
      <c r="X252" s="351"/>
      <c r="Y252" s="351"/>
      <c r="Z252" s="351"/>
      <c r="AA252" s="351"/>
      <c r="AB252" s="351"/>
      <c r="AC252" s="351"/>
      <c r="AD252" s="351"/>
      <c r="AE252" s="351"/>
      <c r="AF252" s="351"/>
      <c r="AG252" s="351"/>
      <c r="AH252" s="351"/>
      <c r="AI252" s="351"/>
      <c r="AJ252" s="351"/>
      <c r="AK252" s="351"/>
      <c r="AL252" s="351"/>
      <c r="AM252" s="351"/>
      <c r="AN252" s="351"/>
      <c r="AO252" s="351"/>
      <c r="AP252" s="351"/>
      <c r="AQ252" s="351"/>
      <c r="AR252" s="351"/>
      <c r="AS252" s="351"/>
      <c r="AT252" s="351"/>
      <c r="AU252" s="351"/>
    </row>
    <row r="253" spans="1:47" s="35" customFormat="1" ht="21" customHeight="1">
      <c r="A253" s="198"/>
      <c r="B253" s="88"/>
      <c r="C253" s="86" t="s">
        <v>294</v>
      </c>
      <c r="D253" s="178">
        <v>60</v>
      </c>
      <c r="E253" s="203"/>
      <c r="F253" s="178"/>
      <c r="G253" s="203"/>
      <c r="H253" s="654"/>
      <c r="I253" s="351"/>
      <c r="J253" s="351"/>
      <c r="K253" s="351"/>
      <c r="L253" s="351"/>
      <c r="M253" s="351"/>
      <c r="N253" s="351"/>
      <c r="O253" s="351"/>
      <c r="P253" s="351"/>
      <c r="Q253" s="351"/>
      <c r="R253" s="351"/>
      <c r="S253" s="351"/>
      <c r="T253" s="351"/>
      <c r="U253" s="351"/>
      <c r="V253" s="351"/>
      <c r="W253" s="351"/>
      <c r="X253" s="351"/>
      <c r="Y253" s="351"/>
      <c r="Z253" s="351"/>
      <c r="AA253" s="351"/>
      <c r="AB253" s="351"/>
      <c r="AC253" s="351"/>
      <c r="AD253" s="351"/>
      <c r="AE253" s="351"/>
      <c r="AF253" s="351"/>
      <c r="AG253" s="351"/>
      <c r="AH253" s="351"/>
      <c r="AI253" s="351"/>
      <c r="AJ253" s="351"/>
      <c r="AK253" s="351"/>
      <c r="AL253" s="351"/>
      <c r="AM253" s="351"/>
      <c r="AN253" s="351"/>
      <c r="AO253" s="351"/>
      <c r="AP253" s="351"/>
      <c r="AQ253" s="351"/>
      <c r="AR253" s="351"/>
      <c r="AS253" s="351"/>
      <c r="AT253" s="351"/>
      <c r="AU253" s="351"/>
    </row>
    <row r="254" spans="1:47" s="35" customFormat="1" ht="21" customHeight="1">
      <c r="A254" s="198"/>
      <c r="B254" s="88"/>
      <c r="C254" s="86" t="s">
        <v>421</v>
      </c>
      <c r="D254" s="178">
        <v>1000</v>
      </c>
      <c r="E254" s="203"/>
      <c r="F254" s="178"/>
      <c r="G254" s="203"/>
      <c r="H254" s="654"/>
      <c r="I254" s="351"/>
      <c r="J254" s="351"/>
      <c r="K254" s="351"/>
      <c r="L254" s="351"/>
      <c r="M254" s="351"/>
      <c r="N254" s="351"/>
      <c r="O254" s="351"/>
      <c r="P254" s="351"/>
      <c r="Q254" s="351"/>
      <c r="R254" s="351"/>
      <c r="S254" s="351"/>
      <c r="T254" s="351"/>
      <c r="U254" s="351"/>
      <c r="V254" s="351"/>
      <c r="W254" s="351"/>
      <c r="X254" s="351"/>
      <c r="Y254" s="351"/>
      <c r="Z254" s="351"/>
      <c r="AA254" s="351"/>
      <c r="AB254" s="351"/>
      <c r="AC254" s="351"/>
      <c r="AD254" s="351"/>
      <c r="AE254" s="351"/>
      <c r="AF254" s="351"/>
      <c r="AG254" s="351"/>
      <c r="AH254" s="351"/>
      <c r="AI254" s="351"/>
      <c r="AJ254" s="351"/>
      <c r="AK254" s="351"/>
      <c r="AL254" s="351"/>
      <c r="AM254" s="351"/>
      <c r="AN254" s="351"/>
      <c r="AO254" s="351"/>
      <c r="AP254" s="351"/>
      <c r="AQ254" s="351"/>
      <c r="AR254" s="351"/>
      <c r="AS254" s="351"/>
      <c r="AT254" s="351"/>
      <c r="AU254" s="351"/>
    </row>
    <row r="255" spans="1:47" s="35" customFormat="1" ht="21" customHeight="1">
      <c r="A255" s="198"/>
      <c r="B255" s="88"/>
      <c r="C255" s="86" t="s">
        <v>90</v>
      </c>
      <c r="D255" s="178">
        <v>951</v>
      </c>
      <c r="E255" s="203"/>
      <c r="F255" s="178"/>
      <c r="G255" s="203"/>
      <c r="H255" s="654"/>
      <c r="I255" s="351"/>
      <c r="J255" s="351"/>
      <c r="K255" s="351"/>
      <c r="L255" s="351"/>
      <c r="M255" s="351"/>
      <c r="N255" s="351"/>
      <c r="O255" s="351"/>
      <c r="P255" s="351"/>
      <c r="Q255" s="351"/>
      <c r="R255" s="351"/>
      <c r="S255" s="351"/>
      <c r="T255" s="351"/>
      <c r="U255" s="351"/>
      <c r="V255" s="351"/>
      <c r="W255" s="351"/>
      <c r="X255" s="351"/>
      <c r="Y255" s="351"/>
      <c r="Z255" s="351"/>
      <c r="AA255" s="351"/>
      <c r="AB255" s="351"/>
      <c r="AC255" s="351"/>
      <c r="AD255" s="351"/>
      <c r="AE255" s="351"/>
      <c r="AF255" s="351"/>
      <c r="AG255" s="351"/>
      <c r="AH255" s="351"/>
      <c r="AI255" s="351"/>
      <c r="AJ255" s="351"/>
      <c r="AK255" s="351"/>
      <c r="AL255" s="351"/>
      <c r="AM255" s="351"/>
      <c r="AN255" s="351"/>
      <c r="AO255" s="351"/>
      <c r="AP255" s="351"/>
      <c r="AQ255" s="351"/>
      <c r="AR255" s="351"/>
      <c r="AS255" s="351"/>
      <c r="AT255" s="351"/>
      <c r="AU255" s="351"/>
    </row>
    <row r="256" spans="1:47" s="35" customFormat="1" ht="21" customHeight="1">
      <c r="A256" s="198"/>
      <c r="B256" s="88"/>
      <c r="C256" s="165" t="s">
        <v>423</v>
      </c>
      <c r="D256" s="178">
        <v>140</v>
      </c>
      <c r="E256" s="203"/>
      <c r="F256" s="178"/>
      <c r="G256" s="203"/>
      <c r="H256" s="654"/>
      <c r="I256" s="351"/>
      <c r="J256" s="351"/>
      <c r="K256" s="351"/>
      <c r="L256" s="351"/>
      <c r="M256" s="351"/>
      <c r="N256" s="351"/>
      <c r="O256" s="351"/>
      <c r="P256" s="351"/>
      <c r="Q256" s="351"/>
      <c r="R256" s="351"/>
      <c r="S256" s="351"/>
      <c r="T256" s="351"/>
      <c r="U256" s="351"/>
      <c r="V256" s="351"/>
      <c r="W256" s="351"/>
      <c r="X256" s="351"/>
      <c r="Y256" s="351"/>
      <c r="Z256" s="351"/>
      <c r="AA256" s="351"/>
      <c r="AB256" s="351"/>
      <c r="AC256" s="351"/>
      <c r="AD256" s="351"/>
      <c r="AE256" s="351"/>
      <c r="AF256" s="351"/>
      <c r="AG256" s="351"/>
      <c r="AH256" s="351"/>
      <c r="AI256" s="351"/>
      <c r="AJ256" s="351"/>
      <c r="AK256" s="351"/>
      <c r="AL256" s="351"/>
      <c r="AM256" s="351"/>
      <c r="AN256" s="351"/>
      <c r="AO256" s="351"/>
      <c r="AP256" s="351"/>
      <c r="AQ256" s="351"/>
      <c r="AR256" s="351"/>
      <c r="AS256" s="351"/>
      <c r="AT256" s="351"/>
      <c r="AU256" s="351"/>
    </row>
    <row r="257" spans="1:47" s="35" customFormat="1" ht="21" customHeight="1">
      <c r="A257" s="198"/>
      <c r="B257" s="165" t="s">
        <v>433</v>
      </c>
      <c r="C257" s="86" t="s">
        <v>94</v>
      </c>
      <c r="D257" s="178">
        <v>32504</v>
      </c>
      <c r="E257" s="203"/>
      <c r="F257" s="178"/>
      <c r="G257" s="203"/>
      <c r="H257" s="654"/>
      <c r="I257" s="351"/>
      <c r="J257" s="351"/>
      <c r="K257" s="351"/>
      <c r="L257" s="351"/>
      <c r="M257" s="351"/>
      <c r="N257" s="351"/>
      <c r="O257" s="351"/>
      <c r="P257" s="351"/>
      <c r="Q257" s="351"/>
      <c r="R257" s="351"/>
      <c r="S257" s="351"/>
      <c r="T257" s="351"/>
      <c r="U257" s="351"/>
      <c r="V257" s="351"/>
      <c r="W257" s="351"/>
      <c r="X257" s="351"/>
      <c r="Y257" s="351"/>
      <c r="Z257" s="351"/>
      <c r="AA257" s="351"/>
      <c r="AB257" s="351"/>
      <c r="AC257" s="351"/>
      <c r="AD257" s="351"/>
      <c r="AE257" s="351"/>
      <c r="AF257" s="351"/>
      <c r="AG257" s="351"/>
      <c r="AH257" s="351"/>
      <c r="AI257" s="351"/>
      <c r="AJ257" s="351"/>
      <c r="AK257" s="351"/>
      <c r="AL257" s="351"/>
      <c r="AM257" s="351"/>
      <c r="AN257" s="351"/>
      <c r="AO257" s="351"/>
      <c r="AP257" s="351"/>
      <c r="AQ257" s="351"/>
      <c r="AR257" s="351"/>
      <c r="AS257" s="351"/>
      <c r="AT257" s="351"/>
      <c r="AU257" s="351"/>
    </row>
    <row r="258" spans="1:47" s="35" customFormat="1" ht="21" customHeight="1">
      <c r="A258" s="198"/>
      <c r="B258" s="165" t="s">
        <v>426</v>
      </c>
      <c r="C258" s="86"/>
      <c r="D258" s="178">
        <f>SUM(D259:D264)</f>
        <v>11104</v>
      </c>
      <c r="E258" s="203"/>
      <c r="F258" s="178">
        <f>SUM(F259:F264)</f>
        <v>1929</v>
      </c>
      <c r="G258" s="203"/>
      <c r="H258" s="654"/>
      <c r="I258" s="351"/>
      <c r="J258" s="351"/>
      <c r="K258" s="351"/>
      <c r="L258" s="351"/>
      <c r="M258" s="351"/>
      <c r="N258" s="351"/>
      <c r="O258" s="351"/>
      <c r="P258" s="351"/>
      <c r="Q258" s="351"/>
      <c r="R258" s="351"/>
      <c r="S258" s="351"/>
      <c r="T258" s="351"/>
      <c r="U258" s="351"/>
      <c r="V258" s="351"/>
      <c r="W258" s="351"/>
      <c r="X258" s="351"/>
      <c r="Y258" s="351"/>
      <c r="Z258" s="351"/>
      <c r="AA258" s="351"/>
      <c r="AB258" s="351"/>
      <c r="AC258" s="351"/>
      <c r="AD258" s="351"/>
      <c r="AE258" s="351"/>
      <c r="AF258" s="351"/>
      <c r="AG258" s="351"/>
      <c r="AH258" s="351"/>
      <c r="AI258" s="351"/>
      <c r="AJ258" s="351"/>
      <c r="AK258" s="351"/>
      <c r="AL258" s="351"/>
      <c r="AM258" s="351"/>
      <c r="AN258" s="351"/>
      <c r="AO258" s="351"/>
      <c r="AP258" s="351"/>
      <c r="AQ258" s="351"/>
      <c r="AR258" s="351"/>
      <c r="AS258" s="351"/>
      <c r="AT258" s="351"/>
      <c r="AU258" s="351"/>
    </row>
    <row r="259" spans="1:47" s="35" customFormat="1" ht="21" customHeight="1">
      <c r="A259" s="198"/>
      <c r="B259" s="88"/>
      <c r="C259" s="86" t="s">
        <v>427</v>
      </c>
      <c r="D259" s="178">
        <v>3158</v>
      </c>
      <c r="E259" s="203"/>
      <c r="F259" s="178"/>
      <c r="G259" s="203"/>
      <c r="H259" s="654"/>
      <c r="I259" s="351"/>
      <c r="J259" s="351"/>
      <c r="K259" s="351"/>
      <c r="L259" s="351"/>
      <c r="M259" s="351"/>
      <c r="N259" s="351"/>
      <c r="O259" s="351"/>
      <c r="P259" s="351"/>
      <c r="Q259" s="351"/>
      <c r="R259" s="351"/>
      <c r="S259" s="351"/>
      <c r="T259" s="351"/>
      <c r="U259" s="351"/>
      <c r="V259" s="351"/>
      <c r="W259" s="351"/>
      <c r="X259" s="351"/>
      <c r="Y259" s="351"/>
      <c r="Z259" s="351"/>
      <c r="AA259" s="351"/>
      <c r="AB259" s="351"/>
      <c r="AC259" s="351"/>
      <c r="AD259" s="351"/>
      <c r="AE259" s="351"/>
      <c r="AF259" s="351"/>
      <c r="AG259" s="351"/>
      <c r="AH259" s="351"/>
      <c r="AI259" s="351"/>
      <c r="AJ259" s="351"/>
      <c r="AK259" s="351"/>
      <c r="AL259" s="351"/>
      <c r="AM259" s="351"/>
      <c r="AN259" s="351"/>
      <c r="AO259" s="351"/>
      <c r="AP259" s="351"/>
      <c r="AQ259" s="351"/>
      <c r="AR259" s="351"/>
      <c r="AS259" s="351"/>
      <c r="AT259" s="351"/>
      <c r="AU259" s="351"/>
    </row>
    <row r="260" spans="1:47" s="35" customFormat="1" ht="21" customHeight="1">
      <c r="A260" s="198"/>
      <c r="B260" s="88"/>
      <c r="C260" s="86" t="s">
        <v>96</v>
      </c>
      <c r="D260" s="178">
        <v>1000</v>
      </c>
      <c r="E260" s="203"/>
      <c r="F260" s="178"/>
      <c r="G260" s="203"/>
      <c r="H260" s="654"/>
      <c r="I260" s="351"/>
      <c r="J260" s="351"/>
      <c r="K260" s="351"/>
      <c r="L260" s="351"/>
      <c r="M260" s="351"/>
      <c r="N260" s="351"/>
      <c r="O260" s="351"/>
      <c r="P260" s="351"/>
      <c r="Q260" s="351"/>
      <c r="R260" s="351"/>
      <c r="S260" s="351"/>
      <c r="T260" s="351"/>
      <c r="U260" s="351"/>
      <c r="V260" s="351"/>
      <c r="W260" s="351"/>
      <c r="X260" s="351"/>
      <c r="Y260" s="351"/>
      <c r="Z260" s="351"/>
      <c r="AA260" s="351"/>
      <c r="AB260" s="351"/>
      <c r="AC260" s="351"/>
      <c r="AD260" s="351"/>
      <c r="AE260" s="351"/>
      <c r="AF260" s="351"/>
      <c r="AG260" s="351"/>
      <c r="AH260" s="351"/>
      <c r="AI260" s="351"/>
      <c r="AJ260" s="351"/>
      <c r="AK260" s="351"/>
      <c r="AL260" s="351"/>
      <c r="AM260" s="351"/>
      <c r="AN260" s="351"/>
      <c r="AO260" s="351"/>
      <c r="AP260" s="351"/>
      <c r="AQ260" s="351"/>
      <c r="AR260" s="351"/>
      <c r="AS260" s="351"/>
      <c r="AT260" s="351"/>
      <c r="AU260" s="351"/>
    </row>
    <row r="261" spans="1:47" s="35" customFormat="1" ht="21" customHeight="1">
      <c r="A261" s="198"/>
      <c r="B261" s="88"/>
      <c r="C261" s="86" t="s">
        <v>421</v>
      </c>
      <c r="D261" s="178">
        <v>5000</v>
      </c>
      <c r="E261" s="203"/>
      <c r="F261" s="178"/>
      <c r="G261" s="203"/>
      <c r="H261" s="654"/>
      <c r="I261" s="351"/>
      <c r="J261" s="351"/>
      <c r="K261" s="351"/>
      <c r="L261" s="351"/>
      <c r="M261" s="351"/>
      <c r="N261" s="351"/>
      <c r="O261" s="351"/>
      <c r="P261" s="351"/>
      <c r="Q261" s="351"/>
      <c r="R261" s="351"/>
      <c r="S261" s="351"/>
      <c r="T261" s="351"/>
      <c r="U261" s="351"/>
      <c r="V261" s="351"/>
      <c r="W261" s="351"/>
      <c r="X261" s="351"/>
      <c r="Y261" s="351"/>
      <c r="Z261" s="351"/>
      <c r="AA261" s="351"/>
      <c r="AB261" s="351"/>
      <c r="AC261" s="351"/>
      <c r="AD261" s="351"/>
      <c r="AE261" s="351"/>
      <c r="AF261" s="351"/>
      <c r="AG261" s="351"/>
      <c r="AH261" s="351"/>
      <c r="AI261" s="351"/>
      <c r="AJ261" s="351"/>
      <c r="AK261" s="351"/>
      <c r="AL261" s="351"/>
      <c r="AM261" s="351"/>
      <c r="AN261" s="351"/>
      <c r="AO261" s="351"/>
      <c r="AP261" s="351"/>
      <c r="AQ261" s="351"/>
      <c r="AR261" s="351"/>
      <c r="AS261" s="351"/>
      <c r="AT261" s="351"/>
      <c r="AU261" s="351"/>
    </row>
    <row r="262" spans="1:47" s="35" customFormat="1" ht="21" customHeight="1">
      <c r="A262" s="198"/>
      <c r="B262" s="88"/>
      <c r="C262" s="86" t="s">
        <v>422</v>
      </c>
      <c r="D262" s="178">
        <v>128</v>
      </c>
      <c r="E262" s="203"/>
      <c r="F262" s="178"/>
      <c r="G262" s="203"/>
      <c r="H262" s="654"/>
      <c r="I262" s="351"/>
      <c r="J262" s="351"/>
      <c r="K262" s="351"/>
      <c r="L262" s="351"/>
      <c r="M262" s="351"/>
      <c r="N262" s="351"/>
      <c r="O262" s="351"/>
      <c r="P262" s="351"/>
      <c r="Q262" s="351"/>
      <c r="R262" s="351"/>
      <c r="S262" s="351"/>
      <c r="T262" s="351"/>
      <c r="U262" s="351"/>
      <c r="V262" s="351"/>
      <c r="W262" s="351"/>
      <c r="X262" s="351"/>
      <c r="Y262" s="351"/>
      <c r="Z262" s="351"/>
      <c r="AA262" s="351"/>
      <c r="AB262" s="351"/>
      <c r="AC262" s="351"/>
      <c r="AD262" s="351"/>
      <c r="AE262" s="351"/>
      <c r="AF262" s="351"/>
      <c r="AG262" s="351"/>
      <c r="AH262" s="351"/>
      <c r="AI262" s="351"/>
      <c r="AJ262" s="351"/>
      <c r="AK262" s="351"/>
      <c r="AL262" s="351"/>
      <c r="AM262" s="351"/>
      <c r="AN262" s="351"/>
      <c r="AO262" s="351"/>
      <c r="AP262" s="351"/>
      <c r="AQ262" s="351"/>
      <c r="AR262" s="351"/>
      <c r="AS262" s="351"/>
      <c r="AT262" s="351"/>
      <c r="AU262" s="351"/>
    </row>
    <row r="263" spans="1:47" s="35" customFormat="1" ht="21" customHeight="1">
      <c r="A263" s="198"/>
      <c r="B263" s="88"/>
      <c r="C263" s="86" t="s">
        <v>90</v>
      </c>
      <c r="D263" s="178"/>
      <c r="E263" s="203"/>
      <c r="F263" s="178">
        <v>1929</v>
      </c>
      <c r="G263" s="203"/>
      <c r="H263" s="654"/>
      <c r="I263" s="351"/>
      <c r="J263" s="351"/>
      <c r="K263" s="351"/>
      <c r="L263" s="351"/>
      <c r="M263" s="351"/>
      <c r="N263" s="351"/>
      <c r="O263" s="351"/>
      <c r="P263" s="351"/>
      <c r="Q263" s="351"/>
      <c r="R263" s="351"/>
      <c r="S263" s="351"/>
      <c r="T263" s="351"/>
      <c r="U263" s="351"/>
      <c r="V263" s="351"/>
      <c r="W263" s="351"/>
      <c r="X263" s="351"/>
      <c r="Y263" s="351"/>
      <c r="Z263" s="351"/>
      <c r="AA263" s="351"/>
      <c r="AB263" s="351"/>
      <c r="AC263" s="351"/>
      <c r="AD263" s="351"/>
      <c r="AE263" s="351"/>
      <c r="AF263" s="351"/>
      <c r="AG263" s="351"/>
      <c r="AH263" s="351"/>
      <c r="AI263" s="351"/>
      <c r="AJ263" s="351"/>
      <c r="AK263" s="351"/>
      <c r="AL263" s="351"/>
      <c r="AM263" s="351"/>
      <c r="AN263" s="351"/>
      <c r="AO263" s="351"/>
      <c r="AP263" s="351"/>
      <c r="AQ263" s="351"/>
      <c r="AR263" s="351"/>
      <c r="AS263" s="351"/>
      <c r="AT263" s="351"/>
      <c r="AU263" s="351"/>
    </row>
    <row r="264" spans="1:47" s="35" customFormat="1" ht="21" customHeight="1">
      <c r="A264" s="198"/>
      <c r="B264" s="88"/>
      <c r="C264" s="86" t="s">
        <v>423</v>
      </c>
      <c r="D264" s="178">
        <v>1818</v>
      </c>
      <c r="E264" s="203"/>
      <c r="F264" s="178"/>
      <c r="G264" s="203"/>
      <c r="H264" s="654"/>
      <c r="I264" s="351"/>
      <c r="J264" s="351"/>
      <c r="K264" s="351"/>
      <c r="L264" s="351"/>
      <c r="M264" s="351"/>
      <c r="N264" s="351"/>
      <c r="O264" s="351"/>
      <c r="P264" s="351"/>
      <c r="Q264" s="351"/>
      <c r="R264" s="351"/>
      <c r="S264" s="351"/>
      <c r="T264" s="351"/>
      <c r="U264" s="351"/>
      <c r="V264" s="351"/>
      <c r="W264" s="351"/>
      <c r="X264" s="351"/>
      <c r="Y264" s="351"/>
      <c r="Z264" s="351"/>
      <c r="AA264" s="351"/>
      <c r="AB264" s="351"/>
      <c r="AC264" s="351"/>
      <c r="AD264" s="351"/>
      <c r="AE264" s="351"/>
      <c r="AF264" s="351"/>
      <c r="AG264" s="351"/>
      <c r="AH264" s="351"/>
      <c r="AI264" s="351"/>
      <c r="AJ264" s="351"/>
      <c r="AK264" s="351"/>
      <c r="AL264" s="351"/>
      <c r="AM264" s="351"/>
      <c r="AN264" s="351"/>
      <c r="AO264" s="351"/>
      <c r="AP264" s="351"/>
      <c r="AQ264" s="351"/>
      <c r="AR264" s="351"/>
      <c r="AS264" s="351"/>
      <c r="AT264" s="351"/>
      <c r="AU264" s="351"/>
    </row>
    <row r="265" spans="1:47" s="35" customFormat="1" ht="21" customHeight="1">
      <c r="A265" s="198"/>
      <c r="B265" s="165" t="s">
        <v>428</v>
      </c>
      <c r="C265" s="86"/>
      <c r="D265" s="178">
        <f>SUM(D266:D268)</f>
        <v>1000</v>
      </c>
      <c r="E265" s="203"/>
      <c r="F265" s="178">
        <f>SUM(F266:F268)</f>
        <v>1200</v>
      </c>
      <c r="G265" s="203"/>
      <c r="H265" s="654"/>
      <c r="I265" s="351"/>
      <c r="J265" s="351"/>
      <c r="K265" s="351"/>
      <c r="L265" s="351"/>
      <c r="M265" s="351"/>
      <c r="N265" s="351"/>
      <c r="O265" s="351"/>
      <c r="P265" s="351"/>
      <c r="Q265" s="351"/>
      <c r="R265" s="351"/>
      <c r="S265" s="351"/>
      <c r="T265" s="351"/>
      <c r="U265" s="351"/>
      <c r="V265" s="351"/>
      <c r="W265" s="351"/>
      <c r="X265" s="351"/>
      <c r="Y265" s="351"/>
      <c r="Z265" s="351"/>
      <c r="AA265" s="351"/>
      <c r="AB265" s="351"/>
      <c r="AC265" s="351"/>
      <c r="AD265" s="351"/>
      <c r="AE265" s="351"/>
      <c r="AF265" s="351"/>
      <c r="AG265" s="351"/>
      <c r="AH265" s="351"/>
      <c r="AI265" s="351"/>
      <c r="AJ265" s="351"/>
      <c r="AK265" s="351"/>
      <c r="AL265" s="351"/>
      <c r="AM265" s="351"/>
      <c r="AN265" s="351"/>
      <c r="AO265" s="351"/>
      <c r="AP265" s="351"/>
      <c r="AQ265" s="351"/>
      <c r="AR265" s="351"/>
      <c r="AS265" s="351"/>
      <c r="AT265" s="351"/>
      <c r="AU265" s="351"/>
    </row>
    <row r="266" spans="1:47" s="35" customFormat="1" ht="21" customHeight="1">
      <c r="A266" s="198"/>
      <c r="B266" s="88"/>
      <c r="C266" s="86" t="s">
        <v>429</v>
      </c>
      <c r="D266" s="178"/>
      <c r="E266" s="203"/>
      <c r="F266" s="178">
        <v>1200</v>
      </c>
      <c r="G266" s="203"/>
      <c r="H266" s="654"/>
      <c r="I266" s="351"/>
      <c r="J266" s="351"/>
      <c r="K266" s="351"/>
      <c r="L266" s="351"/>
      <c r="M266" s="351"/>
      <c r="N266" s="351"/>
      <c r="O266" s="351"/>
      <c r="P266" s="351"/>
      <c r="Q266" s="351"/>
      <c r="R266" s="351"/>
      <c r="S266" s="351"/>
      <c r="T266" s="351"/>
      <c r="U266" s="351"/>
      <c r="V266" s="351"/>
      <c r="W266" s="351"/>
      <c r="X266" s="351"/>
      <c r="Y266" s="351"/>
      <c r="Z266" s="351"/>
      <c r="AA266" s="351"/>
      <c r="AB266" s="351"/>
      <c r="AC266" s="351"/>
      <c r="AD266" s="351"/>
      <c r="AE266" s="351"/>
      <c r="AF266" s="351"/>
      <c r="AG266" s="351"/>
      <c r="AH266" s="351"/>
      <c r="AI266" s="351"/>
      <c r="AJ266" s="351"/>
      <c r="AK266" s="351"/>
      <c r="AL266" s="351"/>
      <c r="AM266" s="351"/>
      <c r="AN266" s="351"/>
      <c r="AO266" s="351"/>
      <c r="AP266" s="351"/>
      <c r="AQ266" s="351"/>
      <c r="AR266" s="351"/>
      <c r="AS266" s="351"/>
      <c r="AT266" s="351"/>
      <c r="AU266" s="351"/>
    </row>
    <row r="267" spans="1:47" s="35" customFormat="1" ht="21" customHeight="1">
      <c r="A267" s="198"/>
      <c r="B267" s="88"/>
      <c r="C267" s="86" t="s">
        <v>87</v>
      </c>
      <c r="D267" s="178">
        <v>500</v>
      </c>
      <c r="E267" s="203"/>
      <c r="F267" s="178"/>
      <c r="G267" s="203"/>
      <c r="H267" s="654"/>
      <c r="I267" s="351"/>
      <c r="J267" s="351"/>
      <c r="K267" s="351"/>
      <c r="L267" s="351"/>
      <c r="M267" s="351"/>
      <c r="N267" s="351"/>
      <c r="O267" s="351"/>
      <c r="P267" s="351"/>
      <c r="Q267" s="351"/>
      <c r="R267" s="351"/>
      <c r="S267" s="351"/>
      <c r="T267" s="351"/>
      <c r="U267" s="351"/>
      <c r="V267" s="351"/>
      <c r="W267" s="351"/>
      <c r="X267" s="351"/>
      <c r="Y267" s="351"/>
      <c r="Z267" s="351"/>
      <c r="AA267" s="351"/>
      <c r="AB267" s="351"/>
      <c r="AC267" s="351"/>
      <c r="AD267" s="351"/>
      <c r="AE267" s="351"/>
      <c r="AF267" s="351"/>
      <c r="AG267" s="351"/>
      <c r="AH267" s="351"/>
      <c r="AI267" s="351"/>
      <c r="AJ267" s="351"/>
      <c r="AK267" s="351"/>
      <c r="AL267" s="351"/>
      <c r="AM267" s="351"/>
      <c r="AN267" s="351"/>
      <c r="AO267" s="351"/>
      <c r="AP267" s="351"/>
      <c r="AQ267" s="351"/>
      <c r="AR267" s="351"/>
      <c r="AS267" s="351"/>
      <c r="AT267" s="351"/>
      <c r="AU267" s="351"/>
    </row>
    <row r="268" spans="1:47" s="35" customFormat="1" ht="21" customHeight="1">
      <c r="A268" s="198"/>
      <c r="B268" s="88"/>
      <c r="C268" s="86" t="s">
        <v>430</v>
      </c>
      <c r="D268" s="178">
        <v>500</v>
      </c>
      <c r="E268" s="203"/>
      <c r="F268" s="178"/>
      <c r="G268" s="203"/>
      <c r="H268" s="654"/>
      <c r="I268" s="351"/>
      <c r="J268" s="351"/>
      <c r="K268" s="351"/>
      <c r="L268" s="351"/>
      <c r="M268" s="351"/>
      <c r="N268" s="351"/>
      <c r="O268" s="351"/>
      <c r="P268" s="351"/>
      <c r="Q268" s="351"/>
      <c r="R268" s="351"/>
      <c r="S268" s="351"/>
      <c r="T268" s="351"/>
      <c r="U268" s="351"/>
      <c r="V268" s="351"/>
      <c r="W268" s="351"/>
      <c r="X268" s="351"/>
      <c r="Y268" s="351"/>
      <c r="Z268" s="351"/>
      <c r="AA268" s="351"/>
      <c r="AB268" s="351"/>
      <c r="AC268" s="351"/>
      <c r="AD268" s="351"/>
      <c r="AE268" s="351"/>
      <c r="AF268" s="351"/>
      <c r="AG268" s="351"/>
      <c r="AH268" s="351"/>
      <c r="AI268" s="351"/>
      <c r="AJ268" s="351"/>
      <c r="AK268" s="351"/>
      <c r="AL268" s="351"/>
      <c r="AM268" s="351"/>
      <c r="AN268" s="351"/>
      <c r="AO268" s="351"/>
      <c r="AP268" s="351"/>
      <c r="AQ268" s="351"/>
      <c r="AR268" s="351"/>
      <c r="AS268" s="351"/>
      <c r="AT268" s="351"/>
      <c r="AU268" s="351"/>
    </row>
    <row r="269" spans="1:47" s="35" customFormat="1" ht="21" customHeight="1">
      <c r="A269" s="198"/>
      <c r="B269" s="165" t="s">
        <v>293</v>
      </c>
      <c r="C269" s="86"/>
      <c r="D269" s="178">
        <f>SUM(D270:D273)</f>
        <v>39303.64</v>
      </c>
      <c r="E269" s="203"/>
      <c r="F269" s="178"/>
      <c r="G269" s="203"/>
      <c r="H269" s="654"/>
      <c r="I269" s="351"/>
      <c r="J269" s="351"/>
      <c r="K269" s="351"/>
      <c r="L269" s="351"/>
      <c r="M269" s="351"/>
      <c r="N269" s="351"/>
      <c r="O269" s="351"/>
      <c r="P269" s="351"/>
      <c r="Q269" s="351"/>
      <c r="R269" s="351"/>
      <c r="S269" s="351"/>
      <c r="T269" s="351"/>
      <c r="U269" s="351"/>
      <c r="V269" s="351"/>
      <c r="W269" s="351"/>
      <c r="X269" s="351"/>
      <c r="Y269" s="351"/>
      <c r="Z269" s="351"/>
      <c r="AA269" s="351"/>
      <c r="AB269" s="351"/>
      <c r="AC269" s="351"/>
      <c r="AD269" s="351"/>
      <c r="AE269" s="351"/>
      <c r="AF269" s="351"/>
      <c r="AG269" s="351"/>
      <c r="AH269" s="351"/>
      <c r="AI269" s="351"/>
      <c r="AJ269" s="351"/>
      <c r="AK269" s="351"/>
      <c r="AL269" s="351"/>
      <c r="AM269" s="351"/>
      <c r="AN269" s="351"/>
      <c r="AO269" s="351"/>
      <c r="AP269" s="351"/>
      <c r="AQ269" s="351"/>
      <c r="AR269" s="351"/>
      <c r="AS269" s="351"/>
      <c r="AT269" s="351"/>
      <c r="AU269" s="351"/>
    </row>
    <row r="270" spans="1:47" s="35" customFormat="1" ht="21" customHeight="1">
      <c r="A270" s="198"/>
      <c r="B270" s="88"/>
      <c r="C270" s="86" t="s">
        <v>468</v>
      </c>
      <c r="D270" s="178">
        <v>6980.64</v>
      </c>
      <c r="E270" s="203"/>
      <c r="F270" s="178"/>
      <c r="G270" s="203"/>
      <c r="H270" s="654"/>
      <c r="I270" s="351"/>
      <c r="J270" s="351"/>
      <c r="K270" s="351"/>
      <c r="L270" s="351"/>
      <c r="M270" s="351"/>
      <c r="N270" s="351"/>
      <c r="O270" s="351"/>
      <c r="P270" s="351"/>
      <c r="Q270" s="351"/>
      <c r="R270" s="351"/>
      <c r="S270" s="351"/>
      <c r="T270" s="351"/>
      <c r="U270" s="351"/>
      <c r="V270" s="351"/>
      <c r="W270" s="351"/>
      <c r="X270" s="351"/>
      <c r="Y270" s="351"/>
      <c r="Z270" s="351"/>
      <c r="AA270" s="351"/>
      <c r="AB270" s="351"/>
      <c r="AC270" s="351"/>
      <c r="AD270" s="351"/>
      <c r="AE270" s="351"/>
      <c r="AF270" s="351"/>
      <c r="AG270" s="351"/>
      <c r="AH270" s="351"/>
      <c r="AI270" s="351"/>
      <c r="AJ270" s="351"/>
      <c r="AK270" s="351"/>
      <c r="AL270" s="351"/>
      <c r="AM270" s="351"/>
      <c r="AN270" s="351"/>
      <c r="AO270" s="351"/>
      <c r="AP270" s="351"/>
      <c r="AQ270" s="351"/>
      <c r="AR270" s="351"/>
      <c r="AS270" s="351"/>
      <c r="AT270" s="351"/>
      <c r="AU270" s="351"/>
    </row>
    <row r="271" spans="1:47" s="35" customFormat="1" ht="21" customHeight="1">
      <c r="A271" s="198"/>
      <c r="B271" s="88"/>
      <c r="C271" s="86" t="s">
        <v>94</v>
      </c>
      <c r="D271" s="178">
        <v>27013</v>
      </c>
      <c r="E271" s="203"/>
      <c r="F271" s="178"/>
      <c r="G271" s="203"/>
      <c r="H271" s="654"/>
      <c r="I271" s="351"/>
      <c r="J271" s="351"/>
      <c r="K271" s="351"/>
      <c r="L271" s="351"/>
      <c r="M271" s="351"/>
      <c r="N271" s="351"/>
      <c r="O271" s="351"/>
      <c r="P271" s="351"/>
      <c r="Q271" s="351"/>
      <c r="R271" s="351"/>
      <c r="S271" s="351"/>
      <c r="T271" s="351"/>
      <c r="U271" s="351"/>
      <c r="V271" s="351"/>
      <c r="W271" s="351"/>
      <c r="X271" s="351"/>
      <c r="Y271" s="351"/>
      <c r="Z271" s="351"/>
      <c r="AA271" s="351"/>
      <c r="AB271" s="351"/>
      <c r="AC271" s="351"/>
      <c r="AD271" s="351"/>
      <c r="AE271" s="351"/>
      <c r="AF271" s="351"/>
      <c r="AG271" s="351"/>
      <c r="AH271" s="351"/>
      <c r="AI271" s="351"/>
      <c r="AJ271" s="351"/>
      <c r="AK271" s="351"/>
      <c r="AL271" s="351"/>
      <c r="AM271" s="351"/>
      <c r="AN271" s="351"/>
      <c r="AO271" s="351"/>
      <c r="AP271" s="351"/>
      <c r="AQ271" s="351"/>
      <c r="AR271" s="351"/>
      <c r="AS271" s="351"/>
      <c r="AT271" s="351"/>
      <c r="AU271" s="351"/>
    </row>
    <row r="272" spans="1:47" s="35" customFormat="1" ht="21" customHeight="1">
      <c r="A272" s="198"/>
      <c r="B272" s="88"/>
      <c r="C272" s="86" t="s">
        <v>95</v>
      </c>
      <c r="D272" s="178">
        <v>4648</v>
      </c>
      <c r="E272" s="203"/>
      <c r="F272" s="178"/>
      <c r="G272" s="203"/>
      <c r="H272" s="654"/>
      <c r="I272" s="351"/>
      <c r="J272" s="351"/>
      <c r="K272" s="351"/>
      <c r="L272" s="351"/>
      <c r="M272" s="351"/>
      <c r="N272" s="351"/>
      <c r="O272" s="351"/>
      <c r="P272" s="351"/>
      <c r="Q272" s="351"/>
      <c r="R272" s="351"/>
      <c r="S272" s="351"/>
      <c r="T272" s="351"/>
      <c r="U272" s="351"/>
      <c r="V272" s="351"/>
      <c r="W272" s="351"/>
      <c r="X272" s="351"/>
      <c r="Y272" s="351"/>
      <c r="Z272" s="351"/>
      <c r="AA272" s="351"/>
      <c r="AB272" s="351"/>
      <c r="AC272" s="351"/>
      <c r="AD272" s="351"/>
      <c r="AE272" s="351"/>
      <c r="AF272" s="351"/>
      <c r="AG272" s="351"/>
      <c r="AH272" s="351"/>
      <c r="AI272" s="351"/>
      <c r="AJ272" s="351"/>
      <c r="AK272" s="351"/>
      <c r="AL272" s="351"/>
      <c r="AM272" s="351"/>
      <c r="AN272" s="351"/>
      <c r="AO272" s="351"/>
      <c r="AP272" s="351"/>
      <c r="AQ272" s="351"/>
      <c r="AR272" s="351"/>
      <c r="AS272" s="351"/>
      <c r="AT272" s="351"/>
      <c r="AU272" s="351"/>
    </row>
    <row r="273" spans="1:47" s="35" customFormat="1" ht="21" customHeight="1">
      <c r="A273" s="198"/>
      <c r="B273" s="88"/>
      <c r="C273" s="86" t="s">
        <v>96</v>
      </c>
      <c r="D273" s="178">
        <v>662</v>
      </c>
      <c r="E273" s="203"/>
      <c r="F273" s="178"/>
      <c r="G273" s="203"/>
      <c r="H273" s="654"/>
      <c r="I273" s="351"/>
      <c r="J273" s="351"/>
      <c r="K273" s="351"/>
      <c r="L273" s="351"/>
      <c r="M273" s="351"/>
      <c r="N273" s="351"/>
      <c r="O273" s="351"/>
      <c r="P273" s="351"/>
      <c r="Q273" s="351"/>
      <c r="R273" s="351"/>
      <c r="S273" s="351"/>
      <c r="T273" s="351"/>
      <c r="U273" s="351"/>
      <c r="V273" s="351"/>
      <c r="W273" s="351"/>
      <c r="X273" s="351"/>
      <c r="Y273" s="351"/>
      <c r="Z273" s="351"/>
      <c r="AA273" s="351"/>
      <c r="AB273" s="351"/>
      <c r="AC273" s="351"/>
      <c r="AD273" s="351"/>
      <c r="AE273" s="351"/>
      <c r="AF273" s="351"/>
      <c r="AG273" s="351"/>
      <c r="AH273" s="351"/>
      <c r="AI273" s="351"/>
      <c r="AJ273" s="351"/>
      <c r="AK273" s="351"/>
      <c r="AL273" s="351"/>
      <c r="AM273" s="351"/>
      <c r="AN273" s="351"/>
      <c r="AO273" s="351"/>
      <c r="AP273" s="351"/>
      <c r="AQ273" s="351"/>
      <c r="AR273" s="351"/>
      <c r="AS273" s="351"/>
      <c r="AT273" s="351"/>
      <c r="AU273" s="351"/>
    </row>
    <row r="274" spans="1:47" s="35" customFormat="1" ht="21" customHeight="1">
      <c r="A274" s="198"/>
      <c r="B274" s="165" t="s">
        <v>435</v>
      </c>
      <c r="C274" s="86"/>
      <c r="D274" s="178"/>
      <c r="E274" s="203"/>
      <c r="F274" s="178">
        <f>SUM(F275:F277)</f>
        <v>13160.4</v>
      </c>
      <c r="G274" s="203"/>
      <c r="H274" s="654"/>
      <c r="I274" s="351"/>
      <c r="J274" s="351"/>
      <c r="K274" s="351"/>
      <c r="L274" s="351"/>
      <c r="M274" s="351"/>
      <c r="N274" s="351"/>
      <c r="O274" s="351"/>
      <c r="P274" s="351"/>
      <c r="Q274" s="351"/>
      <c r="R274" s="351"/>
      <c r="S274" s="351"/>
      <c r="T274" s="351"/>
      <c r="U274" s="351"/>
      <c r="V274" s="351"/>
      <c r="W274" s="351"/>
      <c r="X274" s="351"/>
      <c r="Y274" s="351"/>
      <c r="Z274" s="351"/>
      <c r="AA274" s="351"/>
      <c r="AB274" s="351"/>
      <c r="AC274" s="351"/>
      <c r="AD274" s="351"/>
      <c r="AE274" s="351"/>
      <c r="AF274" s="351"/>
      <c r="AG274" s="351"/>
      <c r="AH274" s="351"/>
      <c r="AI274" s="351"/>
      <c r="AJ274" s="351"/>
      <c r="AK274" s="351"/>
      <c r="AL274" s="351"/>
      <c r="AM274" s="351"/>
      <c r="AN274" s="351"/>
      <c r="AO274" s="351"/>
      <c r="AP274" s="351"/>
      <c r="AQ274" s="351"/>
      <c r="AR274" s="351"/>
      <c r="AS274" s="351"/>
      <c r="AT274" s="351"/>
      <c r="AU274" s="351"/>
    </row>
    <row r="275" spans="1:47" s="35" customFormat="1" ht="21" customHeight="1">
      <c r="A275" s="198"/>
      <c r="B275" s="88"/>
      <c r="C275" s="86" t="s">
        <v>436</v>
      </c>
      <c r="D275" s="178"/>
      <c r="E275" s="203"/>
      <c r="F275" s="178">
        <f>5500+5500</f>
        <v>11000</v>
      </c>
      <c r="G275" s="203"/>
      <c r="H275" s="654"/>
      <c r="I275" s="351"/>
      <c r="J275" s="351"/>
      <c r="K275" s="351"/>
      <c r="L275" s="351"/>
      <c r="M275" s="351"/>
      <c r="N275" s="351"/>
      <c r="O275" s="351"/>
      <c r="P275" s="351"/>
      <c r="Q275" s="351"/>
      <c r="R275" s="351"/>
      <c r="S275" s="351"/>
      <c r="T275" s="351"/>
      <c r="U275" s="351"/>
      <c r="V275" s="351"/>
      <c r="W275" s="351"/>
      <c r="X275" s="351"/>
      <c r="Y275" s="351"/>
      <c r="Z275" s="351"/>
      <c r="AA275" s="351"/>
      <c r="AB275" s="351"/>
      <c r="AC275" s="351"/>
      <c r="AD275" s="351"/>
      <c r="AE275" s="351"/>
      <c r="AF275" s="351"/>
      <c r="AG275" s="351"/>
      <c r="AH275" s="351"/>
      <c r="AI275" s="351"/>
      <c r="AJ275" s="351"/>
      <c r="AK275" s="351"/>
      <c r="AL275" s="351"/>
      <c r="AM275" s="351"/>
      <c r="AN275" s="351"/>
      <c r="AO275" s="351"/>
      <c r="AP275" s="351"/>
      <c r="AQ275" s="351"/>
      <c r="AR275" s="351"/>
      <c r="AS275" s="351"/>
      <c r="AT275" s="351"/>
      <c r="AU275" s="351"/>
    </row>
    <row r="276" spans="1:47" s="35" customFormat="1" ht="21" customHeight="1">
      <c r="A276" s="198"/>
      <c r="B276" s="88"/>
      <c r="C276" s="86" t="s">
        <v>95</v>
      </c>
      <c r="D276" s="178"/>
      <c r="E276" s="203"/>
      <c r="F276" s="178">
        <f>945.45+945.45</f>
        <v>1890.9</v>
      </c>
      <c r="G276" s="203"/>
      <c r="H276" s="654"/>
      <c r="I276" s="351"/>
      <c r="J276" s="351"/>
      <c r="K276" s="351"/>
      <c r="L276" s="351"/>
      <c r="M276" s="351"/>
      <c r="N276" s="351"/>
      <c r="O276" s="351"/>
      <c r="P276" s="351"/>
      <c r="Q276" s="351"/>
      <c r="R276" s="351"/>
      <c r="S276" s="351"/>
      <c r="T276" s="351"/>
      <c r="U276" s="351"/>
      <c r="V276" s="351"/>
      <c r="W276" s="351"/>
      <c r="X276" s="351"/>
      <c r="Y276" s="351"/>
      <c r="Z276" s="351"/>
      <c r="AA276" s="351"/>
      <c r="AB276" s="351"/>
      <c r="AC276" s="351"/>
      <c r="AD276" s="351"/>
      <c r="AE276" s="351"/>
      <c r="AF276" s="351"/>
      <c r="AG276" s="351"/>
      <c r="AH276" s="351"/>
      <c r="AI276" s="351"/>
      <c r="AJ276" s="351"/>
      <c r="AK276" s="351"/>
      <c r="AL276" s="351"/>
      <c r="AM276" s="351"/>
      <c r="AN276" s="351"/>
      <c r="AO276" s="351"/>
      <c r="AP276" s="351"/>
      <c r="AQ276" s="351"/>
      <c r="AR276" s="351"/>
      <c r="AS276" s="351"/>
      <c r="AT276" s="351"/>
      <c r="AU276" s="351"/>
    </row>
    <row r="277" spans="1:47" s="35" customFormat="1" ht="21" customHeight="1">
      <c r="A277" s="202"/>
      <c r="B277" s="97"/>
      <c r="C277" s="86" t="s">
        <v>96</v>
      </c>
      <c r="D277" s="498"/>
      <c r="E277" s="498"/>
      <c r="F277" s="498">
        <f>134.75+134.75</f>
        <v>269.5</v>
      </c>
      <c r="G277" s="498"/>
      <c r="H277" s="654"/>
      <c r="I277" s="351"/>
      <c r="J277" s="351"/>
      <c r="K277" s="351"/>
      <c r="L277" s="351"/>
      <c r="M277" s="351"/>
      <c r="N277" s="351"/>
      <c r="O277" s="351"/>
      <c r="P277" s="351"/>
      <c r="Q277" s="351"/>
      <c r="R277" s="351"/>
      <c r="S277" s="351"/>
      <c r="T277" s="351"/>
      <c r="U277" s="351"/>
      <c r="V277" s="351"/>
      <c r="W277" s="351"/>
      <c r="X277" s="351"/>
      <c r="Y277" s="351"/>
      <c r="Z277" s="351"/>
      <c r="AA277" s="351"/>
      <c r="AB277" s="351"/>
      <c r="AC277" s="351"/>
      <c r="AD277" s="351"/>
      <c r="AE277" s="351"/>
      <c r="AF277" s="351"/>
      <c r="AG277" s="351"/>
      <c r="AH277" s="351"/>
      <c r="AI277" s="351"/>
      <c r="AJ277" s="351"/>
      <c r="AK277" s="351"/>
      <c r="AL277" s="351"/>
      <c r="AM277" s="351"/>
      <c r="AN277" s="351"/>
      <c r="AO277" s="351"/>
      <c r="AP277" s="351"/>
      <c r="AQ277" s="351"/>
      <c r="AR277" s="351"/>
      <c r="AS277" s="351"/>
      <c r="AT277" s="351"/>
      <c r="AU277" s="351"/>
    </row>
    <row r="278" spans="1:47" s="186" customFormat="1" ht="21" customHeight="1">
      <c r="A278" s="650" t="s">
        <v>477</v>
      </c>
      <c r="B278" s="207" t="s">
        <v>478</v>
      </c>
      <c r="C278" s="83" t="s">
        <v>87</v>
      </c>
      <c r="D278" s="206"/>
      <c r="E278" s="206"/>
      <c r="F278" s="206">
        <v>5000</v>
      </c>
      <c r="G278" s="206"/>
      <c r="H278" s="20"/>
      <c r="I278" s="646"/>
      <c r="J278" s="646"/>
      <c r="K278" s="646"/>
      <c r="L278" s="646"/>
      <c r="M278" s="646"/>
      <c r="N278" s="646"/>
      <c r="O278" s="646"/>
      <c r="P278" s="646"/>
      <c r="Q278" s="646"/>
      <c r="R278" s="646"/>
      <c r="S278" s="646"/>
      <c r="T278" s="646"/>
      <c r="U278" s="646"/>
      <c r="V278" s="646"/>
      <c r="W278" s="646"/>
      <c r="X278" s="646"/>
      <c r="Y278" s="646"/>
      <c r="Z278" s="646"/>
      <c r="AA278" s="646"/>
      <c r="AB278" s="646"/>
      <c r="AC278" s="646"/>
      <c r="AD278" s="646"/>
      <c r="AE278" s="646"/>
      <c r="AF278" s="646"/>
      <c r="AG278" s="646"/>
      <c r="AH278" s="646"/>
      <c r="AI278" s="646"/>
      <c r="AJ278" s="646"/>
      <c r="AK278" s="646"/>
      <c r="AL278" s="646"/>
      <c r="AM278" s="646"/>
      <c r="AN278" s="646"/>
      <c r="AO278" s="646"/>
      <c r="AP278" s="646"/>
      <c r="AQ278" s="646"/>
      <c r="AR278" s="646"/>
      <c r="AS278" s="646"/>
      <c r="AT278" s="646"/>
      <c r="AU278" s="646"/>
    </row>
    <row r="279" spans="1:47" s="186" customFormat="1" ht="21" customHeight="1">
      <c r="A279" s="650" t="s">
        <v>412</v>
      </c>
      <c r="B279" s="207" t="s">
        <v>415</v>
      </c>
      <c r="C279" s="83" t="s">
        <v>416</v>
      </c>
      <c r="D279" s="206"/>
      <c r="E279" s="206"/>
      <c r="F279" s="206">
        <v>17000</v>
      </c>
      <c r="G279" s="206"/>
      <c r="H279" s="20"/>
      <c r="I279" s="646"/>
      <c r="J279" s="646"/>
      <c r="K279" s="646"/>
      <c r="L279" s="646"/>
      <c r="M279" s="646"/>
      <c r="N279" s="646"/>
      <c r="O279" s="646"/>
      <c r="P279" s="646"/>
      <c r="Q279" s="646"/>
      <c r="R279" s="646"/>
      <c r="S279" s="646"/>
      <c r="T279" s="646"/>
      <c r="U279" s="646"/>
      <c r="V279" s="646"/>
      <c r="W279" s="646"/>
      <c r="X279" s="646"/>
      <c r="Y279" s="646"/>
      <c r="Z279" s="646"/>
      <c r="AA279" s="646"/>
      <c r="AB279" s="646"/>
      <c r="AC279" s="646"/>
      <c r="AD279" s="646"/>
      <c r="AE279" s="646"/>
      <c r="AF279" s="646"/>
      <c r="AG279" s="646"/>
      <c r="AH279" s="646"/>
      <c r="AI279" s="646"/>
      <c r="AJ279" s="646"/>
      <c r="AK279" s="646"/>
      <c r="AL279" s="646"/>
      <c r="AM279" s="646"/>
      <c r="AN279" s="646"/>
      <c r="AO279" s="646"/>
      <c r="AP279" s="646"/>
      <c r="AQ279" s="646"/>
      <c r="AR279" s="646"/>
      <c r="AS279" s="646"/>
      <c r="AT279" s="646"/>
      <c r="AU279" s="646"/>
    </row>
    <row r="280" spans="1:47" s="186" customFormat="1" ht="21" customHeight="1">
      <c r="A280" s="653" t="s">
        <v>402</v>
      </c>
      <c r="B280" s="207"/>
      <c r="C280" s="83"/>
      <c r="D280" s="98">
        <f>D281+D287+D293</f>
        <v>10620</v>
      </c>
      <c r="E280" s="98"/>
      <c r="F280" s="98">
        <f>F281+F287+F293</f>
        <v>8830</v>
      </c>
      <c r="G280" s="98"/>
      <c r="H280" s="20"/>
      <c r="I280" s="646"/>
      <c r="J280" s="646"/>
      <c r="K280" s="646"/>
      <c r="L280" s="646"/>
      <c r="M280" s="646"/>
      <c r="N280" s="646"/>
      <c r="O280" s="646"/>
      <c r="P280" s="646"/>
      <c r="Q280" s="646"/>
      <c r="R280" s="646"/>
      <c r="S280" s="646"/>
      <c r="T280" s="646"/>
      <c r="U280" s="646"/>
      <c r="V280" s="646"/>
      <c r="W280" s="646"/>
      <c r="X280" s="646"/>
      <c r="Y280" s="646"/>
      <c r="Z280" s="646"/>
      <c r="AA280" s="646"/>
      <c r="AB280" s="646"/>
      <c r="AC280" s="646"/>
      <c r="AD280" s="646"/>
      <c r="AE280" s="646"/>
      <c r="AF280" s="646"/>
      <c r="AG280" s="646"/>
      <c r="AH280" s="646"/>
      <c r="AI280" s="646"/>
      <c r="AJ280" s="646"/>
      <c r="AK280" s="646"/>
      <c r="AL280" s="646"/>
      <c r="AM280" s="646"/>
      <c r="AN280" s="646"/>
      <c r="AO280" s="646"/>
      <c r="AP280" s="646"/>
      <c r="AQ280" s="646"/>
      <c r="AR280" s="646"/>
      <c r="AS280" s="646"/>
      <c r="AT280" s="646"/>
      <c r="AU280" s="646"/>
    </row>
    <row r="281" spans="1:47" s="35" customFormat="1" ht="21" customHeight="1">
      <c r="A281" s="84"/>
      <c r="B281" s="89" t="s">
        <v>403</v>
      </c>
      <c r="C281" s="86"/>
      <c r="D281" s="655">
        <f>SUM(D282:D286)</f>
        <v>1241</v>
      </c>
      <c r="E281" s="655"/>
      <c r="F281" s="655">
        <f>SUM(F282:F286)</f>
        <v>8830</v>
      </c>
      <c r="G281" s="655"/>
      <c r="H281" s="654"/>
      <c r="I281" s="351"/>
      <c r="J281" s="351"/>
      <c r="K281" s="351"/>
      <c r="L281" s="351"/>
      <c r="M281" s="351"/>
      <c r="N281" s="351"/>
      <c r="O281" s="351"/>
      <c r="P281" s="351"/>
      <c r="Q281" s="351"/>
      <c r="R281" s="351"/>
      <c r="S281" s="351"/>
      <c r="T281" s="351"/>
      <c r="U281" s="351"/>
      <c r="V281" s="351"/>
      <c r="W281" s="351"/>
      <c r="X281" s="351"/>
      <c r="Y281" s="351"/>
      <c r="Z281" s="351"/>
      <c r="AA281" s="351"/>
      <c r="AB281" s="351"/>
      <c r="AC281" s="351"/>
      <c r="AD281" s="351"/>
      <c r="AE281" s="351"/>
      <c r="AF281" s="351"/>
      <c r="AG281" s="351"/>
      <c r="AH281" s="351"/>
      <c r="AI281" s="351"/>
      <c r="AJ281" s="351"/>
      <c r="AK281" s="351"/>
      <c r="AL281" s="351"/>
      <c r="AM281" s="351"/>
      <c r="AN281" s="351"/>
      <c r="AO281" s="351"/>
      <c r="AP281" s="351"/>
      <c r="AQ281" s="351"/>
      <c r="AR281" s="351"/>
      <c r="AS281" s="351"/>
      <c r="AT281" s="351"/>
      <c r="AU281" s="351"/>
    </row>
    <row r="282" spans="1:47" s="35" customFormat="1" ht="21" customHeight="1">
      <c r="A282" s="198"/>
      <c r="B282" s="84"/>
      <c r="C282" s="86" t="s">
        <v>95</v>
      </c>
      <c r="D282" s="655"/>
      <c r="E282" s="655"/>
      <c r="F282" s="655">
        <v>5000</v>
      </c>
      <c r="G282" s="655"/>
      <c r="H282" s="654"/>
      <c r="I282" s="351"/>
      <c r="J282" s="351"/>
      <c r="K282" s="351"/>
      <c r="L282" s="351"/>
      <c r="M282" s="351"/>
      <c r="N282" s="351"/>
      <c r="O282" s="351"/>
      <c r="P282" s="351"/>
      <c r="Q282" s="351"/>
      <c r="R282" s="351"/>
      <c r="S282" s="351"/>
      <c r="T282" s="351"/>
      <c r="U282" s="351"/>
      <c r="V282" s="351"/>
      <c r="W282" s="351"/>
      <c r="X282" s="351"/>
      <c r="Y282" s="351"/>
      <c r="Z282" s="351"/>
      <c r="AA282" s="351"/>
      <c r="AB282" s="351"/>
      <c r="AC282" s="351"/>
      <c r="AD282" s="351"/>
      <c r="AE282" s="351"/>
      <c r="AF282" s="351"/>
      <c r="AG282" s="351"/>
      <c r="AH282" s="351"/>
      <c r="AI282" s="351"/>
      <c r="AJ282" s="351"/>
      <c r="AK282" s="351"/>
      <c r="AL282" s="351"/>
      <c r="AM282" s="351"/>
      <c r="AN282" s="351"/>
      <c r="AO282" s="351"/>
      <c r="AP282" s="351"/>
      <c r="AQ282" s="351"/>
      <c r="AR282" s="351"/>
      <c r="AS282" s="351"/>
      <c r="AT282" s="351"/>
      <c r="AU282" s="351"/>
    </row>
    <row r="283" spans="1:47" s="35" customFormat="1" ht="21" customHeight="1">
      <c r="A283" s="198"/>
      <c r="B283" s="88"/>
      <c r="C283" s="86" t="s">
        <v>294</v>
      </c>
      <c r="D283" s="655">
        <v>81</v>
      </c>
      <c r="E283" s="655"/>
      <c r="F283" s="655"/>
      <c r="G283" s="655"/>
      <c r="H283" s="654"/>
      <c r="I283" s="351"/>
      <c r="J283" s="351"/>
      <c r="K283" s="351"/>
      <c r="L283" s="351"/>
      <c r="M283" s="351"/>
      <c r="N283" s="351"/>
      <c r="O283" s="351"/>
      <c r="P283" s="351"/>
      <c r="Q283" s="351"/>
      <c r="R283" s="351"/>
      <c r="S283" s="351"/>
      <c r="T283" s="351"/>
      <c r="U283" s="351"/>
      <c r="V283" s="351"/>
      <c r="W283" s="351"/>
      <c r="X283" s="351"/>
      <c r="Y283" s="351"/>
      <c r="Z283" s="351"/>
      <c r="AA283" s="351"/>
      <c r="AB283" s="351"/>
      <c r="AC283" s="351"/>
      <c r="AD283" s="351"/>
      <c r="AE283" s="351"/>
      <c r="AF283" s="351"/>
      <c r="AG283" s="351"/>
      <c r="AH283" s="351"/>
      <c r="AI283" s="351"/>
      <c r="AJ283" s="351"/>
      <c r="AK283" s="351"/>
      <c r="AL283" s="351"/>
      <c r="AM283" s="351"/>
      <c r="AN283" s="351"/>
      <c r="AO283" s="351"/>
      <c r="AP283" s="351"/>
      <c r="AQ283" s="351"/>
      <c r="AR283" s="351"/>
      <c r="AS283" s="351"/>
      <c r="AT283" s="351"/>
      <c r="AU283" s="351"/>
    </row>
    <row r="284" spans="1:47" s="35" customFormat="1" ht="21" customHeight="1">
      <c r="A284" s="198"/>
      <c r="B284" s="88"/>
      <c r="C284" s="86" t="s">
        <v>421</v>
      </c>
      <c r="D284" s="655">
        <v>1000</v>
      </c>
      <c r="E284" s="655"/>
      <c r="F284" s="655"/>
      <c r="G284" s="655"/>
      <c r="H284" s="654"/>
      <c r="I284" s="351"/>
      <c r="J284" s="351"/>
      <c r="K284" s="351"/>
      <c r="L284" s="351"/>
      <c r="M284" s="351"/>
      <c r="N284" s="351"/>
      <c r="O284" s="351"/>
      <c r="P284" s="351"/>
      <c r="Q284" s="351"/>
      <c r="R284" s="351"/>
      <c r="S284" s="351"/>
      <c r="T284" s="351"/>
      <c r="U284" s="351"/>
      <c r="V284" s="351"/>
      <c r="W284" s="351"/>
      <c r="X284" s="351"/>
      <c r="Y284" s="351"/>
      <c r="Z284" s="351"/>
      <c r="AA284" s="351"/>
      <c r="AB284" s="351"/>
      <c r="AC284" s="351"/>
      <c r="AD284" s="351"/>
      <c r="AE284" s="351"/>
      <c r="AF284" s="351"/>
      <c r="AG284" s="351"/>
      <c r="AH284" s="351"/>
      <c r="AI284" s="351"/>
      <c r="AJ284" s="351"/>
      <c r="AK284" s="351"/>
      <c r="AL284" s="351"/>
      <c r="AM284" s="351"/>
      <c r="AN284" s="351"/>
      <c r="AO284" s="351"/>
      <c r="AP284" s="351"/>
      <c r="AQ284" s="351"/>
      <c r="AR284" s="351"/>
      <c r="AS284" s="351"/>
      <c r="AT284" s="351"/>
      <c r="AU284" s="351"/>
    </row>
    <row r="285" spans="1:47" s="35" customFormat="1" ht="21" customHeight="1">
      <c r="A285" s="198"/>
      <c r="B285" s="88"/>
      <c r="C285" s="86" t="s">
        <v>90</v>
      </c>
      <c r="D285" s="655"/>
      <c r="E285" s="655"/>
      <c r="F285" s="655">
        <v>3830</v>
      </c>
      <c r="G285" s="655"/>
      <c r="H285" s="654"/>
      <c r="I285" s="351"/>
      <c r="J285" s="351"/>
      <c r="K285" s="351"/>
      <c r="L285" s="351"/>
      <c r="M285" s="351"/>
      <c r="N285" s="351"/>
      <c r="O285" s="351"/>
      <c r="P285" s="351"/>
      <c r="Q285" s="351"/>
      <c r="R285" s="351"/>
      <c r="S285" s="351"/>
      <c r="T285" s="351"/>
      <c r="U285" s="351"/>
      <c r="V285" s="351"/>
      <c r="W285" s="351"/>
      <c r="X285" s="351"/>
      <c r="Y285" s="351"/>
      <c r="Z285" s="351"/>
      <c r="AA285" s="351"/>
      <c r="AB285" s="351"/>
      <c r="AC285" s="351"/>
      <c r="AD285" s="351"/>
      <c r="AE285" s="351"/>
      <c r="AF285" s="351"/>
      <c r="AG285" s="351"/>
      <c r="AH285" s="351"/>
      <c r="AI285" s="351"/>
      <c r="AJ285" s="351"/>
      <c r="AK285" s="351"/>
      <c r="AL285" s="351"/>
      <c r="AM285" s="351"/>
      <c r="AN285" s="351"/>
      <c r="AO285" s="351"/>
      <c r="AP285" s="351"/>
      <c r="AQ285" s="351"/>
      <c r="AR285" s="351"/>
      <c r="AS285" s="351"/>
      <c r="AT285" s="351"/>
      <c r="AU285" s="351"/>
    </row>
    <row r="286" spans="1:47" s="35" customFormat="1" ht="21" customHeight="1">
      <c r="A286" s="198"/>
      <c r="B286" s="88"/>
      <c r="C286" s="86" t="s">
        <v>423</v>
      </c>
      <c r="D286" s="655">
        <v>160</v>
      </c>
      <c r="E286" s="655"/>
      <c r="F286" s="655"/>
      <c r="G286" s="655"/>
      <c r="H286" s="654"/>
      <c r="I286" s="351"/>
      <c r="J286" s="351"/>
      <c r="K286" s="351"/>
      <c r="L286" s="351"/>
      <c r="M286" s="351"/>
      <c r="N286" s="351"/>
      <c r="O286" s="351"/>
      <c r="P286" s="351"/>
      <c r="Q286" s="351"/>
      <c r="R286" s="351"/>
      <c r="S286" s="351"/>
      <c r="T286" s="351"/>
      <c r="U286" s="351"/>
      <c r="V286" s="351"/>
      <c r="W286" s="351"/>
      <c r="X286" s="351"/>
      <c r="Y286" s="351"/>
      <c r="Z286" s="351"/>
      <c r="AA286" s="351"/>
      <c r="AB286" s="351"/>
      <c r="AC286" s="351"/>
      <c r="AD286" s="351"/>
      <c r="AE286" s="351"/>
      <c r="AF286" s="351"/>
      <c r="AG286" s="351"/>
      <c r="AH286" s="351"/>
      <c r="AI286" s="351"/>
      <c r="AJ286" s="351"/>
      <c r="AK286" s="351"/>
      <c r="AL286" s="351"/>
      <c r="AM286" s="351"/>
      <c r="AN286" s="351"/>
      <c r="AO286" s="351"/>
      <c r="AP286" s="351"/>
      <c r="AQ286" s="351"/>
      <c r="AR286" s="351"/>
      <c r="AS286" s="351"/>
      <c r="AT286" s="351"/>
      <c r="AU286" s="351"/>
    </row>
    <row r="287" spans="1:47" s="35" customFormat="1" ht="21" customHeight="1">
      <c r="A287" s="198"/>
      <c r="B287" s="165" t="s">
        <v>431</v>
      </c>
      <c r="C287" s="86"/>
      <c r="D287" s="655">
        <f>SUM(D288:D292)</f>
        <v>9179</v>
      </c>
      <c r="E287" s="655"/>
      <c r="F287" s="655">
        <f>SUM(F288:F292)</f>
        <v>0</v>
      </c>
      <c r="G287" s="655"/>
      <c r="H287" s="654"/>
      <c r="I287" s="351"/>
      <c r="J287" s="351"/>
      <c r="K287" s="351"/>
      <c r="L287" s="351"/>
      <c r="M287" s="351"/>
      <c r="N287" s="351"/>
      <c r="O287" s="351"/>
      <c r="P287" s="351"/>
      <c r="Q287" s="351"/>
      <c r="R287" s="351"/>
      <c r="S287" s="351"/>
      <c r="T287" s="351"/>
      <c r="U287" s="351"/>
      <c r="V287" s="351"/>
      <c r="W287" s="351"/>
      <c r="X287" s="351"/>
      <c r="Y287" s="351"/>
      <c r="Z287" s="351"/>
      <c r="AA287" s="351"/>
      <c r="AB287" s="351"/>
      <c r="AC287" s="351"/>
      <c r="AD287" s="351"/>
      <c r="AE287" s="351"/>
      <c r="AF287" s="351"/>
      <c r="AG287" s="351"/>
      <c r="AH287" s="351"/>
      <c r="AI287" s="351"/>
      <c r="AJ287" s="351"/>
      <c r="AK287" s="351"/>
      <c r="AL287" s="351"/>
      <c r="AM287" s="351"/>
      <c r="AN287" s="351"/>
      <c r="AO287" s="351"/>
      <c r="AP287" s="351"/>
      <c r="AQ287" s="351"/>
      <c r="AR287" s="351"/>
      <c r="AS287" s="351"/>
      <c r="AT287" s="351"/>
      <c r="AU287" s="351"/>
    </row>
    <row r="288" spans="1:47" s="35" customFormat="1" ht="21" customHeight="1">
      <c r="A288" s="198"/>
      <c r="B288" s="88"/>
      <c r="C288" s="165" t="s">
        <v>294</v>
      </c>
      <c r="D288" s="178">
        <v>20</v>
      </c>
      <c r="E288" s="178"/>
      <c r="F288" s="178"/>
      <c r="G288" s="178"/>
      <c r="H288" s="654"/>
      <c r="I288" s="351"/>
      <c r="J288" s="351"/>
      <c r="K288" s="351"/>
      <c r="L288" s="351"/>
      <c r="M288" s="351"/>
      <c r="N288" s="351"/>
      <c r="O288" s="351"/>
      <c r="P288" s="351"/>
      <c r="Q288" s="351"/>
      <c r="R288" s="351"/>
      <c r="S288" s="351"/>
      <c r="T288" s="351"/>
      <c r="U288" s="351"/>
      <c r="V288" s="351"/>
      <c r="W288" s="351"/>
      <c r="X288" s="351"/>
      <c r="Y288" s="351"/>
      <c r="Z288" s="351"/>
      <c r="AA288" s="351"/>
      <c r="AB288" s="351"/>
      <c r="AC288" s="351"/>
      <c r="AD288" s="351"/>
      <c r="AE288" s="351"/>
      <c r="AF288" s="351"/>
      <c r="AG288" s="351"/>
      <c r="AH288" s="351"/>
      <c r="AI288" s="351"/>
      <c r="AJ288" s="351"/>
      <c r="AK288" s="351"/>
      <c r="AL288" s="351"/>
      <c r="AM288" s="351"/>
      <c r="AN288" s="351"/>
      <c r="AO288" s="351"/>
      <c r="AP288" s="351"/>
      <c r="AQ288" s="351"/>
      <c r="AR288" s="351"/>
      <c r="AS288" s="351"/>
      <c r="AT288" s="351"/>
      <c r="AU288" s="351"/>
    </row>
    <row r="289" spans="1:47" s="35" customFormat="1" ht="21" customHeight="1">
      <c r="A289" s="198"/>
      <c r="B289" s="88"/>
      <c r="C289" s="165" t="s">
        <v>421</v>
      </c>
      <c r="D289" s="178">
        <v>5000</v>
      </c>
      <c r="E289" s="178"/>
      <c r="F289" s="178"/>
      <c r="G289" s="178"/>
      <c r="H289" s="654"/>
      <c r="I289" s="351"/>
      <c r="J289" s="351"/>
      <c r="K289" s="351"/>
      <c r="L289" s="351"/>
      <c r="M289" s="351"/>
      <c r="N289" s="351"/>
      <c r="O289" s="351"/>
      <c r="P289" s="351"/>
      <c r="Q289" s="351"/>
      <c r="R289" s="351"/>
      <c r="S289" s="351"/>
      <c r="T289" s="351"/>
      <c r="U289" s="351"/>
      <c r="V289" s="351"/>
      <c r="W289" s="351"/>
      <c r="X289" s="351"/>
      <c r="Y289" s="351"/>
      <c r="Z289" s="351"/>
      <c r="AA289" s="351"/>
      <c r="AB289" s="351"/>
      <c r="AC289" s="351"/>
      <c r="AD289" s="351"/>
      <c r="AE289" s="351"/>
      <c r="AF289" s="351"/>
      <c r="AG289" s="351"/>
      <c r="AH289" s="351"/>
      <c r="AI289" s="351"/>
      <c r="AJ289" s="351"/>
      <c r="AK289" s="351"/>
      <c r="AL289" s="351"/>
      <c r="AM289" s="351"/>
      <c r="AN289" s="351"/>
      <c r="AO289" s="351"/>
      <c r="AP289" s="351"/>
      <c r="AQ289" s="351"/>
      <c r="AR289" s="351"/>
      <c r="AS289" s="351"/>
      <c r="AT289" s="351"/>
      <c r="AU289" s="351"/>
    </row>
    <row r="290" spans="1:47" s="35" customFormat="1" ht="21" customHeight="1">
      <c r="A290" s="198"/>
      <c r="B290" s="88"/>
      <c r="C290" s="86" t="s">
        <v>422</v>
      </c>
      <c r="D290" s="655">
        <v>235</v>
      </c>
      <c r="E290" s="655"/>
      <c r="F290" s="655"/>
      <c r="G290" s="655"/>
      <c r="H290" s="654"/>
      <c r="I290" s="351"/>
      <c r="J290" s="351"/>
      <c r="K290" s="351"/>
      <c r="L290" s="351"/>
      <c r="M290" s="351"/>
      <c r="N290" s="351"/>
      <c r="O290" s="351"/>
      <c r="P290" s="351"/>
      <c r="Q290" s="351"/>
      <c r="R290" s="351"/>
      <c r="S290" s="351"/>
      <c r="T290" s="351"/>
      <c r="U290" s="351"/>
      <c r="V290" s="351"/>
      <c r="W290" s="351"/>
      <c r="X290" s="351"/>
      <c r="Y290" s="351"/>
      <c r="Z290" s="351"/>
      <c r="AA290" s="351"/>
      <c r="AB290" s="351"/>
      <c r="AC290" s="351"/>
      <c r="AD290" s="351"/>
      <c r="AE290" s="351"/>
      <c r="AF290" s="351"/>
      <c r="AG290" s="351"/>
      <c r="AH290" s="351"/>
      <c r="AI290" s="351"/>
      <c r="AJ290" s="351"/>
      <c r="AK290" s="351"/>
      <c r="AL290" s="351"/>
      <c r="AM290" s="351"/>
      <c r="AN290" s="351"/>
      <c r="AO290" s="351"/>
      <c r="AP290" s="351"/>
      <c r="AQ290" s="351"/>
      <c r="AR290" s="351"/>
      <c r="AS290" s="351"/>
      <c r="AT290" s="351"/>
      <c r="AU290" s="351"/>
    </row>
    <row r="291" spans="1:47" s="35" customFormat="1" ht="21" customHeight="1">
      <c r="A291" s="198"/>
      <c r="B291" s="88"/>
      <c r="C291" s="86" t="s">
        <v>90</v>
      </c>
      <c r="D291" s="655">
        <v>3200</v>
      </c>
      <c r="E291" s="655"/>
      <c r="F291" s="655"/>
      <c r="G291" s="655"/>
      <c r="H291" s="654"/>
      <c r="I291" s="351"/>
      <c r="J291" s="351"/>
      <c r="K291" s="351"/>
      <c r="L291" s="351"/>
      <c r="M291" s="351"/>
      <c r="N291" s="351"/>
      <c r="O291" s="351"/>
      <c r="P291" s="351"/>
      <c r="Q291" s="351"/>
      <c r="R291" s="351"/>
      <c r="S291" s="351"/>
      <c r="T291" s="351"/>
      <c r="U291" s="351"/>
      <c r="V291" s="351"/>
      <c r="W291" s="351"/>
      <c r="X291" s="351"/>
      <c r="Y291" s="351"/>
      <c r="Z291" s="351"/>
      <c r="AA291" s="351"/>
      <c r="AB291" s="351"/>
      <c r="AC291" s="351"/>
      <c r="AD291" s="351"/>
      <c r="AE291" s="351"/>
      <c r="AF291" s="351"/>
      <c r="AG291" s="351"/>
      <c r="AH291" s="351"/>
      <c r="AI291" s="351"/>
      <c r="AJ291" s="351"/>
      <c r="AK291" s="351"/>
      <c r="AL291" s="351"/>
      <c r="AM291" s="351"/>
      <c r="AN291" s="351"/>
      <c r="AO291" s="351"/>
      <c r="AP291" s="351"/>
      <c r="AQ291" s="351"/>
      <c r="AR291" s="351"/>
      <c r="AS291" s="351"/>
      <c r="AT291" s="351"/>
      <c r="AU291" s="351"/>
    </row>
    <row r="292" spans="1:47" s="35" customFormat="1" ht="21" customHeight="1">
      <c r="A292" s="198"/>
      <c r="B292" s="88"/>
      <c r="C292" s="86" t="s">
        <v>423</v>
      </c>
      <c r="D292" s="655">
        <v>724</v>
      </c>
      <c r="E292" s="655"/>
      <c r="F292" s="655"/>
      <c r="G292" s="655"/>
      <c r="H292" s="654"/>
      <c r="I292" s="351"/>
      <c r="J292" s="351"/>
      <c r="K292" s="351"/>
      <c r="L292" s="351"/>
      <c r="M292" s="351"/>
      <c r="N292" s="351"/>
      <c r="O292" s="351"/>
      <c r="P292" s="351"/>
      <c r="Q292" s="351"/>
      <c r="R292" s="351"/>
      <c r="S292" s="351"/>
      <c r="T292" s="351"/>
      <c r="U292" s="351"/>
      <c r="V292" s="351"/>
      <c r="W292" s="351"/>
      <c r="X292" s="351"/>
      <c r="Y292" s="351"/>
      <c r="Z292" s="351"/>
      <c r="AA292" s="351"/>
      <c r="AB292" s="351"/>
      <c r="AC292" s="351"/>
      <c r="AD292" s="351"/>
      <c r="AE292" s="351"/>
      <c r="AF292" s="351"/>
      <c r="AG292" s="351"/>
      <c r="AH292" s="351"/>
      <c r="AI292" s="351"/>
      <c r="AJ292" s="351"/>
      <c r="AK292" s="351"/>
      <c r="AL292" s="351"/>
      <c r="AM292" s="351"/>
      <c r="AN292" s="351"/>
      <c r="AO292" s="351"/>
      <c r="AP292" s="351"/>
      <c r="AQ292" s="351"/>
      <c r="AR292" s="351"/>
      <c r="AS292" s="351"/>
      <c r="AT292" s="351"/>
      <c r="AU292" s="351"/>
    </row>
    <row r="293" spans="1:47" s="35" customFormat="1" ht="21" customHeight="1">
      <c r="A293" s="198"/>
      <c r="B293" s="84" t="s">
        <v>432</v>
      </c>
      <c r="C293" s="85" t="s">
        <v>430</v>
      </c>
      <c r="D293" s="655">
        <v>200</v>
      </c>
      <c r="E293" s="655"/>
      <c r="F293" s="655"/>
      <c r="G293" s="655"/>
      <c r="H293" s="654"/>
      <c r="I293" s="351"/>
      <c r="J293" s="351"/>
      <c r="K293" s="351"/>
      <c r="L293" s="351"/>
      <c r="M293" s="351"/>
      <c r="N293" s="351"/>
      <c r="O293" s="351"/>
      <c r="P293" s="351"/>
      <c r="Q293" s="351"/>
      <c r="R293" s="351"/>
      <c r="S293" s="351"/>
      <c r="T293" s="351"/>
      <c r="U293" s="351"/>
      <c r="V293" s="351"/>
      <c r="W293" s="351"/>
      <c r="X293" s="351"/>
      <c r="Y293" s="351"/>
      <c r="Z293" s="351"/>
      <c r="AA293" s="351"/>
      <c r="AB293" s="351"/>
      <c r="AC293" s="351"/>
      <c r="AD293" s="351"/>
      <c r="AE293" s="351"/>
      <c r="AF293" s="351"/>
      <c r="AG293" s="351"/>
      <c r="AH293" s="351"/>
      <c r="AI293" s="351"/>
      <c r="AJ293" s="351"/>
      <c r="AK293" s="351"/>
      <c r="AL293" s="351"/>
      <c r="AM293" s="351"/>
      <c r="AN293" s="351"/>
      <c r="AO293" s="351"/>
      <c r="AP293" s="351"/>
      <c r="AQ293" s="351"/>
      <c r="AR293" s="351"/>
      <c r="AS293" s="351"/>
      <c r="AT293" s="351"/>
      <c r="AU293" s="351"/>
    </row>
    <row r="294" spans="1:47" s="3" customFormat="1" ht="21.75" customHeight="1">
      <c r="A294" s="699" t="s">
        <v>19</v>
      </c>
      <c r="B294" s="700"/>
      <c r="C294" s="86"/>
      <c r="D294" s="33">
        <f>D236+D237+D278+D279+D280</f>
        <v>111222.64</v>
      </c>
      <c r="E294" s="33">
        <f>E236+E237+E278+E279+E280</f>
        <v>0</v>
      </c>
      <c r="F294" s="33">
        <f>F236+F237+F278+F279+F280</f>
        <v>93575.4</v>
      </c>
      <c r="G294" s="33">
        <f>G236+G237+G278+G279+G280</f>
        <v>0</v>
      </c>
      <c r="H294" s="20"/>
      <c r="I294" s="642"/>
      <c r="J294" s="642"/>
      <c r="K294" s="642"/>
      <c r="L294" s="642"/>
      <c r="M294" s="642"/>
      <c r="N294" s="642"/>
      <c r="O294" s="642"/>
      <c r="P294" s="642"/>
      <c r="Q294" s="642"/>
      <c r="R294" s="642"/>
      <c r="S294" s="642"/>
      <c r="T294" s="642"/>
      <c r="U294" s="642"/>
      <c r="V294" s="642"/>
      <c r="W294" s="642"/>
      <c r="X294" s="642"/>
      <c r="Y294" s="642"/>
      <c r="Z294" s="642"/>
      <c r="AA294" s="642"/>
      <c r="AB294" s="642"/>
      <c r="AC294" s="642"/>
      <c r="AD294" s="642"/>
      <c r="AE294" s="642"/>
      <c r="AF294" s="642"/>
      <c r="AG294" s="642"/>
      <c r="AH294" s="642"/>
      <c r="AI294" s="642"/>
      <c r="AJ294" s="642"/>
      <c r="AK294" s="642"/>
      <c r="AL294" s="642"/>
      <c r="AM294" s="642"/>
      <c r="AN294" s="642"/>
      <c r="AO294" s="642"/>
      <c r="AP294" s="642"/>
      <c r="AQ294" s="642"/>
      <c r="AR294" s="642"/>
      <c r="AS294" s="642"/>
      <c r="AT294" s="642"/>
      <c r="AU294" s="642"/>
    </row>
    <row r="295" spans="1:47" s="3" customFormat="1" ht="19.5" customHeight="1">
      <c r="A295" s="120"/>
      <c r="B295" s="121"/>
      <c r="C295" s="121"/>
      <c r="D295" s="27"/>
      <c r="E295" s="27"/>
      <c r="F295" s="27"/>
      <c r="G295" s="27"/>
      <c r="H295" s="20"/>
      <c r="I295" s="642"/>
      <c r="J295" s="642"/>
      <c r="K295" s="642"/>
      <c r="L295" s="642"/>
      <c r="M295" s="642"/>
      <c r="N295" s="642"/>
      <c r="O295" s="642"/>
      <c r="P295" s="642"/>
      <c r="Q295" s="642"/>
      <c r="R295" s="642"/>
      <c r="S295" s="642"/>
      <c r="T295" s="642"/>
      <c r="U295" s="642"/>
      <c r="V295" s="642"/>
      <c r="W295" s="642"/>
      <c r="X295" s="642"/>
      <c r="Y295" s="642"/>
      <c r="Z295" s="642"/>
      <c r="AA295" s="642"/>
      <c r="AB295" s="642"/>
      <c r="AC295" s="642"/>
      <c r="AD295" s="642"/>
      <c r="AE295" s="642"/>
      <c r="AF295" s="642"/>
      <c r="AG295" s="642"/>
      <c r="AH295" s="642"/>
      <c r="AI295" s="642"/>
      <c r="AJ295" s="642"/>
      <c r="AK295" s="642"/>
      <c r="AL295" s="642"/>
      <c r="AM295" s="642"/>
      <c r="AN295" s="642"/>
      <c r="AO295" s="642"/>
      <c r="AP295" s="642"/>
      <c r="AQ295" s="642"/>
      <c r="AR295" s="642"/>
      <c r="AS295" s="642"/>
      <c r="AT295" s="642"/>
      <c r="AU295" s="642"/>
    </row>
    <row r="296" spans="1:47" s="3" customFormat="1" ht="19.5" customHeight="1">
      <c r="A296" s="120"/>
      <c r="B296" s="121"/>
      <c r="C296" s="121"/>
      <c r="D296" s="27"/>
      <c r="E296" s="27"/>
      <c r="F296" s="27"/>
      <c r="G296" s="27"/>
      <c r="H296" s="20"/>
      <c r="I296" s="642"/>
      <c r="J296" s="642"/>
      <c r="K296" s="642"/>
      <c r="L296" s="642"/>
      <c r="M296" s="642"/>
      <c r="N296" s="642"/>
      <c r="O296" s="642"/>
      <c r="P296" s="642"/>
      <c r="Q296" s="642"/>
      <c r="R296" s="642"/>
      <c r="S296" s="642"/>
      <c r="T296" s="642"/>
      <c r="U296" s="642"/>
      <c r="V296" s="642"/>
      <c r="W296" s="642"/>
      <c r="X296" s="642"/>
      <c r="Y296" s="642"/>
      <c r="Z296" s="642"/>
      <c r="AA296" s="642"/>
      <c r="AB296" s="642"/>
      <c r="AC296" s="642"/>
      <c r="AD296" s="642"/>
      <c r="AE296" s="642"/>
      <c r="AF296" s="642"/>
      <c r="AG296" s="642"/>
      <c r="AH296" s="642"/>
      <c r="AI296" s="642"/>
      <c r="AJ296" s="642"/>
      <c r="AK296" s="642"/>
      <c r="AL296" s="642"/>
      <c r="AM296" s="642"/>
      <c r="AN296" s="642"/>
      <c r="AO296" s="642"/>
      <c r="AP296" s="642"/>
      <c r="AQ296" s="642"/>
      <c r="AR296" s="642"/>
      <c r="AS296" s="642"/>
      <c r="AT296" s="642"/>
      <c r="AU296" s="642"/>
    </row>
    <row r="297" spans="1:47" s="3" customFormat="1" ht="21.75" customHeight="1">
      <c r="A297" s="51" t="s">
        <v>446</v>
      </c>
      <c r="B297" s="121"/>
      <c r="C297" s="101"/>
      <c r="D297" s="112"/>
      <c r="E297" s="16"/>
      <c r="F297" s="112"/>
      <c r="G297" s="27"/>
      <c r="H297" s="20"/>
      <c r="I297" s="642"/>
      <c r="J297" s="642"/>
      <c r="K297" s="642"/>
      <c r="L297" s="642"/>
      <c r="M297" s="642"/>
      <c r="N297" s="642"/>
      <c r="O297" s="642"/>
      <c r="P297" s="642"/>
      <c r="Q297" s="642"/>
      <c r="R297" s="642"/>
      <c r="S297" s="642"/>
      <c r="T297" s="642"/>
      <c r="U297" s="642"/>
      <c r="V297" s="642"/>
      <c r="W297" s="642"/>
      <c r="X297" s="642"/>
      <c r="Y297" s="642"/>
      <c r="Z297" s="642"/>
      <c r="AA297" s="642"/>
      <c r="AB297" s="642"/>
      <c r="AC297" s="642"/>
      <c r="AD297" s="642"/>
      <c r="AE297" s="642"/>
      <c r="AF297" s="642"/>
      <c r="AG297" s="642"/>
      <c r="AH297" s="642"/>
      <c r="AI297" s="642"/>
      <c r="AJ297" s="642"/>
      <c r="AK297" s="642"/>
      <c r="AL297" s="642"/>
      <c r="AM297" s="642"/>
      <c r="AN297" s="642"/>
      <c r="AO297" s="642"/>
      <c r="AP297" s="642"/>
      <c r="AQ297" s="642"/>
      <c r="AR297" s="642"/>
      <c r="AS297" s="642"/>
      <c r="AT297" s="642"/>
      <c r="AU297" s="642"/>
    </row>
    <row r="298" spans="1:47" s="3" customFormat="1" ht="16.5" customHeight="1">
      <c r="A298" s="51"/>
      <c r="B298" s="121"/>
      <c r="C298" s="101"/>
      <c r="D298" s="112"/>
      <c r="E298" s="16"/>
      <c r="F298" s="112"/>
      <c r="G298" s="27"/>
      <c r="H298" s="20"/>
      <c r="I298" s="642"/>
      <c r="J298" s="642"/>
      <c r="K298" s="642"/>
      <c r="L298" s="642"/>
      <c r="M298" s="642"/>
      <c r="N298" s="642"/>
      <c r="O298" s="642"/>
      <c r="P298" s="642"/>
      <c r="Q298" s="642"/>
      <c r="R298" s="642"/>
      <c r="S298" s="642"/>
      <c r="T298" s="642"/>
      <c r="U298" s="642"/>
      <c r="V298" s="642"/>
      <c r="W298" s="642"/>
      <c r="X298" s="642"/>
      <c r="Y298" s="642"/>
      <c r="Z298" s="642"/>
      <c r="AA298" s="642"/>
      <c r="AB298" s="642"/>
      <c r="AC298" s="642"/>
      <c r="AD298" s="642"/>
      <c r="AE298" s="642"/>
      <c r="AF298" s="642"/>
      <c r="AG298" s="642"/>
      <c r="AH298" s="642"/>
      <c r="AI298" s="642"/>
      <c r="AJ298" s="642"/>
      <c r="AK298" s="642"/>
      <c r="AL298" s="642"/>
      <c r="AM298" s="642"/>
      <c r="AN298" s="642"/>
      <c r="AO298" s="642"/>
      <c r="AP298" s="642"/>
      <c r="AQ298" s="642"/>
      <c r="AR298" s="642"/>
      <c r="AS298" s="642"/>
      <c r="AT298" s="642"/>
      <c r="AU298" s="642"/>
    </row>
    <row r="299" spans="1:47" s="3" customFormat="1" ht="15.75" customHeight="1">
      <c r="A299" s="51"/>
      <c r="B299" s="121"/>
      <c r="C299" s="101"/>
      <c r="D299" s="16"/>
      <c r="E299" s="16"/>
      <c r="F299" s="27"/>
      <c r="G299" s="27"/>
      <c r="H299" s="20"/>
      <c r="I299" s="642"/>
      <c r="J299" s="642"/>
      <c r="K299" s="642"/>
      <c r="L299" s="642"/>
      <c r="M299" s="642"/>
      <c r="N299" s="642"/>
      <c r="O299" s="642"/>
      <c r="P299" s="642"/>
      <c r="Q299" s="642"/>
      <c r="R299" s="642"/>
      <c r="S299" s="642"/>
      <c r="T299" s="642"/>
      <c r="U299" s="642"/>
      <c r="V299" s="642"/>
      <c r="W299" s="642"/>
      <c r="X299" s="642"/>
      <c r="Y299" s="642"/>
      <c r="Z299" s="642"/>
      <c r="AA299" s="642"/>
      <c r="AB299" s="642"/>
      <c r="AC299" s="642"/>
      <c r="AD299" s="642"/>
      <c r="AE299" s="642"/>
      <c r="AF299" s="642"/>
      <c r="AG299" s="642"/>
      <c r="AH299" s="642"/>
      <c r="AI299" s="642"/>
      <c r="AJ299" s="642"/>
      <c r="AK299" s="642"/>
      <c r="AL299" s="642"/>
      <c r="AM299" s="642"/>
      <c r="AN299" s="642"/>
      <c r="AO299" s="642"/>
      <c r="AP299" s="642"/>
      <c r="AQ299" s="642"/>
      <c r="AR299" s="642"/>
      <c r="AS299" s="642"/>
      <c r="AT299" s="642"/>
      <c r="AU299" s="642"/>
    </row>
    <row r="300" spans="1:47" s="3" customFormat="1" ht="18.75" customHeight="1">
      <c r="A300" s="132" t="s">
        <v>45</v>
      </c>
      <c r="B300" s="100"/>
      <c r="C300" s="101"/>
      <c r="D300" s="16"/>
      <c r="E300" s="16"/>
      <c r="F300" s="27"/>
      <c r="G300" s="27"/>
      <c r="H300" s="20"/>
      <c r="I300" s="642"/>
      <c r="J300" s="642"/>
      <c r="K300" s="642"/>
      <c r="L300" s="642"/>
      <c r="M300" s="642"/>
      <c r="N300" s="642"/>
      <c r="O300" s="642"/>
      <c r="P300" s="642"/>
      <c r="Q300" s="642"/>
      <c r="R300" s="642"/>
      <c r="S300" s="642"/>
      <c r="T300" s="642"/>
      <c r="U300" s="642"/>
      <c r="V300" s="642"/>
      <c r="W300" s="642"/>
      <c r="X300" s="642"/>
      <c r="Y300" s="642"/>
      <c r="Z300" s="642"/>
      <c r="AA300" s="642"/>
      <c r="AB300" s="642"/>
      <c r="AC300" s="642"/>
      <c r="AD300" s="642"/>
      <c r="AE300" s="642"/>
      <c r="AF300" s="642"/>
      <c r="AG300" s="642"/>
      <c r="AH300" s="642"/>
      <c r="AI300" s="642"/>
      <c r="AJ300" s="642"/>
      <c r="AK300" s="642"/>
      <c r="AL300" s="642"/>
      <c r="AM300" s="642"/>
      <c r="AN300" s="642"/>
      <c r="AO300" s="642"/>
      <c r="AP300" s="642"/>
      <c r="AQ300" s="642"/>
      <c r="AR300" s="642"/>
      <c r="AS300" s="642"/>
      <c r="AT300" s="642"/>
      <c r="AU300" s="642"/>
    </row>
    <row r="301" spans="1:47" s="3" customFormat="1" ht="21" customHeight="1">
      <c r="A301" s="133" t="s">
        <v>305</v>
      </c>
      <c r="B301" s="100"/>
      <c r="C301" s="134"/>
      <c r="D301" s="22"/>
      <c r="E301" s="16"/>
      <c r="F301" s="27"/>
      <c r="G301" s="27"/>
      <c r="H301" s="20"/>
      <c r="I301" s="642"/>
      <c r="J301" s="642"/>
      <c r="K301" s="642"/>
      <c r="L301" s="642"/>
      <c r="M301" s="642"/>
      <c r="N301" s="642"/>
      <c r="O301" s="642"/>
      <c r="P301" s="642"/>
      <c r="Q301" s="642"/>
      <c r="R301" s="642"/>
      <c r="S301" s="642"/>
      <c r="T301" s="642"/>
      <c r="U301" s="642"/>
      <c r="V301" s="642"/>
      <c r="W301" s="642"/>
      <c r="X301" s="642"/>
      <c r="Y301" s="642"/>
      <c r="Z301" s="642"/>
      <c r="AA301" s="642"/>
      <c r="AB301" s="642"/>
      <c r="AC301" s="642"/>
      <c r="AD301" s="642"/>
      <c r="AE301" s="642"/>
      <c r="AF301" s="642"/>
      <c r="AG301" s="642"/>
      <c r="AH301" s="642"/>
      <c r="AI301" s="642"/>
      <c r="AJ301" s="642"/>
      <c r="AK301" s="642"/>
      <c r="AL301" s="642"/>
      <c r="AM301" s="642"/>
      <c r="AN301" s="642"/>
      <c r="AO301" s="642"/>
      <c r="AP301" s="642"/>
      <c r="AQ301" s="642"/>
      <c r="AR301" s="642"/>
      <c r="AS301" s="642"/>
      <c r="AT301" s="642"/>
      <c r="AU301" s="642"/>
    </row>
    <row r="302" spans="1:47" s="3" customFormat="1" ht="21" customHeight="1">
      <c r="A302" s="133"/>
      <c r="B302" s="100"/>
      <c r="C302" s="134"/>
      <c r="D302" s="22"/>
      <c r="E302" s="16"/>
      <c r="F302" s="27"/>
      <c r="G302" s="27"/>
      <c r="H302" s="20"/>
      <c r="I302" s="642"/>
      <c r="J302" s="642"/>
      <c r="K302" s="642"/>
      <c r="L302" s="642"/>
      <c r="M302" s="642"/>
      <c r="N302" s="642"/>
      <c r="O302" s="642"/>
      <c r="P302" s="642"/>
      <c r="Q302" s="642"/>
      <c r="R302" s="642"/>
      <c r="S302" s="642"/>
      <c r="T302" s="642"/>
      <c r="U302" s="642"/>
      <c r="V302" s="642"/>
      <c r="W302" s="642"/>
      <c r="X302" s="642"/>
      <c r="Y302" s="642"/>
      <c r="Z302" s="642"/>
      <c r="AA302" s="642"/>
      <c r="AB302" s="642"/>
      <c r="AC302" s="642"/>
      <c r="AD302" s="642"/>
      <c r="AE302" s="642"/>
      <c r="AF302" s="642"/>
      <c r="AG302" s="642"/>
      <c r="AH302" s="642"/>
      <c r="AI302" s="642"/>
      <c r="AJ302" s="642"/>
      <c r="AK302" s="642"/>
      <c r="AL302" s="642"/>
      <c r="AM302" s="642"/>
      <c r="AN302" s="642"/>
      <c r="AO302" s="642"/>
      <c r="AP302" s="642"/>
      <c r="AQ302" s="642"/>
      <c r="AR302" s="642"/>
      <c r="AS302" s="642"/>
      <c r="AT302" s="642"/>
      <c r="AU302" s="642"/>
    </row>
    <row r="303" spans="1:47" s="3" customFormat="1" ht="21.75" customHeight="1">
      <c r="A303" s="135" t="s">
        <v>46</v>
      </c>
      <c r="B303" s="136"/>
      <c r="C303" s="121"/>
      <c r="D303" s="36"/>
      <c r="E303" s="36"/>
      <c r="F303" s="36"/>
      <c r="G303" s="36"/>
      <c r="H303" s="37"/>
      <c r="I303" s="642"/>
      <c r="J303" s="642"/>
      <c r="K303" s="642"/>
      <c r="L303" s="642"/>
      <c r="M303" s="642"/>
      <c r="N303" s="642"/>
      <c r="O303" s="642"/>
      <c r="P303" s="642"/>
      <c r="Q303" s="642"/>
      <c r="R303" s="642"/>
      <c r="S303" s="642"/>
      <c r="T303" s="642"/>
      <c r="U303" s="642"/>
      <c r="V303" s="642"/>
      <c r="W303" s="642"/>
      <c r="X303" s="642"/>
      <c r="Y303" s="642"/>
      <c r="Z303" s="642"/>
      <c r="AA303" s="642"/>
      <c r="AB303" s="642"/>
      <c r="AC303" s="642"/>
      <c r="AD303" s="642"/>
      <c r="AE303" s="642"/>
      <c r="AF303" s="642"/>
      <c r="AG303" s="642"/>
      <c r="AH303" s="642"/>
      <c r="AI303" s="642"/>
      <c r="AJ303" s="642"/>
      <c r="AK303" s="642"/>
      <c r="AL303" s="642"/>
      <c r="AM303" s="642"/>
      <c r="AN303" s="642"/>
      <c r="AO303" s="642"/>
      <c r="AP303" s="642"/>
      <c r="AQ303" s="642"/>
      <c r="AR303" s="642"/>
      <c r="AS303" s="642"/>
      <c r="AT303" s="642"/>
      <c r="AU303" s="642"/>
    </row>
    <row r="304" spans="1:47" s="3" customFormat="1" ht="21.75" customHeight="1">
      <c r="A304" s="135"/>
      <c r="B304" s="136"/>
      <c r="C304" s="121"/>
      <c r="D304" s="36"/>
      <c r="E304" s="36"/>
      <c r="F304" s="36"/>
      <c r="G304" s="36"/>
      <c r="H304" s="37"/>
      <c r="I304" s="642"/>
      <c r="J304" s="642"/>
      <c r="K304" s="642"/>
      <c r="L304" s="642"/>
      <c r="M304" s="642"/>
      <c r="N304" s="642"/>
      <c r="O304" s="642"/>
      <c r="P304" s="642"/>
      <c r="Q304" s="642"/>
      <c r="R304" s="642"/>
      <c r="S304" s="642"/>
      <c r="T304" s="642"/>
      <c r="U304" s="642"/>
      <c r="V304" s="642"/>
      <c r="W304" s="642"/>
      <c r="X304" s="642"/>
      <c r="Y304" s="642"/>
      <c r="Z304" s="642"/>
      <c r="AA304" s="642"/>
      <c r="AB304" s="642"/>
      <c r="AC304" s="642"/>
      <c r="AD304" s="642"/>
      <c r="AE304" s="642"/>
      <c r="AF304" s="642"/>
      <c r="AG304" s="642"/>
      <c r="AH304" s="642"/>
      <c r="AI304" s="642"/>
      <c r="AJ304" s="642"/>
      <c r="AK304" s="642"/>
      <c r="AL304" s="642"/>
      <c r="AM304" s="642"/>
      <c r="AN304" s="642"/>
      <c r="AO304" s="642"/>
      <c r="AP304" s="642"/>
      <c r="AQ304" s="642"/>
      <c r="AR304" s="642"/>
      <c r="AS304" s="642"/>
      <c r="AT304" s="642"/>
      <c r="AU304" s="642"/>
    </row>
    <row r="305" spans="1:47" s="3" customFormat="1" ht="16.5" customHeight="1">
      <c r="A305" s="135"/>
      <c r="B305" s="136"/>
      <c r="C305" s="121"/>
      <c r="D305" s="36"/>
      <c r="E305" s="36"/>
      <c r="F305" s="36"/>
      <c r="G305" s="36"/>
      <c r="H305" s="37"/>
      <c r="I305" s="642"/>
      <c r="J305" s="642"/>
      <c r="K305" s="642"/>
      <c r="L305" s="642"/>
      <c r="M305" s="642"/>
      <c r="N305" s="642"/>
      <c r="O305" s="642"/>
      <c r="P305" s="642"/>
      <c r="Q305" s="642"/>
      <c r="R305" s="642"/>
      <c r="S305" s="642"/>
      <c r="T305" s="642"/>
      <c r="U305" s="642"/>
      <c r="V305" s="642"/>
      <c r="W305" s="642"/>
      <c r="X305" s="642"/>
      <c r="Y305" s="642"/>
      <c r="Z305" s="642"/>
      <c r="AA305" s="642"/>
      <c r="AB305" s="642"/>
      <c r="AC305" s="642"/>
      <c r="AD305" s="642"/>
      <c r="AE305" s="642"/>
      <c r="AF305" s="642"/>
      <c r="AG305" s="642"/>
      <c r="AH305" s="642"/>
      <c r="AI305" s="642"/>
      <c r="AJ305" s="642"/>
      <c r="AK305" s="642"/>
      <c r="AL305" s="642"/>
      <c r="AM305" s="642"/>
      <c r="AN305" s="642"/>
      <c r="AO305" s="642"/>
      <c r="AP305" s="642"/>
      <c r="AQ305" s="642"/>
      <c r="AR305" s="642"/>
      <c r="AS305" s="642"/>
      <c r="AT305" s="642"/>
      <c r="AU305" s="642"/>
    </row>
    <row r="306" spans="1:47" s="3" customFormat="1" ht="16.5" customHeight="1">
      <c r="A306" s="135" t="s">
        <v>488</v>
      </c>
      <c r="B306" s="136"/>
      <c r="C306" s="121"/>
      <c r="D306" s="36"/>
      <c r="E306" s="36"/>
      <c r="F306" s="36"/>
      <c r="G306" s="36"/>
      <c r="H306" s="38">
        <f>H308</f>
        <v>201139</v>
      </c>
      <c r="I306" s="642"/>
      <c r="J306" s="642"/>
      <c r="K306" s="642"/>
      <c r="L306" s="642"/>
      <c r="M306" s="642"/>
      <c r="N306" s="642"/>
      <c r="O306" s="642"/>
      <c r="P306" s="642"/>
      <c r="Q306" s="642"/>
      <c r="R306" s="642"/>
      <c r="S306" s="642"/>
      <c r="T306" s="642"/>
      <c r="U306" s="642"/>
      <c r="V306" s="642"/>
      <c r="W306" s="642"/>
      <c r="X306" s="642"/>
      <c r="Y306" s="642"/>
      <c r="Z306" s="642"/>
      <c r="AA306" s="642"/>
      <c r="AB306" s="642"/>
      <c r="AC306" s="642"/>
      <c r="AD306" s="642"/>
      <c r="AE306" s="642"/>
      <c r="AF306" s="642"/>
      <c r="AG306" s="642"/>
      <c r="AH306" s="642"/>
      <c r="AI306" s="642"/>
      <c r="AJ306" s="642"/>
      <c r="AK306" s="642"/>
      <c r="AL306" s="642"/>
      <c r="AM306" s="642"/>
      <c r="AN306" s="642"/>
      <c r="AO306" s="642"/>
      <c r="AP306" s="642"/>
      <c r="AQ306" s="642"/>
      <c r="AR306" s="642"/>
      <c r="AS306" s="642"/>
      <c r="AT306" s="642"/>
      <c r="AU306" s="642"/>
    </row>
    <row r="307" spans="1:47" s="3" customFormat="1" ht="16.5" customHeight="1">
      <c r="A307" s="671" t="s">
        <v>12</v>
      </c>
      <c r="B307" s="136"/>
      <c r="C307" s="121"/>
      <c r="D307" s="36"/>
      <c r="E307" s="36"/>
      <c r="F307" s="36"/>
      <c r="G307" s="36"/>
      <c r="H307" s="37"/>
      <c r="I307" s="642"/>
      <c r="J307" s="642"/>
      <c r="K307" s="642"/>
      <c r="L307" s="642"/>
      <c r="M307" s="642"/>
      <c r="N307" s="642"/>
      <c r="O307" s="642"/>
      <c r="P307" s="642"/>
      <c r="Q307" s="642"/>
      <c r="R307" s="642"/>
      <c r="S307" s="642"/>
      <c r="T307" s="642"/>
      <c r="U307" s="642"/>
      <c r="V307" s="642"/>
      <c r="W307" s="642"/>
      <c r="X307" s="642"/>
      <c r="Y307" s="642"/>
      <c r="Z307" s="642"/>
      <c r="AA307" s="642"/>
      <c r="AB307" s="642"/>
      <c r="AC307" s="642"/>
      <c r="AD307" s="642"/>
      <c r="AE307" s="642"/>
      <c r="AF307" s="642"/>
      <c r="AG307" s="642"/>
      <c r="AH307" s="642"/>
      <c r="AI307" s="642"/>
      <c r="AJ307" s="642"/>
      <c r="AK307" s="642"/>
      <c r="AL307" s="642"/>
      <c r="AM307" s="642"/>
      <c r="AN307" s="642"/>
      <c r="AO307" s="642"/>
      <c r="AP307" s="642"/>
      <c r="AQ307" s="642"/>
      <c r="AR307" s="642"/>
      <c r="AS307" s="642"/>
      <c r="AT307" s="642"/>
      <c r="AU307" s="642"/>
    </row>
    <row r="308" spans="1:47" s="3" customFormat="1" ht="16.5" customHeight="1">
      <c r="A308" s="135" t="s">
        <v>461</v>
      </c>
      <c r="B308" s="136"/>
      <c r="C308" s="121"/>
      <c r="D308" s="36"/>
      <c r="E308" s="36"/>
      <c r="F308" s="36"/>
      <c r="G308" s="36"/>
      <c r="H308" s="25">
        <f>H310+H312</f>
        <v>201139</v>
      </c>
      <c r="I308" s="642"/>
      <c r="J308" s="642"/>
      <c r="K308" s="642"/>
      <c r="L308" s="642"/>
      <c r="M308" s="642"/>
      <c r="N308" s="642"/>
      <c r="O308" s="642"/>
      <c r="P308" s="642"/>
      <c r="Q308" s="642"/>
      <c r="R308" s="642"/>
      <c r="S308" s="642"/>
      <c r="T308" s="642"/>
      <c r="U308" s="642"/>
      <c r="V308" s="642"/>
      <c r="W308" s="642"/>
      <c r="X308" s="642"/>
      <c r="Y308" s="642"/>
      <c r="Z308" s="642"/>
      <c r="AA308" s="642"/>
      <c r="AB308" s="642"/>
      <c r="AC308" s="642"/>
      <c r="AD308" s="642"/>
      <c r="AE308" s="642"/>
      <c r="AF308" s="642"/>
      <c r="AG308" s="642"/>
      <c r="AH308" s="642"/>
      <c r="AI308" s="642"/>
      <c r="AJ308" s="642"/>
      <c r="AK308" s="642"/>
      <c r="AL308" s="642"/>
      <c r="AM308" s="642"/>
      <c r="AN308" s="642"/>
      <c r="AO308" s="642"/>
      <c r="AP308" s="642"/>
      <c r="AQ308" s="642"/>
      <c r="AR308" s="642"/>
      <c r="AS308" s="642"/>
      <c r="AT308" s="642"/>
      <c r="AU308" s="642"/>
    </row>
    <row r="309" spans="1:47" s="3" customFormat="1" ht="16.5" customHeight="1">
      <c r="A309" s="135" t="s">
        <v>12</v>
      </c>
      <c r="B309" s="136"/>
      <c r="C309" s="121"/>
      <c r="D309" s="36"/>
      <c r="E309" s="36"/>
      <c r="F309" s="36"/>
      <c r="G309" s="36"/>
      <c r="H309" s="37"/>
      <c r="I309" s="642"/>
      <c r="J309" s="642"/>
      <c r="K309" s="642"/>
      <c r="L309" s="642"/>
      <c r="M309" s="642"/>
      <c r="N309" s="642"/>
      <c r="O309" s="642"/>
      <c r="P309" s="642"/>
      <c r="Q309" s="642"/>
      <c r="R309" s="642"/>
      <c r="S309" s="642"/>
      <c r="T309" s="642"/>
      <c r="U309" s="642"/>
      <c r="V309" s="642"/>
      <c r="W309" s="642"/>
      <c r="X309" s="642"/>
      <c r="Y309" s="642"/>
      <c r="Z309" s="642"/>
      <c r="AA309" s="642"/>
      <c r="AB309" s="642"/>
      <c r="AC309" s="642"/>
      <c r="AD309" s="642"/>
      <c r="AE309" s="642"/>
      <c r="AF309" s="642"/>
      <c r="AG309" s="642"/>
      <c r="AH309" s="642"/>
      <c r="AI309" s="642"/>
      <c r="AJ309" s="642"/>
      <c r="AK309" s="642"/>
      <c r="AL309" s="642"/>
      <c r="AM309" s="642"/>
      <c r="AN309" s="642"/>
      <c r="AO309" s="642"/>
      <c r="AP309" s="642"/>
      <c r="AQ309" s="642"/>
      <c r="AR309" s="642"/>
      <c r="AS309" s="642"/>
      <c r="AT309" s="642"/>
      <c r="AU309" s="642"/>
    </row>
    <row r="310" spans="1:47" s="3" customFormat="1" ht="16.5" customHeight="1">
      <c r="A310" s="135"/>
      <c r="B310" s="136" t="s">
        <v>81</v>
      </c>
      <c r="C310" s="121"/>
      <c r="D310" s="36"/>
      <c r="E310" s="36"/>
      <c r="F310" s="36"/>
      <c r="G310" s="36"/>
      <c r="H310" s="37">
        <v>108150</v>
      </c>
      <c r="I310" s="642"/>
      <c r="J310" s="642"/>
      <c r="K310" s="642"/>
      <c r="L310" s="642"/>
      <c r="M310" s="642"/>
      <c r="N310" s="642"/>
      <c r="O310" s="642"/>
      <c r="P310" s="642"/>
      <c r="Q310" s="642"/>
      <c r="R310" s="642"/>
      <c r="S310" s="642"/>
      <c r="T310" s="642"/>
      <c r="U310" s="642"/>
      <c r="V310" s="642"/>
      <c r="W310" s="642"/>
      <c r="X310" s="642"/>
      <c r="Y310" s="642"/>
      <c r="Z310" s="642"/>
      <c r="AA310" s="642"/>
      <c r="AB310" s="642"/>
      <c r="AC310" s="642"/>
      <c r="AD310" s="642"/>
      <c r="AE310" s="642"/>
      <c r="AF310" s="642"/>
      <c r="AG310" s="642"/>
      <c r="AH310" s="642"/>
      <c r="AI310" s="642"/>
      <c r="AJ310" s="642"/>
      <c r="AK310" s="642"/>
      <c r="AL310" s="642"/>
      <c r="AM310" s="642"/>
      <c r="AN310" s="642"/>
      <c r="AO310" s="642"/>
      <c r="AP310" s="642"/>
      <c r="AQ310" s="642"/>
      <c r="AR310" s="642"/>
      <c r="AS310" s="642"/>
      <c r="AT310" s="642"/>
      <c r="AU310" s="642"/>
    </row>
    <row r="311" spans="1:47" s="3" customFormat="1" ht="16.5" customHeight="1">
      <c r="A311" s="135"/>
      <c r="B311" s="136"/>
      <c r="C311" s="121"/>
      <c r="D311" s="36"/>
      <c r="E311" s="36"/>
      <c r="F311" s="36"/>
      <c r="G311" s="36"/>
      <c r="H311" s="37"/>
      <c r="I311" s="642"/>
      <c r="J311" s="642"/>
      <c r="K311" s="642"/>
      <c r="L311" s="642"/>
      <c r="M311" s="642"/>
      <c r="N311" s="642"/>
      <c r="O311" s="642"/>
      <c r="P311" s="642"/>
      <c r="Q311" s="642"/>
      <c r="R311" s="642"/>
      <c r="S311" s="642"/>
      <c r="T311" s="642"/>
      <c r="U311" s="642"/>
      <c r="V311" s="642"/>
      <c r="W311" s="642"/>
      <c r="X311" s="642"/>
      <c r="Y311" s="642"/>
      <c r="Z311" s="642"/>
      <c r="AA311" s="642"/>
      <c r="AB311" s="642"/>
      <c r="AC311" s="642"/>
      <c r="AD311" s="642"/>
      <c r="AE311" s="642"/>
      <c r="AF311" s="642"/>
      <c r="AG311" s="642"/>
      <c r="AH311" s="642"/>
      <c r="AI311" s="642"/>
      <c r="AJ311" s="642"/>
      <c r="AK311" s="642"/>
      <c r="AL311" s="642"/>
      <c r="AM311" s="642"/>
      <c r="AN311" s="642"/>
      <c r="AO311" s="642"/>
      <c r="AP311" s="642"/>
      <c r="AQ311" s="642"/>
      <c r="AR311" s="642"/>
      <c r="AS311" s="642"/>
      <c r="AT311" s="642"/>
      <c r="AU311" s="642"/>
    </row>
    <row r="312" spans="1:47" s="3" customFormat="1" ht="16.5" customHeight="1">
      <c r="A312" s="135"/>
      <c r="B312" s="136" t="s">
        <v>481</v>
      </c>
      <c r="C312" s="121"/>
      <c r="D312" s="36"/>
      <c r="E312" s="36"/>
      <c r="F312" s="36"/>
      <c r="G312" s="36"/>
      <c r="H312" s="37">
        <v>92989</v>
      </c>
      <c r="I312" s="642"/>
      <c r="J312" s="642"/>
      <c r="K312" s="642"/>
      <c r="L312" s="642"/>
      <c r="M312" s="642"/>
      <c r="N312" s="642"/>
      <c r="O312" s="642"/>
      <c r="P312" s="642"/>
      <c r="Q312" s="642"/>
      <c r="R312" s="642"/>
      <c r="S312" s="642"/>
      <c r="T312" s="642"/>
      <c r="U312" s="642"/>
      <c r="V312" s="642"/>
      <c r="W312" s="642"/>
      <c r="X312" s="642"/>
      <c r="Y312" s="642"/>
      <c r="Z312" s="642"/>
      <c r="AA312" s="642"/>
      <c r="AB312" s="642"/>
      <c r="AC312" s="642"/>
      <c r="AD312" s="642"/>
      <c r="AE312" s="642"/>
      <c r="AF312" s="642"/>
      <c r="AG312" s="642"/>
      <c r="AH312" s="642"/>
      <c r="AI312" s="642"/>
      <c r="AJ312" s="642"/>
      <c r="AK312" s="642"/>
      <c r="AL312" s="642"/>
      <c r="AM312" s="642"/>
      <c r="AN312" s="642"/>
      <c r="AO312" s="642"/>
      <c r="AP312" s="642"/>
      <c r="AQ312" s="642"/>
      <c r="AR312" s="642"/>
      <c r="AS312" s="642"/>
      <c r="AT312" s="642"/>
      <c r="AU312" s="642"/>
    </row>
    <row r="313" spans="1:47" s="3" customFormat="1" ht="15" customHeight="1">
      <c r="A313" s="51"/>
      <c r="B313" s="121"/>
      <c r="C313" s="121"/>
      <c r="D313" s="36"/>
      <c r="E313" s="36"/>
      <c r="F313" s="36"/>
      <c r="G313" s="36"/>
      <c r="H313" s="37"/>
      <c r="I313" s="642"/>
      <c r="J313" s="642"/>
      <c r="K313" s="642"/>
      <c r="L313" s="642"/>
      <c r="M313" s="642"/>
      <c r="N313" s="642"/>
      <c r="O313" s="642"/>
      <c r="P313" s="642"/>
      <c r="Q313" s="642"/>
      <c r="R313" s="642"/>
      <c r="S313" s="642"/>
      <c r="T313" s="642"/>
      <c r="U313" s="642"/>
      <c r="V313" s="642"/>
      <c r="W313" s="642"/>
      <c r="X313" s="642"/>
      <c r="Y313" s="642"/>
      <c r="Z313" s="642"/>
      <c r="AA313" s="642"/>
      <c r="AB313" s="642"/>
      <c r="AC313" s="642"/>
      <c r="AD313" s="642"/>
      <c r="AE313" s="642"/>
      <c r="AF313" s="642"/>
      <c r="AG313" s="642"/>
      <c r="AH313" s="642"/>
      <c r="AI313" s="642"/>
      <c r="AJ313" s="642"/>
      <c r="AK313" s="642"/>
      <c r="AL313" s="642"/>
      <c r="AM313" s="642"/>
      <c r="AN313" s="642"/>
      <c r="AO313" s="642"/>
      <c r="AP313" s="642"/>
      <c r="AQ313" s="642"/>
      <c r="AR313" s="642"/>
      <c r="AS313" s="642"/>
      <c r="AT313" s="642"/>
      <c r="AU313" s="642"/>
    </row>
    <row r="314" spans="1:47" s="3" customFormat="1" ht="15" customHeight="1">
      <c r="A314" s="51"/>
      <c r="B314" s="121"/>
      <c r="C314" s="121"/>
      <c r="D314" s="36"/>
      <c r="E314" s="36"/>
      <c r="F314" s="36"/>
      <c r="G314" s="36"/>
      <c r="H314" s="37"/>
      <c r="I314" s="642"/>
      <c r="J314" s="642"/>
      <c r="K314" s="642"/>
      <c r="L314" s="642"/>
      <c r="M314" s="642"/>
      <c r="N314" s="642"/>
      <c r="O314" s="642"/>
      <c r="P314" s="642"/>
      <c r="Q314" s="642"/>
      <c r="R314" s="642"/>
      <c r="S314" s="642"/>
      <c r="T314" s="642"/>
      <c r="U314" s="642"/>
      <c r="V314" s="642"/>
      <c r="W314" s="642"/>
      <c r="X314" s="642"/>
      <c r="Y314" s="642"/>
      <c r="Z314" s="642"/>
      <c r="AA314" s="642"/>
      <c r="AB314" s="642"/>
      <c r="AC314" s="642"/>
      <c r="AD314" s="642"/>
      <c r="AE314" s="642"/>
      <c r="AF314" s="642"/>
      <c r="AG314" s="642"/>
      <c r="AH314" s="642"/>
      <c r="AI314" s="642"/>
      <c r="AJ314" s="642"/>
      <c r="AK314" s="642"/>
      <c r="AL314" s="642"/>
      <c r="AM314" s="642"/>
      <c r="AN314" s="642"/>
      <c r="AO314" s="642"/>
      <c r="AP314" s="642"/>
      <c r="AQ314" s="642"/>
      <c r="AR314" s="642"/>
      <c r="AS314" s="642"/>
      <c r="AT314" s="642"/>
      <c r="AU314" s="642"/>
    </row>
    <row r="315" spans="1:47" s="3" customFormat="1" ht="17.25" customHeight="1">
      <c r="A315" s="137" t="s">
        <v>25</v>
      </c>
      <c r="B315" s="136"/>
      <c r="C315" s="138"/>
      <c r="D315" s="36"/>
      <c r="E315" s="36"/>
      <c r="F315" s="36"/>
      <c r="G315" s="36"/>
      <c r="H315" s="38">
        <f>H317+H321</f>
        <v>28800</v>
      </c>
      <c r="I315" s="642"/>
      <c r="J315" s="642"/>
      <c r="K315" s="642"/>
      <c r="L315" s="642"/>
      <c r="M315" s="642"/>
      <c r="N315" s="642"/>
      <c r="O315" s="642"/>
      <c r="P315" s="642"/>
      <c r="Q315" s="642"/>
      <c r="R315" s="642"/>
      <c r="S315" s="642"/>
      <c r="T315" s="642"/>
      <c r="U315" s="642"/>
      <c r="V315" s="642"/>
      <c r="W315" s="642"/>
      <c r="X315" s="642"/>
      <c r="Y315" s="642"/>
      <c r="Z315" s="642"/>
      <c r="AA315" s="642"/>
      <c r="AB315" s="642"/>
      <c r="AC315" s="642"/>
      <c r="AD315" s="642"/>
      <c r="AE315" s="642"/>
      <c r="AF315" s="642"/>
      <c r="AG315" s="642"/>
      <c r="AH315" s="642"/>
      <c r="AI315" s="642"/>
      <c r="AJ315" s="642"/>
      <c r="AK315" s="642"/>
      <c r="AL315" s="642"/>
      <c r="AM315" s="642"/>
      <c r="AN315" s="642"/>
      <c r="AO315" s="642"/>
      <c r="AP315" s="642"/>
      <c r="AQ315" s="642"/>
      <c r="AR315" s="642"/>
      <c r="AS315" s="642"/>
      <c r="AT315" s="642"/>
      <c r="AU315" s="642"/>
    </row>
    <row r="316" spans="1:47" s="3" customFormat="1" ht="16.5" customHeight="1">
      <c r="A316" s="51" t="s">
        <v>12</v>
      </c>
      <c r="B316" s="139"/>
      <c r="C316" s="140"/>
      <c r="D316" s="22"/>
      <c r="E316" s="16"/>
      <c r="F316" s="27"/>
      <c r="G316" s="27"/>
      <c r="H316" s="37"/>
      <c r="I316" s="642"/>
      <c r="J316" s="642"/>
      <c r="K316" s="642"/>
      <c r="L316" s="642"/>
      <c r="M316" s="642"/>
      <c r="N316" s="642"/>
      <c r="O316" s="642"/>
      <c r="P316" s="642"/>
      <c r="Q316" s="642"/>
      <c r="R316" s="642"/>
      <c r="S316" s="642"/>
      <c r="T316" s="642"/>
      <c r="U316" s="642"/>
      <c r="V316" s="642"/>
      <c r="W316" s="642"/>
      <c r="X316" s="642"/>
      <c r="Y316" s="642"/>
      <c r="Z316" s="642"/>
      <c r="AA316" s="642"/>
      <c r="AB316" s="642"/>
      <c r="AC316" s="642"/>
      <c r="AD316" s="642"/>
      <c r="AE316" s="642"/>
      <c r="AF316" s="642"/>
      <c r="AG316" s="642"/>
      <c r="AH316" s="642"/>
      <c r="AI316" s="642"/>
      <c r="AJ316" s="642"/>
      <c r="AK316" s="642"/>
      <c r="AL316" s="642"/>
      <c r="AM316" s="642"/>
      <c r="AN316" s="642"/>
      <c r="AO316" s="642"/>
      <c r="AP316" s="642"/>
      <c r="AQ316" s="642"/>
      <c r="AR316" s="642"/>
      <c r="AS316" s="642"/>
      <c r="AT316" s="642"/>
      <c r="AU316" s="642"/>
    </row>
    <row r="317" spans="1:47" s="3" customFormat="1" ht="16.5" customHeight="1">
      <c r="A317" s="102" t="s">
        <v>482</v>
      </c>
      <c r="B317" s="139"/>
      <c r="C317" s="140"/>
      <c r="D317" s="22"/>
      <c r="E317" s="16"/>
      <c r="F317" s="27"/>
      <c r="G317" s="27"/>
      <c r="H317" s="25">
        <f>H319</f>
        <v>13500</v>
      </c>
      <c r="I317" s="642"/>
      <c r="J317" s="642"/>
      <c r="K317" s="642"/>
      <c r="L317" s="642"/>
      <c r="M317" s="642"/>
      <c r="N317" s="642"/>
      <c r="O317" s="642"/>
      <c r="P317" s="642"/>
      <c r="Q317" s="642"/>
      <c r="R317" s="642"/>
      <c r="S317" s="642"/>
      <c r="T317" s="642"/>
      <c r="U317" s="642"/>
      <c r="V317" s="642"/>
      <c r="W317" s="642"/>
      <c r="X317" s="642"/>
      <c r="Y317" s="642"/>
      <c r="Z317" s="642"/>
      <c r="AA317" s="642"/>
      <c r="AB317" s="642"/>
      <c r="AC317" s="642"/>
      <c r="AD317" s="642"/>
      <c r="AE317" s="642"/>
      <c r="AF317" s="642"/>
      <c r="AG317" s="642"/>
      <c r="AH317" s="642"/>
      <c r="AI317" s="642"/>
      <c r="AJ317" s="642"/>
      <c r="AK317" s="642"/>
      <c r="AL317" s="642"/>
      <c r="AM317" s="642"/>
      <c r="AN317" s="642"/>
      <c r="AO317" s="642"/>
      <c r="AP317" s="642"/>
      <c r="AQ317" s="642"/>
      <c r="AR317" s="642"/>
      <c r="AS317" s="642"/>
      <c r="AT317" s="642"/>
      <c r="AU317" s="642"/>
    </row>
    <row r="318" spans="1:47" s="3" customFormat="1" ht="16.5" customHeight="1">
      <c r="A318" s="120" t="s">
        <v>12</v>
      </c>
      <c r="B318" s="139"/>
      <c r="C318" s="140"/>
      <c r="D318" s="22"/>
      <c r="E318" s="16"/>
      <c r="F318" s="27"/>
      <c r="G318" s="27"/>
      <c r="H318" s="37"/>
      <c r="I318" s="642"/>
      <c r="J318" s="642"/>
      <c r="K318" s="642"/>
      <c r="L318" s="642"/>
      <c r="M318" s="642"/>
      <c r="N318" s="642"/>
      <c r="O318" s="642"/>
      <c r="P318" s="642"/>
      <c r="Q318" s="642"/>
      <c r="R318" s="642"/>
      <c r="S318" s="642"/>
      <c r="T318" s="642"/>
      <c r="U318" s="642"/>
      <c r="V318" s="642"/>
      <c r="W318" s="642"/>
      <c r="X318" s="642"/>
      <c r="Y318" s="642"/>
      <c r="Z318" s="642"/>
      <c r="AA318" s="642"/>
      <c r="AB318" s="642"/>
      <c r="AC318" s="642"/>
      <c r="AD318" s="642"/>
      <c r="AE318" s="642"/>
      <c r="AF318" s="642"/>
      <c r="AG318" s="642"/>
      <c r="AH318" s="642"/>
      <c r="AI318" s="642"/>
      <c r="AJ318" s="642"/>
      <c r="AK318" s="642"/>
      <c r="AL318" s="642"/>
      <c r="AM318" s="642"/>
      <c r="AN318" s="642"/>
      <c r="AO318" s="642"/>
      <c r="AP318" s="642"/>
      <c r="AQ318" s="642"/>
      <c r="AR318" s="642"/>
      <c r="AS318" s="642"/>
      <c r="AT318" s="642"/>
      <c r="AU318" s="642"/>
    </row>
    <row r="319" spans="1:47" s="3" customFormat="1" ht="16.5" customHeight="1">
      <c r="A319" s="120"/>
      <c r="B319" s="139" t="s">
        <v>479</v>
      </c>
      <c r="C319" s="140"/>
      <c r="D319" s="22"/>
      <c r="E319" s="16"/>
      <c r="F319" s="27"/>
      <c r="G319" s="27"/>
      <c r="H319" s="37">
        <v>13500</v>
      </c>
      <c r="I319" s="642"/>
      <c r="J319" s="642"/>
      <c r="K319" s="642"/>
      <c r="L319" s="642"/>
      <c r="M319" s="642"/>
      <c r="N319" s="642"/>
      <c r="O319" s="642"/>
      <c r="P319" s="642"/>
      <c r="Q319" s="642"/>
      <c r="R319" s="642"/>
      <c r="S319" s="642"/>
      <c r="T319" s="642"/>
      <c r="U319" s="642"/>
      <c r="V319" s="642"/>
      <c r="W319" s="642"/>
      <c r="X319" s="642"/>
      <c r="Y319" s="642"/>
      <c r="Z319" s="642"/>
      <c r="AA319" s="642"/>
      <c r="AB319" s="642"/>
      <c r="AC319" s="642"/>
      <c r="AD319" s="642"/>
      <c r="AE319" s="642"/>
      <c r="AF319" s="642"/>
      <c r="AG319" s="642"/>
      <c r="AH319" s="642"/>
      <c r="AI319" s="642"/>
      <c r="AJ319" s="642"/>
      <c r="AK319" s="642"/>
      <c r="AL319" s="642"/>
      <c r="AM319" s="642"/>
      <c r="AN319" s="642"/>
      <c r="AO319" s="642"/>
      <c r="AP319" s="642"/>
      <c r="AQ319" s="642"/>
      <c r="AR319" s="642"/>
      <c r="AS319" s="642"/>
      <c r="AT319" s="642"/>
      <c r="AU319" s="642"/>
    </row>
    <row r="320" spans="1:47" s="3" customFormat="1" ht="16.5" customHeight="1">
      <c r="A320" s="51"/>
      <c r="B320" s="139"/>
      <c r="C320" s="140"/>
      <c r="D320" s="22"/>
      <c r="E320" s="16"/>
      <c r="F320" s="27"/>
      <c r="G320" s="27"/>
      <c r="H320" s="37"/>
      <c r="I320" s="642"/>
      <c r="J320" s="642"/>
      <c r="K320" s="642"/>
      <c r="L320" s="642"/>
      <c r="M320" s="642"/>
      <c r="N320" s="642"/>
      <c r="O320" s="642"/>
      <c r="P320" s="642"/>
      <c r="Q320" s="642"/>
      <c r="R320" s="642"/>
      <c r="S320" s="642"/>
      <c r="T320" s="642"/>
      <c r="U320" s="642"/>
      <c r="V320" s="642"/>
      <c r="W320" s="642"/>
      <c r="X320" s="642"/>
      <c r="Y320" s="642"/>
      <c r="Z320" s="642"/>
      <c r="AA320" s="642"/>
      <c r="AB320" s="642"/>
      <c r="AC320" s="642"/>
      <c r="AD320" s="642"/>
      <c r="AE320" s="642"/>
      <c r="AF320" s="642"/>
      <c r="AG320" s="642"/>
      <c r="AH320" s="642"/>
      <c r="AI320" s="642"/>
      <c r="AJ320" s="642"/>
      <c r="AK320" s="642"/>
      <c r="AL320" s="642"/>
      <c r="AM320" s="642"/>
      <c r="AN320" s="642"/>
      <c r="AO320" s="642"/>
      <c r="AP320" s="642"/>
      <c r="AQ320" s="642"/>
      <c r="AR320" s="642"/>
      <c r="AS320" s="642"/>
      <c r="AT320" s="642"/>
      <c r="AU320" s="642"/>
    </row>
    <row r="321" spans="1:47" s="3" customFormat="1" ht="16.5" customHeight="1">
      <c r="A321" s="102" t="s">
        <v>483</v>
      </c>
      <c r="B321" s="139"/>
      <c r="C321" s="140"/>
      <c r="D321" s="22"/>
      <c r="E321" s="16"/>
      <c r="F321" s="27"/>
      <c r="G321" s="27"/>
      <c r="H321" s="25">
        <f>H324</f>
        <v>15300</v>
      </c>
      <c r="I321" s="642"/>
      <c r="J321" s="642"/>
      <c r="K321" s="642"/>
      <c r="L321" s="642"/>
      <c r="M321" s="642"/>
      <c r="N321" s="642"/>
      <c r="O321" s="642"/>
      <c r="P321" s="642"/>
      <c r="Q321" s="642"/>
      <c r="R321" s="642"/>
      <c r="S321" s="642"/>
      <c r="T321" s="642"/>
      <c r="U321" s="642"/>
      <c r="V321" s="642"/>
      <c r="W321" s="642"/>
      <c r="X321" s="642"/>
      <c r="Y321" s="642"/>
      <c r="Z321" s="642"/>
      <c r="AA321" s="642"/>
      <c r="AB321" s="642"/>
      <c r="AC321" s="642"/>
      <c r="AD321" s="642"/>
      <c r="AE321" s="642"/>
      <c r="AF321" s="642"/>
      <c r="AG321" s="642"/>
      <c r="AH321" s="642"/>
      <c r="AI321" s="642"/>
      <c r="AJ321" s="642"/>
      <c r="AK321" s="642"/>
      <c r="AL321" s="642"/>
      <c r="AM321" s="642"/>
      <c r="AN321" s="642"/>
      <c r="AO321" s="642"/>
      <c r="AP321" s="642"/>
      <c r="AQ321" s="642"/>
      <c r="AR321" s="642"/>
      <c r="AS321" s="642"/>
      <c r="AT321" s="642"/>
      <c r="AU321" s="642"/>
    </row>
    <row r="322" spans="1:47" s="3" customFormat="1" ht="16.5" customHeight="1">
      <c r="A322" s="120" t="s">
        <v>12</v>
      </c>
      <c r="B322" s="139"/>
      <c r="C322" s="140"/>
      <c r="D322" s="22"/>
      <c r="E322" s="16"/>
      <c r="F322" s="27"/>
      <c r="G322" s="27"/>
      <c r="H322" s="37"/>
      <c r="I322" s="642"/>
      <c r="J322" s="642"/>
      <c r="K322" s="642"/>
      <c r="L322" s="642"/>
      <c r="M322" s="642"/>
      <c r="N322" s="642"/>
      <c r="O322" s="642"/>
      <c r="P322" s="642"/>
      <c r="Q322" s="642"/>
      <c r="R322" s="642"/>
      <c r="S322" s="642"/>
      <c r="T322" s="642"/>
      <c r="U322" s="642"/>
      <c r="V322" s="642"/>
      <c r="W322" s="642"/>
      <c r="X322" s="642"/>
      <c r="Y322" s="642"/>
      <c r="Z322" s="642"/>
      <c r="AA322" s="642"/>
      <c r="AB322" s="642"/>
      <c r="AC322" s="642"/>
      <c r="AD322" s="642"/>
      <c r="AE322" s="642"/>
      <c r="AF322" s="642"/>
      <c r="AG322" s="642"/>
      <c r="AH322" s="642"/>
      <c r="AI322" s="642"/>
      <c r="AJ322" s="642"/>
      <c r="AK322" s="642"/>
      <c r="AL322" s="642"/>
      <c r="AM322" s="642"/>
      <c r="AN322" s="642"/>
      <c r="AO322" s="642"/>
      <c r="AP322" s="642"/>
      <c r="AQ322" s="642"/>
      <c r="AR322" s="642"/>
      <c r="AS322" s="642"/>
      <c r="AT322" s="642"/>
      <c r="AU322" s="642"/>
    </row>
    <row r="323" spans="1:47" s="3" customFormat="1" ht="16.5" customHeight="1">
      <c r="A323" s="120"/>
      <c r="B323" s="139" t="s">
        <v>439</v>
      </c>
      <c r="C323" s="140"/>
      <c r="D323" s="22"/>
      <c r="E323" s="16"/>
      <c r="F323" s="27"/>
      <c r="G323" s="27"/>
      <c r="H323" s="37"/>
      <c r="I323" s="642"/>
      <c r="J323" s="642"/>
      <c r="K323" s="642"/>
      <c r="L323" s="642"/>
      <c r="M323" s="642"/>
      <c r="N323" s="642"/>
      <c r="O323" s="642"/>
      <c r="P323" s="642"/>
      <c r="Q323" s="642"/>
      <c r="R323" s="642"/>
      <c r="S323" s="642"/>
      <c r="T323" s="642"/>
      <c r="U323" s="642"/>
      <c r="V323" s="642"/>
      <c r="W323" s="642"/>
      <c r="X323" s="642"/>
      <c r="Y323" s="642"/>
      <c r="Z323" s="642"/>
      <c r="AA323" s="642"/>
      <c r="AB323" s="642"/>
      <c r="AC323" s="642"/>
      <c r="AD323" s="642"/>
      <c r="AE323" s="642"/>
      <c r="AF323" s="642"/>
      <c r="AG323" s="642"/>
      <c r="AH323" s="642"/>
      <c r="AI323" s="642"/>
      <c r="AJ323" s="642"/>
      <c r="AK323" s="642"/>
      <c r="AL323" s="642"/>
      <c r="AM323" s="642"/>
      <c r="AN323" s="642"/>
      <c r="AO323" s="642"/>
      <c r="AP323" s="642"/>
      <c r="AQ323" s="642"/>
      <c r="AR323" s="642"/>
      <c r="AS323" s="642"/>
      <c r="AT323" s="642"/>
      <c r="AU323" s="642"/>
    </row>
    <row r="324" spans="1:47" s="3" customFormat="1" ht="16.5" customHeight="1">
      <c r="A324" s="120"/>
      <c r="B324" s="139" t="s">
        <v>440</v>
      </c>
      <c r="C324" s="140"/>
      <c r="D324" s="22"/>
      <c r="E324" s="16"/>
      <c r="F324" s="27"/>
      <c r="G324" s="27"/>
      <c r="H324" s="37">
        <v>15300</v>
      </c>
      <c r="I324" s="642"/>
      <c r="J324" s="642"/>
      <c r="K324" s="642"/>
      <c r="L324" s="642"/>
      <c r="M324" s="642"/>
      <c r="N324" s="642"/>
      <c r="O324" s="642"/>
      <c r="P324" s="642"/>
      <c r="Q324" s="642"/>
      <c r="R324" s="642"/>
      <c r="S324" s="642"/>
      <c r="T324" s="642"/>
      <c r="U324" s="642"/>
      <c r="V324" s="642"/>
      <c r="W324" s="642"/>
      <c r="X324" s="642"/>
      <c r="Y324" s="642"/>
      <c r="Z324" s="642"/>
      <c r="AA324" s="642"/>
      <c r="AB324" s="642"/>
      <c r="AC324" s="642"/>
      <c r="AD324" s="642"/>
      <c r="AE324" s="642"/>
      <c r="AF324" s="642"/>
      <c r="AG324" s="642"/>
      <c r="AH324" s="642"/>
      <c r="AI324" s="642"/>
      <c r="AJ324" s="642"/>
      <c r="AK324" s="642"/>
      <c r="AL324" s="642"/>
      <c r="AM324" s="642"/>
      <c r="AN324" s="642"/>
      <c r="AO324" s="642"/>
      <c r="AP324" s="642"/>
      <c r="AQ324" s="642"/>
      <c r="AR324" s="642"/>
      <c r="AS324" s="642"/>
      <c r="AT324" s="642"/>
      <c r="AU324" s="642"/>
    </row>
    <row r="325" spans="1:47" s="3" customFormat="1" ht="16.5" customHeight="1">
      <c r="A325" s="120"/>
      <c r="B325" s="139"/>
      <c r="C325" s="140"/>
      <c r="D325" s="22"/>
      <c r="E325" s="16"/>
      <c r="F325" s="27"/>
      <c r="G325" s="27"/>
      <c r="H325" s="37"/>
      <c r="I325" s="642"/>
      <c r="J325" s="642"/>
      <c r="K325" s="642"/>
      <c r="L325" s="642"/>
      <c r="M325" s="642"/>
      <c r="N325" s="642"/>
      <c r="O325" s="642"/>
      <c r="P325" s="642"/>
      <c r="Q325" s="642"/>
      <c r="R325" s="642"/>
      <c r="S325" s="642"/>
      <c r="T325" s="642"/>
      <c r="U325" s="642"/>
      <c r="V325" s="642"/>
      <c r="W325" s="642"/>
      <c r="X325" s="642"/>
      <c r="Y325" s="642"/>
      <c r="Z325" s="642"/>
      <c r="AA325" s="642"/>
      <c r="AB325" s="642"/>
      <c r="AC325" s="642"/>
      <c r="AD325" s="642"/>
      <c r="AE325" s="642"/>
      <c r="AF325" s="642"/>
      <c r="AG325" s="642"/>
      <c r="AH325" s="642"/>
      <c r="AI325" s="642"/>
      <c r="AJ325" s="642"/>
      <c r="AK325" s="642"/>
      <c r="AL325" s="642"/>
      <c r="AM325" s="642"/>
      <c r="AN325" s="642"/>
      <c r="AO325" s="642"/>
      <c r="AP325" s="642"/>
      <c r="AQ325" s="642"/>
      <c r="AR325" s="642"/>
      <c r="AS325" s="642"/>
      <c r="AT325" s="642"/>
      <c r="AU325" s="642"/>
    </row>
    <row r="326" spans="1:47" s="3" customFormat="1" ht="16.5" customHeight="1">
      <c r="A326" s="135" t="s">
        <v>74</v>
      </c>
      <c r="B326" s="139"/>
      <c r="C326" s="140"/>
      <c r="D326" s="22"/>
      <c r="E326" s="16"/>
      <c r="F326" s="27"/>
      <c r="G326" s="27"/>
      <c r="H326" s="37"/>
      <c r="I326" s="642"/>
      <c r="J326" s="642"/>
      <c r="K326" s="642"/>
      <c r="L326" s="642"/>
      <c r="M326" s="642"/>
      <c r="N326" s="642"/>
      <c r="O326" s="642"/>
      <c r="P326" s="642"/>
      <c r="Q326" s="642"/>
      <c r="R326" s="642"/>
      <c r="S326" s="642"/>
      <c r="T326" s="642"/>
      <c r="U326" s="642"/>
      <c r="V326" s="642"/>
      <c r="W326" s="642"/>
      <c r="X326" s="642"/>
      <c r="Y326" s="642"/>
      <c r="Z326" s="642"/>
      <c r="AA326" s="642"/>
      <c r="AB326" s="642"/>
      <c r="AC326" s="642"/>
      <c r="AD326" s="642"/>
      <c r="AE326" s="642"/>
      <c r="AF326" s="642"/>
      <c r="AG326" s="642"/>
      <c r="AH326" s="642"/>
      <c r="AI326" s="642"/>
      <c r="AJ326" s="642"/>
      <c r="AK326" s="642"/>
      <c r="AL326" s="642"/>
      <c r="AM326" s="642"/>
      <c r="AN326" s="642"/>
      <c r="AO326" s="642"/>
      <c r="AP326" s="642"/>
      <c r="AQ326" s="642"/>
      <c r="AR326" s="642"/>
      <c r="AS326" s="642"/>
      <c r="AT326" s="642"/>
      <c r="AU326" s="642"/>
    </row>
    <row r="327" spans="1:47" s="3" customFormat="1" ht="16.5" customHeight="1">
      <c r="A327" s="51"/>
      <c r="B327" s="139"/>
      <c r="C327" s="140"/>
      <c r="D327" s="22"/>
      <c r="E327" s="16"/>
      <c r="F327" s="27"/>
      <c r="G327" s="27"/>
      <c r="H327" s="37"/>
      <c r="I327" s="642"/>
      <c r="J327" s="642"/>
      <c r="K327" s="642"/>
      <c r="L327" s="642"/>
      <c r="M327" s="642"/>
      <c r="N327" s="642"/>
      <c r="O327" s="642"/>
      <c r="P327" s="642"/>
      <c r="Q327" s="642"/>
      <c r="R327" s="642"/>
      <c r="S327" s="642"/>
      <c r="T327" s="642"/>
      <c r="U327" s="642"/>
      <c r="V327" s="642"/>
      <c r="W327" s="642"/>
      <c r="X327" s="642"/>
      <c r="Y327" s="642"/>
      <c r="Z327" s="642"/>
      <c r="AA327" s="642"/>
      <c r="AB327" s="642"/>
      <c r="AC327" s="642"/>
      <c r="AD327" s="642"/>
      <c r="AE327" s="642"/>
      <c r="AF327" s="642"/>
      <c r="AG327" s="642"/>
      <c r="AH327" s="642"/>
      <c r="AI327" s="642"/>
      <c r="AJ327" s="642"/>
      <c r="AK327" s="642"/>
      <c r="AL327" s="642"/>
      <c r="AM327" s="642"/>
      <c r="AN327" s="642"/>
      <c r="AO327" s="642"/>
      <c r="AP327" s="642"/>
      <c r="AQ327" s="642"/>
      <c r="AR327" s="642"/>
      <c r="AS327" s="642"/>
      <c r="AT327" s="642"/>
      <c r="AU327" s="642"/>
    </row>
    <row r="328" spans="1:47" s="3" customFormat="1" ht="16.5" customHeight="1">
      <c r="A328" s="137" t="s">
        <v>25</v>
      </c>
      <c r="B328" s="139"/>
      <c r="C328" s="140"/>
      <c r="D328" s="22"/>
      <c r="E328" s="16"/>
      <c r="F328" s="27"/>
      <c r="G328" s="27"/>
      <c r="H328" s="38">
        <f>H330</f>
        <v>17000</v>
      </c>
      <c r="I328" s="642"/>
      <c r="J328" s="642"/>
      <c r="K328" s="642"/>
      <c r="L328" s="642"/>
      <c r="M328" s="642"/>
      <c r="N328" s="642"/>
      <c r="O328" s="642"/>
      <c r="P328" s="642"/>
      <c r="Q328" s="642"/>
      <c r="R328" s="642"/>
      <c r="S328" s="642"/>
      <c r="T328" s="642"/>
      <c r="U328" s="642"/>
      <c r="V328" s="642"/>
      <c r="W328" s="642"/>
      <c r="X328" s="642"/>
      <c r="Y328" s="642"/>
      <c r="Z328" s="642"/>
      <c r="AA328" s="642"/>
      <c r="AB328" s="642"/>
      <c r="AC328" s="642"/>
      <c r="AD328" s="642"/>
      <c r="AE328" s="642"/>
      <c r="AF328" s="642"/>
      <c r="AG328" s="642"/>
      <c r="AH328" s="642"/>
      <c r="AI328" s="642"/>
      <c r="AJ328" s="642"/>
      <c r="AK328" s="642"/>
      <c r="AL328" s="642"/>
      <c r="AM328" s="642"/>
      <c r="AN328" s="642"/>
      <c r="AO328" s="642"/>
      <c r="AP328" s="642"/>
      <c r="AQ328" s="642"/>
      <c r="AR328" s="642"/>
      <c r="AS328" s="642"/>
      <c r="AT328" s="642"/>
      <c r="AU328" s="642"/>
    </row>
    <row r="329" spans="1:47" s="3" customFormat="1" ht="16.5" customHeight="1">
      <c r="A329" s="51" t="s">
        <v>12</v>
      </c>
      <c r="B329" s="139"/>
      <c r="C329" s="140"/>
      <c r="D329" s="22"/>
      <c r="E329" s="16"/>
      <c r="F329" s="27"/>
      <c r="G329" s="27"/>
      <c r="H329" s="37"/>
      <c r="I329" s="642"/>
      <c r="J329" s="642"/>
      <c r="K329" s="642"/>
      <c r="L329" s="642"/>
      <c r="M329" s="642"/>
      <c r="N329" s="642"/>
      <c r="O329" s="642"/>
      <c r="P329" s="642"/>
      <c r="Q329" s="642"/>
      <c r="R329" s="642"/>
      <c r="S329" s="642"/>
      <c r="T329" s="642"/>
      <c r="U329" s="642"/>
      <c r="V329" s="642"/>
      <c r="W329" s="642"/>
      <c r="X329" s="642"/>
      <c r="Y329" s="642"/>
      <c r="Z329" s="642"/>
      <c r="AA329" s="642"/>
      <c r="AB329" s="642"/>
      <c r="AC329" s="642"/>
      <c r="AD329" s="642"/>
      <c r="AE329" s="642"/>
      <c r="AF329" s="642"/>
      <c r="AG329" s="642"/>
      <c r="AH329" s="642"/>
      <c r="AI329" s="642"/>
      <c r="AJ329" s="642"/>
      <c r="AK329" s="642"/>
      <c r="AL329" s="642"/>
      <c r="AM329" s="642"/>
      <c r="AN329" s="642"/>
      <c r="AO329" s="642"/>
      <c r="AP329" s="642"/>
      <c r="AQ329" s="642"/>
      <c r="AR329" s="642"/>
      <c r="AS329" s="642"/>
      <c r="AT329" s="642"/>
      <c r="AU329" s="642"/>
    </row>
    <row r="330" spans="1:47" s="3" customFormat="1" ht="16.5" customHeight="1">
      <c r="A330" s="102" t="s">
        <v>441</v>
      </c>
      <c r="B330" s="139"/>
      <c r="C330" s="140"/>
      <c r="D330" s="22"/>
      <c r="E330" s="16"/>
      <c r="F330" s="27"/>
      <c r="G330" s="27"/>
      <c r="H330" s="25">
        <f>H332</f>
        <v>17000</v>
      </c>
      <c r="I330" s="642"/>
      <c r="J330" s="642"/>
      <c r="K330" s="642"/>
      <c r="L330" s="642"/>
      <c r="M330" s="642"/>
      <c r="N330" s="642"/>
      <c r="O330" s="642"/>
      <c r="P330" s="642"/>
      <c r="Q330" s="642"/>
      <c r="R330" s="642"/>
      <c r="S330" s="642"/>
      <c r="T330" s="642"/>
      <c r="U330" s="642"/>
      <c r="V330" s="642"/>
      <c r="W330" s="642"/>
      <c r="X330" s="642"/>
      <c r="Y330" s="642"/>
      <c r="Z330" s="642"/>
      <c r="AA330" s="642"/>
      <c r="AB330" s="642"/>
      <c r="AC330" s="642"/>
      <c r="AD330" s="642"/>
      <c r="AE330" s="642"/>
      <c r="AF330" s="642"/>
      <c r="AG330" s="642"/>
      <c r="AH330" s="642"/>
      <c r="AI330" s="642"/>
      <c r="AJ330" s="642"/>
      <c r="AK330" s="642"/>
      <c r="AL330" s="642"/>
      <c r="AM330" s="642"/>
      <c r="AN330" s="642"/>
      <c r="AO330" s="642"/>
      <c r="AP330" s="642"/>
      <c r="AQ330" s="642"/>
      <c r="AR330" s="642"/>
      <c r="AS330" s="642"/>
      <c r="AT330" s="642"/>
      <c r="AU330" s="642"/>
    </row>
    <row r="331" spans="1:47" s="3" customFormat="1" ht="16.5" customHeight="1">
      <c r="A331" s="51" t="s">
        <v>12</v>
      </c>
      <c r="B331" s="139"/>
      <c r="C331" s="140"/>
      <c r="D331" s="22"/>
      <c r="E331" s="16"/>
      <c r="F331" s="27"/>
      <c r="G331" s="27"/>
      <c r="H331" s="37"/>
      <c r="I331" s="642"/>
      <c r="J331" s="642"/>
      <c r="K331" s="642"/>
      <c r="L331" s="642"/>
      <c r="M331" s="642"/>
      <c r="N331" s="642"/>
      <c r="O331" s="642"/>
      <c r="P331" s="642"/>
      <c r="Q331" s="642"/>
      <c r="R331" s="642"/>
      <c r="S331" s="642"/>
      <c r="T331" s="642"/>
      <c r="U331" s="642"/>
      <c r="V331" s="642"/>
      <c r="W331" s="642"/>
      <c r="X331" s="642"/>
      <c r="Y331" s="642"/>
      <c r="Z331" s="642"/>
      <c r="AA331" s="642"/>
      <c r="AB331" s="642"/>
      <c r="AC331" s="642"/>
      <c r="AD331" s="642"/>
      <c r="AE331" s="642"/>
      <c r="AF331" s="642"/>
      <c r="AG331" s="642"/>
      <c r="AH331" s="642"/>
      <c r="AI331" s="642"/>
      <c r="AJ331" s="642"/>
      <c r="AK331" s="642"/>
      <c r="AL331" s="642"/>
      <c r="AM331" s="642"/>
      <c r="AN331" s="642"/>
      <c r="AO331" s="642"/>
      <c r="AP331" s="642"/>
      <c r="AQ331" s="642"/>
      <c r="AR331" s="642"/>
      <c r="AS331" s="642"/>
      <c r="AT331" s="642"/>
      <c r="AU331" s="642"/>
    </row>
    <row r="332" spans="1:47" s="3" customFormat="1" ht="16.5" customHeight="1">
      <c r="A332" s="51"/>
      <c r="B332" s="139" t="s">
        <v>471</v>
      </c>
      <c r="C332" s="140"/>
      <c r="D332" s="22"/>
      <c r="E332" s="16"/>
      <c r="F332" s="27"/>
      <c r="G332" s="27"/>
      <c r="H332" s="37">
        <v>17000</v>
      </c>
      <c r="I332" s="642"/>
      <c r="J332" s="642"/>
      <c r="K332" s="642"/>
      <c r="L332" s="642"/>
      <c r="M332" s="642"/>
      <c r="N332" s="642"/>
      <c r="O332" s="642"/>
      <c r="P332" s="642"/>
      <c r="Q332" s="642"/>
      <c r="R332" s="642"/>
      <c r="S332" s="642"/>
      <c r="T332" s="642"/>
      <c r="U332" s="642"/>
      <c r="V332" s="642"/>
      <c r="W332" s="642"/>
      <c r="X332" s="642"/>
      <c r="Y332" s="642"/>
      <c r="Z332" s="642"/>
      <c r="AA332" s="642"/>
      <c r="AB332" s="642"/>
      <c r="AC332" s="642"/>
      <c r="AD332" s="642"/>
      <c r="AE332" s="642"/>
      <c r="AF332" s="642"/>
      <c r="AG332" s="642"/>
      <c r="AH332" s="642"/>
      <c r="AI332" s="642"/>
      <c r="AJ332" s="642"/>
      <c r="AK332" s="642"/>
      <c r="AL332" s="642"/>
      <c r="AM332" s="642"/>
      <c r="AN332" s="642"/>
      <c r="AO332" s="642"/>
      <c r="AP332" s="642"/>
      <c r="AQ332" s="642"/>
      <c r="AR332" s="642"/>
      <c r="AS332" s="642"/>
      <c r="AT332" s="642"/>
      <c r="AU332" s="642"/>
    </row>
    <row r="333" spans="1:47" s="3" customFormat="1" ht="16.5" customHeight="1">
      <c r="A333" s="51"/>
      <c r="B333" s="139"/>
      <c r="C333" s="140"/>
      <c r="D333" s="22"/>
      <c r="E333" s="16"/>
      <c r="F333" s="27"/>
      <c r="G333" s="27"/>
      <c r="H333" s="37"/>
      <c r="I333" s="642"/>
      <c r="J333" s="642"/>
      <c r="K333" s="642"/>
      <c r="L333" s="642"/>
      <c r="M333" s="642"/>
      <c r="N333" s="642"/>
      <c r="O333" s="642"/>
      <c r="P333" s="642"/>
      <c r="Q333" s="642"/>
      <c r="R333" s="642"/>
      <c r="S333" s="642"/>
      <c r="T333" s="642"/>
      <c r="U333" s="642"/>
      <c r="V333" s="642"/>
      <c r="W333" s="642"/>
      <c r="X333" s="642"/>
      <c r="Y333" s="642"/>
      <c r="Z333" s="642"/>
      <c r="AA333" s="642"/>
      <c r="AB333" s="642"/>
      <c r="AC333" s="642"/>
      <c r="AD333" s="642"/>
      <c r="AE333" s="642"/>
      <c r="AF333" s="642"/>
      <c r="AG333" s="642"/>
      <c r="AH333" s="642"/>
      <c r="AI333" s="642"/>
      <c r="AJ333" s="642"/>
      <c r="AK333" s="642"/>
      <c r="AL333" s="642"/>
      <c r="AM333" s="642"/>
      <c r="AN333" s="642"/>
      <c r="AO333" s="642"/>
      <c r="AP333" s="642"/>
      <c r="AQ333" s="642"/>
      <c r="AR333" s="642"/>
      <c r="AS333" s="642"/>
      <c r="AT333" s="642"/>
      <c r="AU333" s="642"/>
    </row>
    <row r="334" spans="1:47" s="3" customFormat="1" ht="17.25" customHeight="1">
      <c r="A334" s="141" t="s">
        <v>47</v>
      </c>
      <c r="B334" s="141"/>
      <c r="C334" s="134"/>
      <c r="D334" s="22"/>
      <c r="E334" s="16"/>
      <c r="F334" s="36"/>
      <c r="G334" s="36"/>
      <c r="H334" s="37"/>
      <c r="I334" s="642"/>
      <c r="J334" s="642"/>
      <c r="K334" s="642"/>
      <c r="L334" s="642"/>
      <c r="M334" s="642"/>
      <c r="N334" s="642"/>
      <c r="O334" s="642"/>
      <c r="P334" s="642"/>
      <c r="Q334" s="642"/>
      <c r="R334" s="642"/>
      <c r="S334" s="642"/>
      <c r="T334" s="642"/>
      <c r="U334" s="642"/>
      <c r="V334" s="642"/>
      <c r="W334" s="642"/>
      <c r="X334" s="642"/>
      <c r="Y334" s="642"/>
      <c r="Z334" s="642"/>
      <c r="AA334" s="642"/>
      <c r="AB334" s="642"/>
      <c r="AC334" s="642"/>
      <c r="AD334" s="642"/>
      <c r="AE334" s="642"/>
      <c r="AF334" s="642"/>
      <c r="AG334" s="642"/>
      <c r="AH334" s="642"/>
      <c r="AI334" s="642"/>
      <c r="AJ334" s="642"/>
      <c r="AK334" s="642"/>
      <c r="AL334" s="642"/>
      <c r="AM334" s="642"/>
      <c r="AN334" s="642"/>
      <c r="AO334" s="642"/>
      <c r="AP334" s="642"/>
      <c r="AQ334" s="642"/>
      <c r="AR334" s="642"/>
      <c r="AS334" s="642"/>
      <c r="AT334" s="642"/>
      <c r="AU334" s="642"/>
    </row>
    <row r="335" spans="1:47" s="3" customFormat="1" ht="17.25" customHeight="1">
      <c r="A335" s="141" t="s">
        <v>48</v>
      </c>
      <c r="B335" s="141"/>
      <c r="C335" s="134"/>
      <c r="D335" s="22"/>
      <c r="E335" s="16"/>
      <c r="F335" s="36"/>
      <c r="G335" s="36"/>
      <c r="H335" s="37"/>
      <c r="I335" s="642"/>
      <c r="J335" s="642"/>
      <c r="K335" s="642"/>
      <c r="L335" s="642"/>
      <c r="M335" s="642"/>
      <c r="N335" s="642"/>
      <c r="O335" s="642"/>
      <c r="P335" s="642"/>
      <c r="Q335" s="642"/>
      <c r="R335" s="642"/>
      <c r="S335" s="642"/>
      <c r="T335" s="642"/>
      <c r="U335" s="642"/>
      <c r="V335" s="642"/>
      <c r="W335" s="642"/>
      <c r="X335" s="642"/>
      <c r="Y335" s="642"/>
      <c r="Z335" s="642"/>
      <c r="AA335" s="642"/>
      <c r="AB335" s="642"/>
      <c r="AC335" s="642"/>
      <c r="AD335" s="642"/>
      <c r="AE335" s="642"/>
      <c r="AF335" s="642"/>
      <c r="AG335" s="642"/>
      <c r="AH335" s="642"/>
      <c r="AI335" s="642"/>
      <c r="AJ335" s="642"/>
      <c r="AK335" s="642"/>
      <c r="AL335" s="642"/>
      <c r="AM335" s="642"/>
      <c r="AN335" s="642"/>
      <c r="AO335" s="642"/>
      <c r="AP335" s="642"/>
      <c r="AQ335" s="642"/>
      <c r="AR335" s="642"/>
      <c r="AS335" s="642"/>
      <c r="AT335" s="642"/>
      <c r="AU335" s="642"/>
    </row>
    <row r="336" spans="1:47" s="3" customFormat="1" ht="17.25" customHeight="1">
      <c r="A336" s="141"/>
      <c r="B336" s="141"/>
      <c r="C336" s="134"/>
      <c r="D336" s="22"/>
      <c r="E336" s="16"/>
      <c r="F336" s="36"/>
      <c r="G336" s="36"/>
      <c r="H336" s="37"/>
      <c r="I336" s="642"/>
      <c r="J336" s="642"/>
      <c r="K336" s="642"/>
      <c r="L336" s="642"/>
      <c r="M336" s="642"/>
      <c r="N336" s="642"/>
      <c r="O336" s="642"/>
      <c r="P336" s="642"/>
      <c r="Q336" s="642"/>
      <c r="R336" s="642"/>
      <c r="S336" s="642"/>
      <c r="T336" s="642"/>
      <c r="U336" s="642"/>
      <c r="V336" s="642"/>
      <c r="W336" s="642"/>
      <c r="X336" s="642"/>
      <c r="Y336" s="642"/>
      <c r="Z336" s="642"/>
      <c r="AA336" s="642"/>
      <c r="AB336" s="642"/>
      <c r="AC336" s="642"/>
      <c r="AD336" s="642"/>
      <c r="AE336" s="642"/>
      <c r="AF336" s="642"/>
      <c r="AG336" s="642"/>
      <c r="AH336" s="642"/>
      <c r="AI336" s="642"/>
      <c r="AJ336" s="642"/>
      <c r="AK336" s="642"/>
      <c r="AL336" s="642"/>
      <c r="AM336" s="642"/>
      <c r="AN336" s="642"/>
      <c r="AO336" s="642"/>
      <c r="AP336" s="642"/>
      <c r="AQ336" s="642"/>
      <c r="AR336" s="642"/>
      <c r="AS336" s="642"/>
      <c r="AT336" s="642"/>
      <c r="AU336" s="642"/>
    </row>
    <row r="337" spans="1:47" s="3" customFormat="1" ht="17.25" customHeight="1">
      <c r="A337" s="141"/>
      <c r="B337" s="141"/>
      <c r="C337" s="134"/>
      <c r="D337" s="22"/>
      <c r="E337" s="16"/>
      <c r="F337" s="36"/>
      <c r="G337" s="36"/>
      <c r="H337" s="37"/>
      <c r="I337" s="642"/>
      <c r="J337" s="642"/>
      <c r="K337" s="642"/>
      <c r="L337" s="642"/>
      <c r="M337" s="642"/>
      <c r="N337" s="642"/>
      <c r="O337" s="642"/>
      <c r="P337" s="642"/>
      <c r="Q337" s="642"/>
      <c r="R337" s="642"/>
      <c r="S337" s="642"/>
      <c r="T337" s="642"/>
      <c r="U337" s="642"/>
      <c r="V337" s="642"/>
      <c r="W337" s="642"/>
      <c r="X337" s="642"/>
      <c r="Y337" s="642"/>
      <c r="Z337" s="642"/>
      <c r="AA337" s="642"/>
      <c r="AB337" s="642"/>
      <c r="AC337" s="642"/>
      <c r="AD337" s="642"/>
      <c r="AE337" s="642"/>
      <c r="AF337" s="642"/>
      <c r="AG337" s="642"/>
      <c r="AH337" s="642"/>
      <c r="AI337" s="642"/>
      <c r="AJ337" s="642"/>
      <c r="AK337" s="642"/>
      <c r="AL337" s="642"/>
      <c r="AM337" s="642"/>
      <c r="AN337" s="642"/>
      <c r="AO337" s="642"/>
      <c r="AP337" s="642"/>
      <c r="AQ337" s="642"/>
      <c r="AR337" s="642"/>
      <c r="AS337" s="642"/>
      <c r="AT337" s="642"/>
      <c r="AU337" s="642"/>
    </row>
    <row r="338" spans="1:47" s="3" customFormat="1" ht="17.25" customHeight="1">
      <c r="A338" s="141" t="s">
        <v>447</v>
      </c>
      <c r="B338" s="141"/>
      <c r="C338" s="134"/>
      <c r="D338" s="22"/>
      <c r="E338" s="16"/>
      <c r="F338" s="36"/>
      <c r="G338" s="36"/>
      <c r="H338" s="37"/>
      <c r="I338" s="642"/>
      <c r="J338" s="642"/>
      <c r="K338" s="642"/>
      <c r="L338" s="642"/>
      <c r="M338" s="642"/>
      <c r="N338" s="642"/>
      <c r="O338" s="642"/>
      <c r="P338" s="642"/>
      <c r="Q338" s="642"/>
      <c r="R338" s="642"/>
      <c r="S338" s="642"/>
      <c r="T338" s="642"/>
      <c r="U338" s="642"/>
      <c r="V338" s="642"/>
      <c r="W338" s="642"/>
      <c r="X338" s="642"/>
      <c r="Y338" s="642"/>
      <c r="Z338" s="642"/>
      <c r="AA338" s="642"/>
      <c r="AB338" s="642"/>
      <c r="AC338" s="642"/>
      <c r="AD338" s="642"/>
      <c r="AE338" s="642"/>
      <c r="AF338" s="642"/>
      <c r="AG338" s="642"/>
      <c r="AH338" s="642"/>
      <c r="AI338" s="642"/>
      <c r="AJ338" s="642"/>
      <c r="AK338" s="642"/>
      <c r="AL338" s="642"/>
      <c r="AM338" s="642"/>
      <c r="AN338" s="642"/>
      <c r="AO338" s="642"/>
      <c r="AP338" s="642"/>
      <c r="AQ338" s="642"/>
      <c r="AR338" s="642"/>
      <c r="AS338" s="642"/>
      <c r="AT338" s="642"/>
      <c r="AU338" s="642"/>
    </row>
    <row r="339" spans="1:47" s="3" customFormat="1" ht="17.25" customHeight="1">
      <c r="A339" s="142" t="s">
        <v>79</v>
      </c>
      <c r="B339" s="142"/>
      <c r="C339" s="143"/>
      <c r="D339" s="144"/>
      <c r="E339" s="145"/>
      <c r="F339" s="146"/>
      <c r="G339" s="146"/>
      <c r="H339" s="147"/>
      <c r="I339" s="642"/>
      <c r="J339" s="642"/>
      <c r="K339" s="642"/>
      <c r="L339" s="642"/>
      <c r="M339" s="642"/>
      <c r="N339" s="642"/>
      <c r="O339" s="642"/>
      <c r="P339" s="642"/>
      <c r="Q339" s="642"/>
      <c r="R339" s="642"/>
      <c r="S339" s="642"/>
      <c r="T339" s="642"/>
      <c r="U339" s="642"/>
      <c r="V339" s="642"/>
      <c r="W339" s="642"/>
      <c r="X339" s="642"/>
      <c r="Y339" s="642"/>
      <c r="Z339" s="642"/>
      <c r="AA339" s="642"/>
      <c r="AB339" s="642"/>
      <c r="AC339" s="642"/>
      <c r="AD339" s="642"/>
      <c r="AE339" s="642"/>
      <c r="AF339" s="642"/>
      <c r="AG339" s="642"/>
      <c r="AH339" s="642"/>
      <c r="AI339" s="642"/>
      <c r="AJ339" s="642"/>
      <c r="AK339" s="642"/>
      <c r="AL339" s="642"/>
      <c r="AM339" s="642"/>
      <c r="AN339" s="642"/>
      <c r="AO339" s="642"/>
      <c r="AP339" s="642"/>
      <c r="AQ339" s="642"/>
      <c r="AR339" s="642"/>
      <c r="AS339" s="642"/>
      <c r="AT339" s="642"/>
      <c r="AU339" s="642"/>
    </row>
    <row r="340" spans="1:47" s="3" customFormat="1" ht="17.25" customHeight="1">
      <c r="A340" s="142" t="s">
        <v>71</v>
      </c>
      <c r="B340" s="142"/>
      <c r="C340" s="143"/>
      <c r="D340" s="144"/>
      <c r="E340" s="145"/>
      <c r="F340" s="146"/>
      <c r="G340" s="36"/>
      <c r="H340" s="37"/>
      <c r="I340" s="642"/>
      <c r="J340" s="642"/>
      <c r="K340" s="642"/>
      <c r="L340" s="642"/>
      <c r="M340" s="642"/>
      <c r="N340" s="642"/>
      <c r="O340" s="642"/>
      <c r="P340" s="642"/>
      <c r="Q340" s="642"/>
      <c r="R340" s="642"/>
      <c r="S340" s="642"/>
      <c r="T340" s="642"/>
      <c r="U340" s="642"/>
      <c r="V340" s="642"/>
      <c r="W340" s="642"/>
      <c r="X340" s="642"/>
      <c r="Y340" s="642"/>
      <c r="Z340" s="642"/>
      <c r="AA340" s="642"/>
      <c r="AB340" s="642"/>
      <c r="AC340" s="642"/>
      <c r="AD340" s="642"/>
      <c r="AE340" s="642"/>
      <c r="AF340" s="642"/>
      <c r="AG340" s="642"/>
      <c r="AH340" s="642"/>
      <c r="AI340" s="642"/>
      <c r="AJ340" s="642"/>
      <c r="AK340" s="642"/>
      <c r="AL340" s="642"/>
      <c r="AM340" s="642"/>
      <c r="AN340" s="642"/>
      <c r="AO340" s="642"/>
      <c r="AP340" s="642"/>
      <c r="AQ340" s="642"/>
      <c r="AR340" s="642"/>
      <c r="AS340" s="642"/>
      <c r="AT340" s="642"/>
      <c r="AU340" s="642"/>
    </row>
    <row r="341" spans="1:47" s="3" customFormat="1" ht="17.25" customHeight="1">
      <c r="A341" s="141" t="s">
        <v>49</v>
      </c>
      <c r="B341" s="141"/>
      <c r="C341" s="134"/>
      <c r="D341" s="22"/>
      <c r="E341" s="16"/>
      <c r="F341" s="36"/>
      <c r="G341" s="36"/>
      <c r="H341" s="37"/>
      <c r="I341" s="642"/>
      <c r="J341" s="642"/>
      <c r="K341" s="642"/>
      <c r="L341" s="642"/>
      <c r="M341" s="642"/>
      <c r="N341" s="642"/>
      <c r="O341" s="642"/>
      <c r="P341" s="642"/>
      <c r="Q341" s="642"/>
      <c r="R341" s="642"/>
      <c r="S341" s="642"/>
      <c r="T341" s="642"/>
      <c r="U341" s="642"/>
      <c r="V341" s="642"/>
      <c r="W341" s="642"/>
      <c r="X341" s="642"/>
      <c r="Y341" s="642"/>
      <c r="Z341" s="642"/>
      <c r="AA341" s="642"/>
      <c r="AB341" s="642"/>
      <c r="AC341" s="642"/>
      <c r="AD341" s="642"/>
      <c r="AE341" s="642"/>
      <c r="AF341" s="642"/>
      <c r="AG341" s="642"/>
      <c r="AH341" s="642"/>
      <c r="AI341" s="642"/>
      <c r="AJ341" s="642"/>
      <c r="AK341" s="642"/>
      <c r="AL341" s="642"/>
      <c r="AM341" s="642"/>
      <c r="AN341" s="642"/>
      <c r="AO341" s="642"/>
      <c r="AP341" s="642"/>
      <c r="AQ341" s="642"/>
      <c r="AR341" s="642"/>
      <c r="AS341" s="642"/>
      <c r="AT341" s="642"/>
      <c r="AU341" s="642"/>
    </row>
    <row r="342" spans="1:47" s="3" customFormat="1" ht="17.25" customHeight="1">
      <c r="A342" s="141"/>
      <c r="B342" s="141"/>
      <c r="C342" s="134"/>
      <c r="D342" s="22"/>
      <c r="E342" s="16"/>
      <c r="F342" s="36"/>
      <c r="G342" s="36"/>
      <c r="H342" s="37"/>
      <c r="I342" s="642"/>
      <c r="J342" s="642"/>
      <c r="K342" s="642"/>
      <c r="L342" s="642"/>
      <c r="M342" s="642"/>
      <c r="N342" s="642"/>
      <c r="O342" s="642"/>
      <c r="P342" s="642"/>
      <c r="Q342" s="642"/>
      <c r="R342" s="642"/>
      <c r="S342" s="642"/>
      <c r="T342" s="642"/>
      <c r="U342" s="642"/>
      <c r="V342" s="642"/>
      <c r="W342" s="642"/>
      <c r="X342" s="642"/>
      <c r="Y342" s="642"/>
      <c r="Z342" s="642"/>
      <c r="AA342" s="642"/>
      <c r="AB342" s="642"/>
      <c r="AC342" s="642"/>
      <c r="AD342" s="642"/>
      <c r="AE342" s="642"/>
      <c r="AF342" s="642"/>
      <c r="AG342" s="642"/>
      <c r="AH342" s="642"/>
      <c r="AI342" s="642"/>
      <c r="AJ342" s="642"/>
      <c r="AK342" s="642"/>
      <c r="AL342" s="642"/>
      <c r="AM342" s="642"/>
      <c r="AN342" s="642"/>
      <c r="AO342" s="642"/>
      <c r="AP342" s="642"/>
      <c r="AQ342" s="642"/>
      <c r="AR342" s="642"/>
      <c r="AS342" s="642"/>
      <c r="AT342" s="642"/>
      <c r="AU342" s="642"/>
    </row>
    <row r="343" spans="1:47" s="3" customFormat="1" ht="17.25" customHeight="1">
      <c r="A343" s="141"/>
      <c r="B343" s="141"/>
      <c r="C343" s="134"/>
      <c r="D343" s="22"/>
      <c r="E343" s="16"/>
      <c r="F343" s="36"/>
      <c r="G343" s="36"/>
      <c r="H343" s="37"/>
      <c r="I343" s="642"/>
      <c r="J343" s="642"/>
      <c r="K343" s="642"/>
      <c r="L343" s="642"/>
      <c r="M343" s="642"/>
      <c r="N343" s="642"/>
      <c r="O343" s="642"/>
      <c r="P343" s="642"/>
      <c r="Q343" s="642"/>
      <c r="R343" s="642"/>
      <c r="S343" s="642"/>
      <c r="T343" s="642"/>
      <c r="U343" s="642"/>
      <c r="V343" s="642"/>
      <c r="W343" s="642"/>
      <c r="X343" s="642"/>
      <c r="Y343" s="642"/>
      <c r="Z343" s="642"/>
      <c r="AA343" s="642"/>
      <c r="AB343" s="642"/>
      <c r="AC343" s="642"/>
      <c r="AD343" s="642"/>
      <c r="AE343" s="642"/>
      <c r="AF343" s="642"/>
      <c r="AG343" s="642"/>
      <c r="AH343" s="642"/>
      <c r="AI343" s="642"/>
      <c r="AJ343" s="642"/>
      <c r="AK343" s="642"/>
      <c r="AL343" s="642"/>
      <c r="AM343" s="642"/>
      <c r="AN343" s="642"/>
      <c r="AO343" s="642"/>
      <c r="AP343" s="642"/>
      <c r="AQ343" s="642"/>
      <c r="AR343" s="642"/>
      <c r="AS343" s="642"/>
      <c r="AT343" s="642"/>
      <c r="AU343" s="642"/>
    </row>
    <row r="344" spans="1:47" s="3" customFormat="1" ht="17.25" customHeight="1">
      <c r="A344" s="172" t="s">
        <v>448</v>
      </c>
      <c r="B344" s="173"/>
      <c r="C344" s="641"/>
      <c r="D344" s="145"/>
      <c r="E344" s="145"/>
      <c r="F344" s="145"/>
      <c r="G344" s="145"/>
      <c r="H344" s="37"/>
      <c r="I344" s="642"/>
      <c r="J344" s="642"/>
      <c r="K344" s="642"/>
      <c r="L344" s="642"/>
      <c r="M344" s="642"/>
      <c r="N344" s="642"/>
      <c r="O344" s="642"/>
      <c r="P344" s="642"/>
      <c r="Q344" s="642"/>
      <c r="R344" s="642"/>
      <c r="S344" s="642"/>
      <c r="T344" s="642"/>
      <c r="U344" s="642"/>
      <c r="V344" s="642"/>
      <c r="W344" s="642"/>
      <c r="X344" s="642"/>
      <c r="Y344" s="642"/>
      <c r="Z344" s="642"/>
      <c r="AA344" s="642"/>
      <c r="AB344" s="642"/>
      <c r="AC344" s="642"/>
      <c r="AD344" s="642"/>
      <c r="AE344" s="642"/>
      <c r="AF344" s="642"/>
      <c r="AG344" s="642"/>
      <c r="AH344" s="642"/>
      <c r="AI344" s="642"/>
      <c r="AJ344" s="642"/>
      <c r="AK344" s="642"/>
      <c r="AL344" s="642"/>
      <c r="AM344" s="642"/>
      <c r="AN344" s="642"/>
      <c r="AO344" s="642"/>
      <c r="AP344" s="642"/>
      <c r="AQ344" s="642"/>
      <c r="AR344" s="642"/>
      <c r="AS344" s="642"/>
      <c r="AT344" s="642"/>
      <c r="AU344" s="642"/>
    </row>
    <row r="345" spans="1:47" s="3" customFormat="1" ht="17.25" customHeight="1">
      <c r="A345" s="174" t="s">
        <v>85</v>
      </c>
      <c r="B345" s="173"/>
      <c r="C345" s="641"/>
      <c r="D345" s="145"/>
      <c r="E345" s="145"/>
      <c r="F345" s="145"/>
      <c r="G345" s="145"/>
      <c r="H345" s="37"/>
      <c r="I345" s="642"/>
      <c r="J345" s="642"/>
      <c r="K345" s="642"/>
      <c r="L345" s="642"/>
      <c r="M345" s="642"/>
      <c r="N345" s="642"/>
      <c r="O345" s="642"/>
      <c r="P345" s="642"/>
      <c r="Q345" s="642"/>
      <c r="R345" s="642"/>
      <c r="S345" s="642"/>
      <c r="T345" s="642"/>
      <c r="U345" s="642"/>
      <c r="V345" s="642"/>
      <c r="W345" s="642"/>
      <c r="X345" s="642"/>
      <c r="Y345" s="642"/>
      <c r="Z345" s="642"/>
      <c r="AA345" s="642"/>
      <c r="AB345" s="642"/>
      <c r="AC345" s="642"/>
      <c r="AD345" s="642"/>
      <c r="AE345" s="642"/>
      <c r="AF345" s="642"/>
      <c r="AG345" s="642"/>
      <c r="AH345" s="642"/>
      <c r="AI345" s="642"/>
      <c r="AJ345" s="642"/>
      <c r="AK345" s="642"/>
      <c r="AL345" s="642"/>
      <c r="AM345" s="642"/>
      <c r="AN345" s="642"/>
      <c r="AO345" s="642"/>
      <c r="AP345" s="642"/>
      <c r="AQ345" s="642"/>
      <c r="AR345" s="642"/>
      <c r="AS345" s="642"/>
      <c r="AT345" s="642"/>
      <c r="AU345" s="642"/>
    </row>
    <row r="346" spans="1:47" s="3" customFormat="1" ht="17.25" customHeight="1">
      <c r="A346" s="174" t="s">
        <v>86</v>
      </c>
      <c r="B346" s="99"/>
      <c r="C346" s="635"/>
      <c r="D346" s="145"/>
      <c r="E346" s="145"/>
      <c r="F346" s="145"/>
      <c r="G346" s="145"/>
      <c r="H346" s="37"/>
      <c r="I346" s="642"/>
      <c r="J346" s="642"/>
      <c r="K346" s="642"/>
      <c r="L346" s="642"/>
      <c r="M346" s="642"/>
      <c r="N346" s="642"/>
      <c r="O346" s="642"/>
      <c r="P346" s="642"/>
      <c r="Q346" s="642"/>
      <c r="R346" s="642"/>
      <c r="S346" s="642"/>
      <c r="T346" s="642"/>
      <c r="U346" s="642"/>
      <c r="V346" s="642"/>
      <c r="W346" s="642"/>
      <c r="X346" s="642"/>
      <c r="Y346" s="642"/>
      <c r="Z346" s="642"/>
      <c r="AA346" s="642"/>
      <c r="AB346" s="642"/>
      <c r="AC346" s="642"/>
      <c r="AD346" s="642"/>
      <c r="AE346" s="642"/>
      <c r="AF346" s="642"/>
      <c r="AG346" s="642"/>
      <c r="AH346" s="642"/>
      <c r="AI346" s="642"/>
      <c r="AJ346" s="642"/>
      <c r="AK346" s="642"/>
      <c r="AL346" s="642"/>
      <c r="AM346" s="642"/>
      <c r="AN346" s="642"/>
      <c r="AO346" s="642"/>
      <c r="AP346" s="642"/>
      <c r="AQ346" s="642"/>
      <c r="AR346" s="642"/>
      <c r="AS346" s="642"/>
      <c r="AT346" s="642"/>
      <c r="AU346" s="642"/>
    </row>
    <row r="347" spans="1:47" s="3" customFormat="1" ht="17.25" customHeight="1">
      <c r="A347" s="174"/>
      <c r="B347" s="99"/>
      <c r="C347" s="635"/>
      <c r="D347" s="145"/>
      <c r="E347" s="145"/>
      <c r="F347" s="145"/>
      <c r="G347" s="145"/>
      <c r="H347" s="37"/>
      <c r="I347" s="642"/>
      <c r="J347" s="642"/>
      <c r="K347" s="642"/>
      <c r="L347" s="642"/>
      <c r="M347" s="642"/>
      <c r="N347" s="642"/>
      <c r="O347" s="642"/>
      <c r="P347" s="642"/>
      <c r="Q347" s="642"/>
      <c r="R347" s="642"/>
      <c r="S347" s="642"/>
      <c r="T347" s="642"/>
      <c r="U347" s="642"/>
      <c r="V347" s="642"/>
      <c r="W347" s="642"/>
      <c r="X347" s="642"/>
      <c r="Y347" s="642"/>
      <c r="Z347" s="642"/>
      <c r="AA347" s="642"/>
      <c r="AB347" s="642"/>
      <c r="AC347" s="642"/>
      <c r="AD347" s="642"/>
      <c r="AE347" s="642"/>
      <c r="AF347" s="642"/>
      <c r="AG347" s="642"/>
      <c r="AH347" s="642"/>
      <c r="AI347" s="642"/>
      <c r="AJ347" s="642"/>
      <c r="AK347" s="642"/>
      <c r="AL347" s="642"/>
      <c r="AM347" s="642"/>
      <c r="AN347" s="642"/>
      <c r="AO347" s="642"/>
      <c r="AP347" s="642"/>
      <c r="AQ347" s="642"/>
      <c r="AR347" s="642"/>
      <c r="AS347" s="642"/>
      <c r="AT347" s="642"/>
      <c r="AU347" s="642"/>
    </row>
    <row r="348" spans="1:8" ht="18.75">
      <c r="A348" s="148"/>
      <c r="B348" s="50"/>
      <c r="C348" s="635"/>
      <c r="D348" s="16"/>
      <c r="E348" s="16"/>
      <c r="F348" s="16"/>
      <c r="G348" s="112"/>
      <c r="H348" s="17"/>
    </row>
    <row r="349" spans="1:8" ht="18.75">
      <c r="A349" s="176" t="s">
        <v>487</v>
      </c>
      <c r="B349" s="50"/>
      <c r="C349" s="635"/>
      <c r="D349" s="16"/>
      <c r="E349" s="16"/>
      <c r="F349" s="16"/>
      <c r="G349" s="112"/>
      <c r="H349" s="17"/>
    </row>
    <row r="350" spans="1:8" ht="15.75">
      <c r="A350" s="148"/>
      <c r="B350" s="50"/>
      <c r="C350" s="635"/>
      <c r="D350" s="16"/>
      <c r="E350" s="16"/>
      <c r="F350" s="16"/>
      <c r="G350" s="112"/>
      <c r="H350" s="106"/>
    </row>
    <row r="351" spans="1:8" ht="16.5">
      <c r="A351" s="180" t="s">
        <v>470</v>
      </c>
      <c r="B351" s="116"/>
      <c r="C351" s="181"/>
      <c r="D351" s="182"/>
      <c r="E351" s="16"/>
      <c r="F351" s="16"/>
      <c r="G351" s="112"/>
      <c r="H351" s="106">
        <f>H355+55749</f>
        <v>129942.18</v>
      </c>
    </row>
    <row r="352" spans="1:8" ht="16.5">
      <c r="A352" s="180" t="s">
        <v>50</v>
      </c>
      <c r="B352" s="116"/>
      <c r="C352" s="181"/>
      <c r="D352" s="182"/>
      <c r="E352" s="16"/>
      <c r="F352" s="16"/>
      <c r="G352" s="112"/>
      <c r="H352" s="106">
        <f>H356+55749</f>
        <v>180201.18</v>
      </c>
    </row>
    <row r="353" spans="1:8" ht="16.5">
      <c r="A353" s="116" t="s">
        <v>51</v>
      </c>
      <c r="B353" s="116"/>
      <c r="C353" s="181"/>
      <c r="D353" s="182"/>
      <c r="E353" s="16"/>
      <c r="F353" s="16"/>
      <c r="G353" s="112"/>
      <c r="H353" s="106"/>
    </row>
    <row r="354" spans="1:8" ht="16.5">
      <c r="A354" s="116"/>
      <c r="B354" s="116"/>
      <c r="C354" s="181"/>
      <c r="D354" s="182"/>
      <c r="E354" s="16"/>
      <c r="F354" s="16"/>
      <c r="G354" s="112"/>
      <c r="H354" s="106"/>
    </row>
    <row r="355" spans="1:8" ht="16.5">
      <c r="A355" s="116"/>
      <c r="B355" s="116" t="s">
        <v>52</v>
      </c>
      <c r="C355" s="181"/>
      <c r="D355" s="182"/>
      <c r="E355" s="16"/>
      <c r="F355" s="16"/>
      <c r="G355" s="112"/>
      <c r="H355" s="106">
        <f>77193.18-3000</f>
        <v>74193.18</v>
      </c>
    </row>
    <row r="356" spans="1:8" ht="16.5">
      <c r="A356" s="116"/>
      <c r="B356" s="116" t="s">
        <v>53</v>
      </c>
      <c r="C356" s="181"/>
      <c r="D356" s="182"/>
      <c r="E356" s="16"/>
      <c r="F356" s="16"/>
      <c r="G356" s="112"/>
      <c r="H356" s="106">
        <f>H355+50259</f>
        <v>124452.18</v>
      </c>
    </row>
    <row r="357" spans="1:8" ht="15.75">
      <c r="A357" s="148"/>
      <c r="B357" s="50"/>
      <c r="C357" s="635"/>
      <c r="D357" s="16"/>
      <c r="E357" s="16"/>
      <c r="F357" s="16"/>
      <c r="G357" s="112"/>
      <c r="H357" s="106"/>
    </row>
    <row r="358" spans="1:8" ht="15.75">
      <c r="A358" s="51"/>
      <c r="B358" s="51"/>
      <c r="C358" s="175"/>
      <c r="D358" s="15"/>
      <c r="E358" s="16"/>
      <c r="F358" s="16"/>
      <c r="G358" s="106"/>
      <c r="H358" s="106"/>
    </row>
    <row r="359" spans="1:8" ht="16.5">
      <c r="A359" s="180" t="s">
        <v>54</v>
      </c>
      <c r="B359" s="116"/>
      <c r="C359" s="181"/>
      <c r="D359" s="182"/>
      <c r="E359" s="16"/>
      <c r="F359" s="16"/>
      <c r="G359" s="106"/>
      <c r="H359" s="106">
        <f>146911.21+66004.79</f>
        <v>212916</v>
      </c>
    </row>
    <row r="360" spans="1:8" ht="16.5">
      <c r="A360" s="180" t="s">
        <v>50</v>
      </c>
      <c r="B360" s="116"/>
      <c r="C360" s="181"/>
      <c r="D360" s="182"/>
      <c r="E360" s="16"/>
      <c r="F360" s="16"/>
      <c r="G360" s="106"/>
      <c r="H360" s="106">
        <f>H364+66004.79</f>
        <v>284770.94999999995</v>
      </c>
    </row>
    <row r="361" spans="1:8" ht="16.5">
      <c r="A361" s="116" t="s">
        <v>51</v>
      </c>
      <c r="B361" s="116"/>
      <c r="C361" s="181"/>
      <c r="D361" s="182"/>
      <c r="E361" s="16"/>
      <c r="F361" s="16"/>
      <c r="G361" s="106"/>
      <c r="H361" s="106"/>
    </row>
    <row r="362" spans="1:8" ht="16.5">
      <c r="A362" s="116"/>
      <c r="B362" s="116"/>
      <c r="C362" s="181"/>
      <c r="D362" s="182"/>
      <c r="E362" s="16"/>
      <c r="F362" s="16"/>
      <c r="G362" s="106"/>
      <c r="H362" s="106"/>
    </row>
    <row r="363" spans="1:8" ht="16.5">
      <c r="A363" s="116"/>
      <c r="B363" s="116" t="s">
        <v>52</v>
      </c>
      <c r="C363" s="181"/>
      <c r="D363" s="182"/>
      <c r="E363" s="16"/>
      <c r="F363" s="16"/>
      <c r="G363" s="106"/>
      <c r="H363" s="106">
        <v>146911.21</v>
      </c>
    </row>
    <row r="364" spans="1:8" ht="16.5">
      <c r="A364" s="116"/>
      <c r="B364" s="116" t="s">
        <v>53</v>
      </c>
      <c r="C364" s="181"/>
      <c r="D364" s="182"/>
      <c r="E364" s="16"/>
      <c r="F364" s="16"/>
      <c r="G364" s="106"/>
      <c r="H364" s="106">
        <f>H363+71854.95</f>
        <v>218766.15999999997</v>
      </c>
    </row>
    <row r="365" spans="1:8" ht="16.5">
      <c r="A365" s="116"/>
      <c r="B365" s="116"/>
      <c r="C365" s="181"/>
      <c r="D365" s="149"/>
      <c r="E365" s="16"/>
      <c r="F365" s="16"/>
      <c r="G365" s="106"/>
      <c r="H365" s="106"/>
    </row>
    <row r="366" spans="1:8" ht="16.5" customHeight="1">
      <c r="A366" s="72" t="s">
        <v>55</v>
      </c>
      <c r="B366" s="72"/>
      <c r="C366" s="150"/>
      <c r="D366" s="151"/>
      <c r="E366" s="151"/>
      <c r="F366" s="152"/>
      <c r="G366" s="151"/>
      <c r="H366" s="106"/>
    </row>
    <row r="367" spans="1:8" ht="16.5" customHeight="1">
      <c r="A367" s="72"/>
      <c r="B367" s="72"/>
      <c r="C367" s="150"/>
      <c r="D367" s="151"/>
      <c r="E367" s="151"/>
      <c r="F367" s="152"/>
      <c r="G367" s="151"/>
      <c r="H367" s="106"/>
    </row>
    <row r="368" spans="1:8" ht="18" customHeight="1">
      <c r="A368" s="153" t="s">
        <v>56</v>
      </c>
      <c r="B368" s="153"/>
      <c r="C368" s="154"/>
      <c r="D368" s="155"/>
      <c r="E368" s="155"/>
      <c r="F368" s="156"/>
      <c r="G368" s="155"/>
      <c r="H368" s="17"/>
    </row>
    <row r="369" spans="1:8" ht="18" customHeight="1">
      <c r="A369" s="153"/>
      <c r="B369" s="153"/>
      <c r="C369" s="154"/>
      <c r="D369" s="155"/>
      <c r="E369" s="155"/>
      <c r="F369" s="156"/>
      <c r="G369" s="155"/>
      <c r="H369" s="17"/>
    </row>
    <row r="370" spans="1:8" ht="16.5" customHeight="1">
      <c r="A370" s="72" t="s">
        <v>57</v>
      </c>
      <c r="B370" s="72"/>
      <c r="C370" s="150"/>
      <c r="D370" s="151"/>
      <c r="E370" s="151"/>
      <c r="F370" s="152"/>
      <c r="G370" s="151"/>
      <c r="H370" s="106"/>
    </row>
    <row r="371" spans="1:8" ht="16.5" customHeight="1">
      <c r="A371" s="72"/>
      <c r="B371" s="72"/>
      <c r="C371" s="150"/>
      <c r="D371" s="151"/>
      <c r="E371" s="151"/>
      <c r="F371" s="152"/>
      <c r="G371" s="151"/>
      <c r="H371" s="106"/>
    </row>
    <row r="372" spans="1:7" ht="18.75">
      <c r="A372" s="153" t="s">
        <v>58</v>
      </c>
      <c r="B372" s="153"/>
      <c r="C372" s="154"/>
      <c r="D372" s="155"/>
      <c r="E372" s="155"/>
      <c r="F372" s="156"/>
      <c r="G372" s="155"/>
    </row>
    <row r="373" spans="1:7" ht="18.75">
      <c r="A373" s="153"/>
      <c r="B373" s="153"/>
      <c r="C373" s="154"/>
      <c r="D373" s="155"/>
      <c r="E373" s="155"/>
      <c r="F373" s="156"/>
      <c r="G373" s="155"/>
    </row>
    <row r="374" spans="1:7" ht="18.75">
      <c r="A374" s="153"/>
      <c r="B374" s="153"/>
      <c r="C374" s="154"/>
      <c r="D374" s="155"/>
      <c r="E374" s="155"/>
      <c r="F374" s="156"/>
      <c r="G374" s="155"/>
    </row>
    <row r="375" spans="1:7" ht="18.75">
      <c r="A375" s="69"/>
      <c r="B375" s="69"/>
      <c r="C375" s="70"/>
      <c r="D375" s="157"/>
      <c r="E375" s="157"/>
      <c r="F375" s="158" t="s">
        <v>59</v>
      </c>
      <c r="G375" s="157"/>
    </row>
    <row r="376" spans="1:7" ht="18.75">
      <c r="A376" s="69"/>
      <c r="B376" s="69"/>
      <c r="C376" s="70"/>
      <c r="D376" s="157"/>
      <c r="E376" s="157"/>
      <c r="F376" s="158" t="s">
        <v>60</v>
      </c>
      <c r="G376" s="157"/>
    </row>
    <row r="377" spans="1:7" ht="18.75">
      <c r="A377" s="69"/>
      <c r="B377" s="69"/>
      <c r="C377" s="70"/>
      <c r="D377" s="157"/>
      <c r="E377" s="157"/>
      <c r="F377" s="158"/>
      <c r="G377" s="157"/>
    </row>
    <row r="378" spans="1:7" ht="19.5">
      <c r="A378" s="69"/>
      <c r="B378" s="69"/>
      <c r="C378" s="70"/>
      <c r="D378" s="157"/>
      <c r="E378" s="157"/>
      <c r="F378" s="159" t="s">
        <v>61</v>
      </c>
      <c r="G378" s="157"/>
    </row>
    <row r="379" spans="1:3" ht="18.75">
      <c r="A379" s="50"/>
      <c r="B379" s="50"/>
      <c r="C379" s="635"/>
    </row>
    <row r="380" spans="1:3" ht="18.75">
      <c r="A380" s="50"/>
      <c r="B380" s="50"/>
      <c r="C380" s="635"/>
    </row>
    <row r="381" spans="1:3" ht="18.75">
      <c r="A381" s="50"/>
      <c r="B381" s="50"/>
      <c r="C381" s="635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0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4.57421875" style="162" customWidth="1"/>
    <col min="2" max="2" width="5.140625" style="44" customWidth="1"/>
    <col min="3" max="3" width="6.57421875" style="44" customWidth="1"/>
    <col min="4" max="4" width="5.28125" style="169" customWidth="1"/>
    <col min="5" max="5" width="40.7109375" style="45" customWidth="1"/>
    <col min="6" max="6" width="16.28125" style="162" customWidth="1"/>
    <col min="7" max="7" width="16.00390625" style="162" customWidth="1"/>
    <col min="8" max="8" width="15.140625" style="44" hidden="1" customWidth="1"/>
    <col min="9" max="9" width="20.8515625" style="44" customWidth="1"/>
    <col min="10" max="10" width="14.7109375" style="185" customWidth="1"/>
    <col min="11" max="11" width="9.140625" style="185" customWidth="1"/>
    <col min="12" max="12" width="32.140625" style="185" customWidth="1"/>
    <col min="13" max="15" width="9.140625" style="185" customWidth="1"/>
    <col min="16" max="16384" width="9.140625" style="44" customWidth="1"/>
  </cols>
  <sheetData>
    <row r="1" spans="1:7" ht="20.25">
      <c r="A1" s="208"/>
      <c r="B1" s="189"/>
      <c r="C1" s="189"/>
      <c r="D1" s="208"/>
      <c r="F1" s="209" t="s">
        <v>97</v>
      </c>
      <c r="G1" s="44"/>
    </row>
    <row r="2" spans="1:7" ht="18.75">
      <c r="A2" s="208"/>
      <c r="B2" s="189"/>
      <c r="C2" s="189"/>
      <c r="D2" s="208"/>
      <c r="F2" s="210" t="s">
        <v>222</v>
      </c>
      <c r="G2" s="44"/>
    </row>
    <row r="3" spans="1:7" ht="18.75">
      <c r="A3" s="208"/>
      <c r="B3" s="189"/>
      <c r="C3" s="189"/>
      <c r="D3" s="208"/>
      <c r="F3" s="210" t="s">
        <v>98</v>
      </c>
      <c r="G3" s="44"/>
    </row>
    <row r="4" spans="1:7" ht="16.5">
      <c r="A4" s="208"/>
      <c r="B4" s="189"/>
      <c r="C4" s="189"/>
      <c r="D4" s="208"/>
      <c r="F4" s="211" t="s">
        <v>438</v>
      </c>
      <c r="G4" s="44"/>
    </row>
    <row r="5" spans="1:7" ht="12.75">
      <c r="A5" s="208"/>
      <c r="B5" s="189"/>
      <c r="C5" s="189"/>
      <c r="D5" s="208"/>
      <c r="E5" s="212"/>
      <c r="F5" s="160"/>
      <c r="G5" s="44"/>
    </row>
    <row r="6" spans="1:7" ht="19.5">
      <c r="A6" s="208"/>
      <c r="B6" s="213"/>
      <c r="C6" s="214" t="s">
        <v>99</v>
      </c>
      <c r="D6" s="215"/>
      <c r="E6" s="216"/>
      <c r="F6" s="217"/>
      <c r="G6" s="217"/>
    </row>
    <row r="7" spans="1:7" ht="19.5">
      <c r="A7" s="208"/>
      <c r="B7" s="213"/>
      <c r="C7" s="214" t="s">
        <v>100</v>
      </c>
      <c r="D7" s="215"/>
      <c r="E7" s="216"/>
      <c r="F7" s="217"/>
      <c r="G7" s="218"/>
    </row>
    <row r="8" spans="1:7" ht="18.75">
      <c r="A8" s="208"/>
      <c r="B8" s="213"/>
      <c r="C8" s="219"/>
      <c r="D8" s="215"/>
      <c r="E8" s="216"/>
      <c r="F8" s="217"/>
      <c r="G8" s="217"/>
    </row>
    <row r="9" spans="1:7" ht="12.75">
      <c r="A9" s="208"/>
      <c r="B9" s="213" t="s">
        <v>13</v>
      </c>
      <c r="C9" s="220"/>
      <c r="D9" s="221"/>
      <c r="E9" s="216"/>
      <c r="F9" s="222" t="s">
        <v>101</v>
      </c>
      <c r="G9" s="222"/>
    </row>
    <row r="10" spans="1:7" ht="18.75" customHeight="1">
      <c r="A10" s="223"/>
      <c r="B10" s="224"/>
      <c r="C10" s="225"/>
      <c r="D10" s="226"/>
      <c r="E10" s="224"/>
      <c r="F10" s="227" t="s">
        <v>102</v>
      </c>
      <c r="G10" s="228"/>
    </row>
    <row r="11" spans="1:7" ht="18.75" customHeight="1">
      <c r="A11" s="229" t="s">
        <v>103</v>
      </c>
      <c r="B11" s="230" t="s">
        <v>23</v>
      </c>
      <c r="C11" s="231" t="s">
        <v>21</v>
      </c>
      <c r="D11" s="231" t="s">
        <v>16</v>
      </c>
      <c r="E11" s="230" t="s">
        <v>104</v>
      </c>
      <c r="F11" s="232"/>
      <c r="G11" s="233" t="s">
        <v>12</v>
      </c>
    </row>
    <row r="12" spans="1:10" ht="40.5" customHeight="1">
      <c r="A12" s="234"/>
      <c r="B12" s="235"/>
      <c r="C12" s="236"/>
      <c r="D12" s="237"/>
      <c r="E12" s="235"/>
      <c r="F12" s="238" t="s">
        <v>105</v>
      </c>
      <c r="G12" s="239" t="s">
        <v>106</v>
      </c>
      <c r="I12" s="240"/>
      <c r="J12" s="241"/>
    </row>
    <row r="13" spans="1:10" ht="21" customHeight="1">
      <c r="A13" s="223"/>
      <c r="B13" s="242" t="s">
        <v>107</v>
      </c>
      <c r="C13" s="243"/>
      <c r="D13" s="244"/>
      <c r="E13" s="245"/>
      <c r="F13" s="246">
        <f>F14+F25+F30+F37+F43+F72+F46+F76+F117+F122</f>
        <v>38671325.85</v>
      </c>
      <c r="G13" s="254">
        <f>G14+G25+G30+G37+G46+G76+G117</f>
        <v>7885071.330000001</v>
      </c>
      <c r="I13" s="247"/>
      <c r="J13" s="248"/>
    </row>
    <row r="14" spans="1:10" ht="24.75" customHeight="1">
      <c r="A14" s="249"/>
      <c r="B14" s="250">
        <v>600</v>
      </c>
      <c r="C14" s="250"/>
      <c r="D14" s="251"/>
      <c r="E14" s="252" t="s">
        <v>108</v>
      </c>
      <c r="F14" s="253">
        <f>F15+F17</f>
        <v>5108171</v>
      </c>
      <c r="G14" s="254">
        <f>G15+G17</f>
        <v>179242.73</v>
      </c>
      <c r="I14" s="255"/>
      <c r="J14" s="256"/>
    </row>
    <row r="15" spans="1:15" s="697" customFormat="1" ht="24.75" customHeight="1">
      <c r="A15" s="234"/>
      <c r="B15" s="279"/>
      <c r="C15" s="258">
        <v>60004</v>
      </c>
      <c r="D15" s="265"/>
      <c r="E15" s="398" t="s">
        <v>480</v>
      </c>
      <c r="F15" s="698">
        <f>F16</f>
        <v>13500</v>
      </c>
      <c r="G15" s="268"/>
      <c r="H15" s="693"/>
      <c r="I15" s="694"/>
      <c r="J15" s="695"/>
      <c r="K15" s="696"/>
      <c r="L15" s="696"/>
      <c r="M15" s="696"/>
      <c r="N15" s="696"/>
      <c r="O15" s="696"/>
    </row>
    <row r="16" spans="1:15" s="697" customFormat="1" ht="24.75" customHeight="1">
      <c r="A16" s="234"/>
      <c r="B16" s="279"/>
      <c r="C16" s="310"/>
      <c r="D16" s="660">
        <v>6050</v>
      </c>
      <c r="E16" s="702" t="s">
        <v>479</v>
      </c>
      <c r="F16" s="703">
        <v>13500</v>
      </c>
      <c r="G16" s="704"/>
      <c r="H16" s="693"/>
      <c r="I16" s="694"/>
      <c r="J16" s="695"/>
      <c r="K16" s="696"/>
      <c r="L16" s="696"/>
      <c r="M16" s="696"/>
      <c r="N16" s="696"/>
      <c r="O16" s="696"/>
    </row>
    <row r="17" spans="1:7" ht="27.75" customHeight="1">
      <c r="A17" s="234"/>
      <c r="B17" s="257"/>
      <c r="C17" s="258">
        <v>60016</v>
      </c>
      <c r="D17" s="259"/>
      <c r="E17" s="260" t="s">
        <v>109</v>
      </c>
      <c r="F17" s="261">
        <f>SUM(F18:F24)</f>
        <v>5094671</v>
      </c>
      <c r="G17" s="262">
        <f>SUM(G18:G24)</f>
        <v>179242.73</v>
      </c>
    </row>
    <row r="18" spans="1:15" s="269" customFormat="1" ht="35.25" customHeight="1">
      <c r="A18" s="249">
        <v>1</v>
      </c>
      <c r="B18" s="263"/>
      <c r="C18" s="264"/>
      <c r="D18" s="265">
        <v>6050</v>
      </c>
      <c r="E18" s="266" t="s">
        <v>110</v>
      </c>
      <c r="F18" s="267">
        <f>2267036-130000-325000-10600</f>
        <v>1801436</v>
      </c>
      <c r="G18" s="268">
        <v>179242.73</v>
      </c>
      <c r="I18" s="270"/>
      <c r="J18" s="271"/>
      <c r="K18" s="271"/>
      <c r="L18" s="271"/>
      <c r="M18" s="271"/>
      <c r="N18" s="271"/>
      <c r="O18" s="271"/>
    </row>
    <row r="19" spans="1:15" s="269" customFormat="1" ht="26.25" customHeight="1">
      <c r="A19" s="249">
        <v>2</v>
      </c>
      <c r="B19" s="263"/>
      <c r="C19" s="264"/>
      <c r="D19" s="265">
        <v>6050</v>
      </c>
      <c r="E19" s="266" t="s">
        <v>111</v>
      </c>
      <c r="F19" s="267">
        <f>200000-49500</f>
        <v>150500</v>
      </c>
      <c r="G19" s="268">
        <v>0</v>
      </c>
      <c r="J19" s="271"/>
      <c r="K19" s="271"/>
      <c r="L19" s="271"/>
      <c r="M19" s="271"/>
      <c r="N19" s="271"/>
      <c r="O19" s="271"/>
    </row>
    <row r="20" spans="1:15" s="269" customFormat="1" ht="35.25" customHeight="1">
      <c r="A20" s="234">
        <v>3</v>
      </c>
      <c r="B20" s="263"/>
      <c r="C20" s="264"/>
      <c r="D20" s="265">
        <v>6050</v>
      </c>
      <c r="E20" s="266" t="s">
        <v>112</v>
      </c>
      <c r="F20" s="267">
        <f>43000-41500</f>
        <v>1500</v>
      </c>
      <c r="G20" s="268">
        <v>0</v>
      </c>
      <c r="J20" s="271"/>
      <c r="K20" s="271"/>
      <c r="L20" s="271"/>
      <c r="M20" s="271"/>
      <c r="N20" s="271"/>
      <c r="O20" s="271"/>
    </row>
    <row r="21" spans="1:15" s="269" customFormat="1" ht="35.25" customHeight="1">
      <c r="A21" s="234">
        <v>4</v>
      </c>
      <c r="B21" s="263"/>
      <c r="C21" s="264"/>
      <c r="D21" s="265">
        <v>6050</v>
      </c>
      <c r="E21" s="266" t="s">
        <v>297</v>
      </c>
      <c r="F21" s="267">
        <v>106764</v>
      </c>
      <c r="G21" s="268">
        <v>0</v>
      </c>
      <c r="J21" s="271"/>
      <c r="K21" s="271"/>
      <c r="L21" s="271"/>
      <c r="M21" s="271"/>
      <c r="N21" s="271"/>
      <c r="O21" s="271"/>
    </row>
    <row r="22" spans="1:15" s="269" customFormat="1" ht="35.25" customHeight="1">
      <c r="A22" s="234">
        <v>5</v>
      </c>
      <c r="B22" s="263"/>
      <c r="C22" s="264"/>
      <c r="D22" s="265">
        <v>6050</v>
      </c>
      <c r="E22" s="266" t="s">
        <v>312</v>
      </c>
      <c r="F22" s="312">
        <f>9900-429</f>
        <v>9471</v>
      </c>
      <c r="G22" s="268"/>
      <c r="J22" s="271"/>
      <c r="K22" s="271"/>
      <c r="L22" s="271"/>
      <c r="M22" s="271"/>
      <c r="N22" s="271"/>
      <c r="O22" s="271"/>
    </row>
    <row r="23" spans="1:15" s="269" customFormat="1" ht="35.25" customHeight="1">
      <c r="A23" s="234">
        <v>6</v>
      </c>
      <c r="B23" s="263"/>
      <c r="C23" s="264"/>
      <c r="D23" s="517">
        <v>6050</v>
      </c>
      <c r="E23" s="518" t="s">
        <v>313</v>
      </c>
      <c r="F23" s="312">
        <f>4350000-1340000</f>
        <v>3010000</v>
      </c>
      <c r="G23" s="268"/>
      <c r="J23" s="530"/>
      <c r="K23" s="271"/>
      <c r="L23" s="271"/>
      <c r="M23" s="271"/>
      <c r="N23" s="271"/>
      <c r="O23" s="271"/>
    </row>
    <row r="24" spans="1:15" s="269" customFormat="1" ht="29.25" customHeight="1">
      <c r="A24" s="234">
        <v>7</v>
      </c>
      <c r="B24" s="263"/>
      <c r="C24" s="264"/>
      <c r="D24" s="265">
        <v>6060</v>
      </c>
      <c r="E24" s="266" t="s">
        <v>113</v>
      </c>
      <c r="F24" s="267">
        <v>15000</v>
      </c>
      <c r="G24" s="268">
        <v>0</v>
      </c>
      <c r="J24" s="271"/>
      <c r="K24" s="271"/>
      <c r="L24" s="271"/>
      <c r="M24" s="271"/>
      <c r="N24" s="271"/>
      <c r="O24" s="271"/>
    </row>
    <row r="25" spans="1:7" ht="27" customHeight="1">
      <c r="A25" s="272"/>
      <c r="B25" s="250">
        <v>700</v>
      </c>
      <c r="C25" s="250"/>
      <c r="D25" s="251"/>
      <c r="E25" s="273" t="s">
        <v>114</v>
      </c>
      <c r="F25" s="274">
        <f>F26+F28</f>
        <v>2342193.8899999997</v>
      </c>
      <c r="G25" s="275">
        <f>G26+G28</f>
        <v>634944.51</v>
      </c>
    </row>
    <row r="26" spans="1:7" ht="27" customHeight="1">
      <c r="A26" s="249"/>
      <c r="B26" s="276"/>
      <c r="C26" s="277">
        <v>70005</v>
      </c>
      <c r="D26" s="259"/>
      <c r="E26" s="260" t="s">
        <v>115</v>
      </c>
      <c r="F26" s="261">
        <f>SUM(F27:F27)</f>
        <v>811505</v>
      </c>
      <c r="G26" s="262">
        <f>SUM(G27:G27)</f>
        <v>0</v>
      </c>
    </row>
    <row r="27" spans="1:7" ht="29.25" customHeight="1">
      <c r="A27" s="249">
        <v>8</v>
      </c>
      <c r="B27" s="278"/>
      <c r="C27" s="279"/>
      <c r="D27" s="265">
        <v>6060</v>
      </c>
      <c r="E27" s="266" t="s">
        <v>116</v>
      </c>
      <c r="F27" s="280">
        <f>1118622+137000+50000-570000+5483-12200+82600</f>
        <v>811505</v>
      </c>
      <c r="G27" s="281">
        <v>0</v>
      </c>
    </row>
    <row r="28" spans="1:7" ht="24.75" customHeight="1">
      <c r="A28" s="249"/>
      <c r="B28" s="282"/>
      <c r="C28" s="283">
        <v>70095</v>
      </c>
      <c r="D28" s="284"/>
      <c r="E28" s="260" t="s">
        <v>117</v>
      </c>
      <c r="F28" s="261">
        <f>SUM(F29:F29)</f>
        <v>1530688.89</v>
      </c>
      <c r="G28" s="262">
        <f>SUM(G29:G29)</f>
        <v>634944.51</v>
      </c>
    </row>
    <row r="29" spans="1:7" ht="72.75" customHeight="1">
      <c r="A29" s="249">
        <v>9</v>
      </c>
      <c r="B29" s="282"/>
      <c r="C29" s="257"/>
      <c r="D29" s="249">
        <v>6010</v>
      </c>
      <c r="E29" s="285" t="s">
        <v>118</v>
      </c>
      <c r="F29" s="280">
        <v>1530688.89</v>
      </c>
      <c r="G29" s="281">
        <v>634944.51</v>
      </c>
    </row>
    <row r="30" spans="1:7" ht="24.75" customHeight="1">
      <c r="A30" s="286"/>
      <c r="B30" s="250">
        <v>750</v>
      </c>
      <c r="C30" s="250"/>
      <c r="D30" s="251"/>
      <c r="E30" s="287" t="s">
        <v>119</v>
      </c>
      <c r="F30" s="288">
        <f>F31+F35</f>
        <v>262320</v>
      </c>
      <c r="G30" s="288">
        <f>G31+G35</f>
        <v>0</v>
      </c>
    </row>
    <row r="31" spans="1:7" ht="27" customHeight="1">
      <c r="A31" s="249"/>
      <c r="B31" s="290"/>
      <c r="C31" s="283">
        <v>75023</v>
      </c>
      <c r="D31" s="284"/>
      <c r="E31" s="291" t="s">
        <v>120</v>
      </c>
      <c r="F31" s="292">
        <f>SUM(F32:F34)</f>
        <v>242320</v>
      </c>
      <c r="G31" s="293">
        <f>SUM(G45:G45)</f>
        <v>0</v>
      </c>
    </row>
    <row r="32" spans="1:7" ht="27" customHeight="1">
      <c r="A32" s="249">
        <v>10</v>
      </c>
      <c r="B32" s="294"/>
      <c r="C32" s="282"/>
      <c r="D32" s="265">
        <v>6050</v>
      </c>
      <c r="E32" s="295" t="s">
        <v>121</v>
      </c>
      <c r="F32" s="296">
        <f>60000+13000</f>
        <v>73000</v>
      </c>
      <c r="G32" s="281">
        <v>0</v>
      </c>
    </row>
    <row r="33" spans="1:7" ht="41.25" customHeight="1">
      <c r="A33" s="249">
        <v>11</v>
      </c>
      <c r="B33" s="294"/>
      <c r="C33" s="282"/>
      <c r="D33" s="265">
        <v>6050</v>
      </c>
      <c r="E33" s="295" t="s">
        <v>122</v>
      </c>
      <c r="F33" s="296">
        <f>40000-2480</f>
        <v>37520</v>
      </c>
      <c r="G33" s="281"/>
    </row>
    <row r="34" spans="1:7" ht="25.5" customHeight="1">
      <c r="A34" s="249">
        <v>12</v>
      </c>
      <c r="B34" s="294"/>
      <c r="C34" s="282"/>
      <c r="D34" s="265">
        <v>6060</v>
      </c>
      <c r="E34" s="295" t="s">
        <v>123</v>
      </c>
      <c r="F34" s="296">
        <f>150000-100000+81800</f>
        <v>131800</v>
      </c>
      <c r="G34" s="281">
        <v>0</v>
      </c>
    </row>
    <row r="35" spans="1:15" s="328" customFormat="1" ht="25.5" customHeight="1">
      <c r="A35" s="299"/>
      <c r="B35" s="294"/>
      <c r="C35" s="283">
        <v>75095</v>
      </c>
      <c r="D35" s="299"/>
      <c r="E35" s="538" t="s">
        <v>330</v>
      </c>
      <c r="F35" s="262">
        <f>F36</f>
        <v>20000</v>
      </c>
      <c r="G35" s="262">
        <f>G36</f>
        <v>0</v>
      </c>
      <c r="J35" s="329"/>
      <c r="K35" s="329"/>
      <c r="L35" s="329"/>
      <c r="M35" s="329"/>
      <c r="N35" s="329"/>
      <c r="O35" s="329"/>
    </row>
    <row r="36" spans="1:7" ht="51" customHeight="1">
      <c r="A36" s="249">
        <v>13</v>
      </c>
      <c r="B36" s="294"/>
      <c r="C36" s="283"/>
      <c r="D36" s="249">
        <v>6050</v>
      </c>
      <c r="E36" s="657" t="s">
        <v>389</v>
      </c>
      <c r="F36" s="281">
        <v>20000</v>
      </c>
      <c r="G36" s="281"/>
    </row>
    <row r="37" spans="1:7" ht="30" customHeight="1">
      <c r="A37" s="249"/>
      <c r="B37" s="250">
        <v>754</v>
      </c>
      <c r="C37" s="250"/>
      <c r="D37" s="286"/>
      <c r="E37" s="297" t="s">
        <v>124</v>
      </c>
      <c r="F37" s="274">
        <f>F38+F41</f>
        <v>43212</v>
      </c>
      <c r="G37" s="275">
        <f>G38+G41</f>
        <v>0</v>
      </c>
    </row>
    <row r="38" spans="1:7" ht="28.5" customHeight="1">
      <c r="A38" s="249"/>
      <c r="B38" s="298"/>
      <c r="C38" s="276">
        <v>75412</v>
      </c>
      <c r="D38" s="299"/>
      <c r="E38" s="300" t="s">
        <v>125</v>
      </c>
      <c r="F38" s="261">
        <f>F39+F40</f>
        <v>24212</v>
      </c>
      <c r="G38" s="262">
        <f>G39</f>
        <v>0</v>
      </c>
    </row>
    <row r="39" spans="1:7" ht="26.25" customHeight="1">
      <c r="A39" s="249">
        <v>14</v>
      </c>
      <c r="B39" s="301"/>
      <c r="C39" s="302"/>
      <c r="D39" s="265">
        <v>6060</v>
      </c>
      <c r="E39" s="266" t="s">
        <v>126</v>
      </c>
      <c r="F39" s="280">
        <f>6000-1788</f>
        <v>4212</v>
      </c>
      <c r="G39" s="281">
        <v>0</v>
      </c>
    </row>
    <row r="40" spans="1:7" ht="33.75" customHeight="1">
      <c r="A40" s="249">
        <v>15</v>
      </c>
      <c r="B40" s="301"/>
      <c r="C40" s="278"/>
      <c r="D40" s="249">
        <v>6230</v>
      </c>
      <c r="E40" s="303" t="s">
        <v>127</v>
      </c>
      <c r="F40" s="304">
        <v>20000</v>
      </c>
      <c r="G40" s="305">
        <v>0</v>
      </c>
    </row>
    <row r="41" spans="1:7" ht="26.25" customHeight="1">
      <c r="A41" s="249"/>
      <c r="B41" s="298"/>
      <c r="C41" s="283">
        <v>75414</v>
      </c>
      <c r="D41" s="299"/>
      <c r="E41" s="300" t="s">
        <v>128</v>
      </c>
      <c r="F41" s="292">
        <f>SUM(F42)</f>
        <v>19000</v>
      </c>
      <c r="G41" s="293">
        <f>SUM(G42)</f>
        <v>0</v>
      </c>
    </row>
    <row r="42" spans="1:7" ht="29.25" customHeight="1">
      <c r="A42" s="249">
        <v>16</v>
      </c>
      <c r="B42" s="278"/>
      <c r="C42" s="306"/>
      <c r="D42" s="307">
        <v>6060</v>
      </c>
      <c r="E42" s="266" t="s">
        <v>126</v>
      </c>
      <c r="F42" s="267">
        <v>19000</v>
      </c>
      <c r="G42" s="268">
        <v>0</v>
      </c>
    </row>
    <row r="43" spans="1:7" ht="25.5" customHeight="1">
      <c r="A43" s="249"/>
      <c r="B43" s="250">
        <v>758</v>
      </c>
      <c r="C43" s="308"/>
      <c r="D43" s="251"/>
      <c r="E43" s="273" t="s">
        <v>129</v>
      </c>
      <c r="F43" s="274">
        <f>F44</f>
        <v>82021</v>
      </c>
      <c r="G43" s="275">
        <f>G44</f>
        <v>0</v>
      </c>
    </row>
    <row r="44" spans="1:7" ht="27.75" customHeight="1">
      <c r="A44" s="249"/>
      <c r="B44" s="309"/>
      <c r="C44" s="283">
        <v>75818</v>
      </c>
      <c r="D44" s="259"/>
      <c r="E44" s="291" t="s">
        <v>130</v>
      </c>
      <c r="F44" s="292">
        <f>F45</f>
        <v>82021</v>
      </c>
      <c r="G44" s="293">
        <f>G45</f>
        <v>0</v>
      </c>
    </row>
    <row r="45" spans="1:7" ht="33.75" customHeight="1">
      <c r="A45" s="249"/>
      <c r="B45" s="301"/>
      <c r="C45" s="310"/>
      <c r="D45" s="265">
        <v>6800</v>
      </c>
      <c r="E45" s="311" t="s">
        <v>24</v>
      </c>
      <c r="F45" s="267">
        <f>800000-40000-10000-250000-130000-70000-80000+105000-34000-8979-125000-15000-40000-20000</f>
        <v>82021</v>
      </c>
      <c r="G45" s="268">
        <f>500000-500000</f>
        <v>0</v>
      </c>
    </row>
    <row r="46" spans="1:7" ht="24.75" customHeight="1">
      <c r="A46" s="234"/>
      <c r="B46" s="250">
        <v>801</v>
      </c>
      <c r="C46" s="306"/>
      <c r="D46" s="307"/>
      <c r="E46" s="313" t="s">
        <v>131</v>
      </c>
      <c r="F46" s="288">
        <f>F66+F54+F47+F68</f>
        <v>2256479</v>
      </c>
      <c r="G46" s="289">
        <f>G66+G47+G68</f>
        <v>0</v>
      </c>
    </row>
    <row r="47" spans="1:7" ht="24.75" customHeight="1">
      <c r="A47" s="234"/>
      <c r="B47" s="301"/>
      <c r="C47" s="276">
        <v>80101</v>
      </c>
      <c r="D47" s="284"/>
      <c r="E47" s="291" t="s">
        <v>132</v>
      </c>
      <c r="F47" s="292">
        <f>SUM(F48:F53)</f>
        <v>967260</v>
      </c>
      <c r="G47" s="293">
        <f>G48</f>
        <v>0</v>
      </c>
    </row>
    <row r="48" spans="1:7" ht="27.75" customHeight="1">
      <c r="A48" s="234">
        <v>17</v>
      </c>
      <c r="B48" s="301"/>
      <c r="C48" s="302"/>
      <c r="D48" s="265">
        <v>6050</v>
      </c>
      <c r="E48" s="311" t="s">
        <v>133</v>
      </c>
      <c r="F48" s="304">
        <v>800000</v>
      </c>
      <c r="G48" s="305">
        <v>0</v>
      </c>
    </row>
    <row r="49" spans="1:7" ht="29.25" customHeight="1">
      <c r="A49" s="234">
        <v>18</v>
      </c>
      <c r="B49" s="301"/>
      <c r="C49" s="278"/>
      <c r="D49" s="265">
        <v>6050</v>
      </c>
      <c r="E49" s="311" t="s">
        <v>134</v>
      </c>
      <c r="F49" s="304">
        <v>9000</v>
      </c>
      <c r="G49" s="305">
        <v>0</v>
      </c>
    </row>
    <row r="50" spans="1:7" ht="30.75" customHeight="1">
      <c r="A50" s="234">
        <v>19</v>
      </c>
      <c r="B50" s="301"/>
      <c r="C50" s="278"/>
      <c r="D50" s="265">
        <v>6050</v>
      </c>
      <c r="E50" s="311" t="s">
        <v>135</v>
      </c>
      <c r="F50" s="304">
        <v>6000</v>
      </c>
      <c r="G50" s="305">
        <v>0</v>
      </c>
    </row>
    <row r="51" spans="1:7" ht="30.75" customHeight="1">
      <c r="A51" s="234">
        <v>20</v>
      </c>
      <c r="B51" s="301"/>
      <c r="C51" s="278"/>
      <c r="D51" s="265">
        <v>6050</v>
      </c>
      <c r="E51" s="311" t="s">
        <v>136</v>
      </c>
      <c r="F51" s="304">
        <v>140000</v>
      </c>
      <c r="G51" s="305"/>
    </row>
    <row r="52" spans="1:7" ht="30.75" customHeight="1">
      <c r="A52" s="234">
        <v>21</v>
      </c>
      <c r="B52" s="301"/>
      <c r="C52" s="278"/>
      <c r="D52" s="265">
        <v>6060</v>
      </c>
      <c r="E52" s="311" t="s">
        <v>137</v>
      </c>
      <c r="F52" s="304">
        <v>5760</v>
      </c>
      <c r="G52" s="305"/>
    </row>
    <row r="53" spans="1:7" ht="24.75" customHeight="1">
      <c r="A53" s="234">
        <v>22</v>
      </c>
      <c r="B53" s="301"/>
      <c r="C53" s="310"/>
      <c r="D53" s="265">
        <v>6060</v>
      </c>
      <c r="E53" s="311" t="s">
        <v>138</v>
      </c>
      <c r="F53" s="304">
        <v>6500</v>
      </c>
      <c r="G53" s="305">
        <v>0</v>
      </c>
    </row>
    <row r="54" spans="1:7" ht="24.75" customHeight="1">
      <c r="A54" s="234"/>
      <c r="B54" s="301"/>
      <c r="C54" s="282">
        <v>80104</v>
      </c>
      <c r="D54" s="259"/>
      <c r="E54" s="260" t="s">
        <v>139</v>
      </c>
      <c r="F54" s="292">
        <f>SUM(F55:F65)</f>
        <v>114419</v>
      </c>
      <c r="G54" s="293">
        <f>SUM(G59:G65)</f>
        <v>0</v>
      </c>
    </row>
    <row r="55" spans="1:15" s="315" customFormat="1" ht="35.25" customHeight="1">
      <c r="A55" s="234">
        <v>23</v>
      </c>
      <c r="B55" s="301"/>
      <c r="C55" s="302"/>
      <c r="D55" s="265">
        <v>6050</v>
      </c>
      <c r="E55" s="314" t="s">
        <v>314</v>
      </c>
      <c r="F55" s="304">
        <v>9300</v>
      </c>
      <c r="G55" s="305"/>
      <c r="J55" s="316"/>
      <c r="K55" s="316"/>
      <c r="L55" s="316"/>
      <c r="M55" s="316"/>
      <c r="N55" s="316"/>
      <c r="O55" s="316"/>
    </row>
    <row r="56" spans="1:15" s="315" customFormat="1" ht="35.25" customHeight="1">
      <c r="A56" s="234">
        <v>24</v>
      </c>
      <c r="B56" s="301"/>
      <c r="C56" s="278"/>
      <c r="D56" s="265">
        <v>6050</v>
      </c>
      <c r="E56" s="314" t="s">
        <v>301</v>
      </c>
      <c r="F56" s="304">
        <v>27000</v>
      </c>
      <c r="G56" s="305"/>
      <c r="J56" s="316"/>
      <c r="K56" s="316"/>
      <c r="L56" s="316"/>
      <c r="M56" s="316"/>
      <c r="N56" s="316"/>
      <c r="O56" s="316"/>
    </row>
    <row r="57" spans="1:15" s="390" customFormat="1" ht="35.25" customHeight="1">
      <c r="A57" s="234">
        <v>25</v>
      </c>
      <c r="B57" s="301"/>
      <c r="C57" s="278"/>
      <c r="D57" s="265">
        <v>6050</v>
      </c>
      <c r="E57" s="311" t="s">
        <v>299</v>
      </c>
      <c r="F57" s="304">
        <v>18914</v>
      </c>
      <c r="G57" s="305"/>
      <c r="J57" s="392"/>
      <c r="K57" s="392"/>
      <c r="L57" s="392"/>
      <c r="M57" s="392"/>
      <c r="N57" s="392"/>
      <c r="O57" s="392"/>
    </row>
    <row r="58" spans="1:15" s="390" customFormat="1" ht="35.25" customHeight="1">
      <c r="A58" s="234"/>
      <c r="B58" s="301"/>
      <c r="C58" s="278"/>
      <c r="D58" s="660">
        <v>6050</v>
      </c>
      <c r="E58" s="661" t="s">
        <v>442</v>
      </c>
      <c r="F58" s="662">
        <v>15300</v>
      </c>
      <c r="G58" s="663"/>
      <c r="J58" s="392"/>
      <c r="K58" s="392"/>
      <c r="L58" s="392"/>
      <c r="M58" s="392"/>
      <c r="N58" s="392"/>
      <c r="O58" s="392"/>
    </row>
    <row r="59" spans="1:7" ht="24.75" customHeight="1">
      <c r="A59" s="234">
        <v>26</v>
      </c>
      <c r="B59" s="301"/>
      <c r="C59" s="278"/>
      <c r="D59" s="265">
        <v>6060</v>
      </c>
      <c r="E59" s="311" t="s">
        <v>140</v>
      </c>
      <c r="F59" s="658">
        <f>5000-700</f>
        <v>4300</v>
      </c>
      <c r="G59" s="305">
        <v>0</v>
      </c>
    </row>
    <row r="60" spans="1:7" ht="28.5" customHeight="1">
      <c r="A60" s="234">
        <v>27</v>
      </c>
      <c r="B60" s="301"/>
      <c r="C60" s="278"/>
      <c r="D60" s="265">
        <v>6060</v>
      </c>
      <c r="E60" s="311" t="s">
        <v>141</v>
      </c>
      <c r="F60" s="304">
        <v>5000</v>
      </c>
      <c r="G60" s="305">
        <v>0</v>
      </c>
    </row>
    <row r="61" spans="1:7" ht="24.75" customHeight="1">
      <c r="A61" s="234">
        <v>28</v>
      </c>
      <c r="B61" s="301"/>
      <c r="C61" s="278"/>
      <c r="D61" s="265">
        <v>6060</v>
      </c>
      <c r="E61" s="311" t="s">
        <v>142</v>
      </c>
      <c r="F61" s="304">
        <v>8000</v>
      </c>
      <c r="G61" s="305">
        <v>0</v>
      </c>
    </row>
    <row r="62" spans="1:7" ht="29.25" customHeight="1">
      <c r="A62" s="234">
        <v>29</v>
      </c>
      <c r="B62" s="301"/>
      <c r="C62" s="278"/>
      <c r="D62" s="265">
        <v>6060</v>
      </c>
      <c r="E62" s="311" t="s">
        <v>143</v>
      </c>
      <c r="F62" s="658">
        <f>8000-2895</f>
        <v>5105</v>
      </c>
      <c r="G62" s="305">
        <v>0</v>
      </c>
    </row>
    <row r="63" spans="1:7" ht="29.25" customHeight="1">
      <c r="A63" s="234">
        <v>30</v>
      </c>
      <c r="B63" s="301"/>
      <c r="C63" s="278"/>
      <c r="D63" s="265">
        <v>6060</v>
      </c>
      <c r="E63" s="311" t="s">
        <v>144</v>
      </c>
      <c r="F63" s="304">
        <v>9000</v>
      </c>
      <c r="G63" s="305">
        <v>0</v>
      </c>
    </row>
    <row r="64" spans="1:7" ht="29.25" customHeight="1">
      <c r="A64" s="234">
        <v>31</v>
      </c>
      <c r="B64" s="301"/>
      <c r="C64" s="278"/>
      <c r="D64" s="265">
        <v>6060</v>
      </c>
      <c r="E64" s="311" t="s">
        <v>295</v>
      </c>
      <c r="F64" s="304">
        <v>4500</v>
      </c>
      <c r="G64" s="305"/>
    </row>
    <row r="65" spans="1:7" ht="30.75" customHeight="1">
      <c r="A65" s="234">
        <v>32</v>
      </c>
      <c r="B65" s="301"/>
      <c r="C65" s="310"/>
      <c r="D65" s="265">
        <v>6060</v>
      </c>
      <c r="E65" s="311" t="s">
        <v>145</v>
      </c>
      <c r="F65" s="304">
        <v>8000</v>
      </c>
      <c r="G65" s="305">
        <v>0</v>
      </c>
    </row>
    <row r="66" spans="1:7" ht="25.5" customHeight="1">
      <c r="A66" s="249"/>
      <c r="B66" s="301"/>
      <c r="C66" s="258">
        <v>80110</v>
      </c>
      <c r="D66" s="259"/>
      <c r="E66" s="260" t="s">
        <v>146</v>
      </c>
      <c r="F66" s="261">
        <f>F67</f>
        <v>1158000</v>
      </c>
      <c r="G66" s="262">
        <f>G67</f>
        <v>0</v>
      </c>
    </row>
    <row r="67" spans="1:7" ht="24" customHeight="1">
      <c r="A67" s="249">
        <v>33</v>
      </c>
      <c r="B67" s="301"/>
      <c r="C67" s="278"/>
      <c r="D67" s="317">
        <v>6050</v>
      </c>
      <c r="E67" s="285" t="s">
        <v>147</v>
      </c>
      <c r="F67" s="280">
        <f>1240000-82000</f>
        <v>1158000</v>
      </c>
      <c r="G67" s="281">
        <v>0</v>
      </c>
    </row>
    <row r="68" spans="1:7" ht="27" customHeight="1">
      <c r="A68" s="249"/>
      <c r="B68" s="301"/>
      <c r="C68" s="276">
        <v>80148</v>
      </c>
      <c r="D68" s="259"/>
      <c r="E68" s="260" t="s">
        <v>148</v>
      </c>
      <c r="F68" s="261">
        <f>SUM(F69:F71)</f>
        <v>16800</v>
      </c>
      <c r="G68" s="262">
        <f>SUM(G69:G71)</f>
        <v>0</v>
      </c>
    </row>
    <row r="69" spans="1:7" ht="22.5" customHeight="1">
      <c r="A69" s="249">
        <v>34</v>
      </c>
      <c r="B69" s="301"/>
      <c r="C69" s="276"/>
      <c r="D69" s="265">
        <v>6060</v>
      </c>
      <c r="E69" s="266" t="s">
        <v>149</v>
      </c>
      <c r="F69" s="280">
        <v>4300</v>
      </c>
      <c r="G69" s="281">
        <v>0</v>
      </c>
    </row>
    <row r="70" spans="1:7" ht="24" customHeight="1">
      <c r="A70" s="249">
        <v>35</v>
      </c>
      <c r="B70" s="301"/>
      <c r="C70" s="282"/>
      <c r="D70" s="265">
        <v>6060</v>
      </c>
      <c r="E70" s="266" t="s">
        <v>150</v>
      </c>
      <c r="F70" s="280">
        <v>7000</v>
      </c>
      <c r="G70" s="281">
        <v>0</v>
      </c>
    </row>
    <row r="71" spans="1:7" ht="21" customHeight="1">
      <c r="A71" s="249">
        <v>36</v>
      </c>
      <c r="B71" s="301"/>
      <c r="C71" s="278"/>
      <c r="D71" s="318">
        <v>6060</v>
      </c>
      <c r="E71" s="266" t="s">
        <v>151</v>
      </c>
      <c r="F71" s="280">
        <v>5500</v>
      </c>
      <c r="G71" s="281">
        <v>0</v>
      </c>
    </row>
    <row r="72" spans="1:7" ht="29.25" customHeight="1">
      <c r="A72" s="249"/>
      <c r="B72" s="308">
        <v>853</v>
      </c>
      <c r="C72" s="310"/>
      <c r="D72" s="318"/>
      <c r="E72" s="273" t="s">
        <v>152</v>
      </c>
      <c r="F72" s="274">
        <f>F73</f>
        <v>331002</v>
      </c>
      <c r="G72" s="275">
        <f>G73</f>
        <v>0</v>
      </c>
    </row>
    <row r="73" spans="1:7" ht="21.75" customHeight="1">
      <c r="A73" s="307"/>
      <c r="B73" s="308"/>
      <c r="C73" s="277">
        <v>85395</v>
      </c>
      <c r="D73" s="319"/>
      <c r="E73" s="260" t="s">
        <v>153</v>
      </c>
      <c r="F73" s="261">
        <f>SUM(F74:F75)</f>
        <v>331002</v>
      </c>
      <c r="G73" s="262">
        <f>G74</f>
        <v>0</v>
      </c>
    </row>
    <row r="74" spans="1:7" ht="30" customHeight="1">
      <c r="A74" s="223">
        <v>37</v>
      </c>
      <c r="B74" s="320"/>
      <c r="C74" s="257"/>
      <c r="D74" s="249">
        <v>6010</v>
      </c>
      <c r="E74" s="285" t="s">
        <v>154</v>
      </c>
      <c r="F74" s="267">
        <f>250000+1002</f>
        <v>251002</v>
      </c>
      <c r="G74" s="268">
        <v>0</v>
      </c>
    </row>
    <row r="75" spans="1:7" ht="40.5" customHeight="1">
      <c r="A75" s="223">
        <v>38</v>
      </c>
      <c r="B75" s="320"/>
      <c r="C75" s="257"/>
      <c r="D75" s="307">
        <v>6050</v>
      </c>
      <c r="E75" s="285" t="s">
        <v>319</v>
      </c>
      <c r="F75" s="267">
        <v>80000</v>
      </c>
      <c r="G75" s="268"/>
    </row>
    <row r="76" spans="1:7" ht="30" customHeight="1">
      <c r="A76" s="286"/>
      <c r="B76" s="250">
        <v>900</v>
      </c>
      <c r="C76" s="250"/>
      <c r="D76" s="251"/>
      <c r="E76" s="273" t="s">
        <v>155</v>
      </c>
      <c r="F76" s="274">
        <f>F77+F82+F80+F85</f>
        <v>27303886.96</v>
      </c>
      <c r="G76" s="275">
        <f>G77+G82+G80+G85</f>
        <v>6620884.090000001</v>
      </c>
    </row>
    <row r="77" spans="1:7" ht="27" customHeight="1">
      <c r="A77" s="286"/>
      <c r="B77" s="320"/>
      <c r="C77" s="282">
        <v>90002</v>
      </c>
      <c r="D77" s="284"/>
      <c r="E77" s="260" t="s">
        <v>156</v>
      </c>
      <c r="F77" s="261">
        <f>SUM(F78:F79)</f>
        <v>42000</v>
      </c>
      <c r="G77" s="262">
        <f>SUM(G78:G79)</f>
        <v>42000</v>
      </c>
    </row>
    <row r="78" spans="1:7" ht="21" customHeight="1">
      <c r="A78" s="705">
        <v>39</v>
      </c>
      <c r="B78" s="320"/>
      <c r="C78" s="308"/>
      <c r="D78" s="265">
        <v>6220</v>
      </c>
      <c r="E78" s="707" t="s">
        <v>157</v>
      </c>
      <c r="F78" s="322">
        <v>12000</v>
      </c>
      <c r="G78" s="323">
        <v>12000</v>
      </c>
    </row>
    <row r="79" spans="1:7" ht="18" customHeight="1">
      <c r="A79" s="706"/>
      <c r="B79" s="320"/>
      <c r="C79" s="324"/>
      <c r="D79" s="265">
        <v>6230</v>
      </c>
      <c r="E79" s="708"/>
      <c r="F79" s="322">
        <v>30000</v>
      </c>
      <c r="G79" s="323">
        <v>30000</v>
      </c>
    </row>
    <row r="80" spans="1:15" s="328" customFormat="1" ht="21.75" customHeight="1">
      <c r="A80" s="325"/>
      <c r="B80" s="282"/>
      <c r="C80" s="283">
        <v>90013</v>
      </c>
      <c r="D80" s="259"/>
      <c r="E80" s="519" t="s">
        <v>224</v>
      </c>
      <c r="F80" s="326">
        <f>F81</f>
        <v>57656</v>
      </c>
      <c r="G80" s="327">
        <f>G81</f>
        <v>0</v>
      </c>
      <c r="J80" s="329"/>
      <c r="K80" s="329"/>
      <c r="L80" s="329"/>
      <c r="M80" s="329"/>
      <c r="N80" s="329"/>
      <c r="O80" s="329"/>
    </row>
    <row r="81" spans="1:7" ht="36" customHeight="1">
      <c r="A81" s="234">
        <v>40</v>
      </c>
      <c r="B81" s="320"/>
      <c r="C81" s="320"/>
      <c r="D81" s="265">
        <v>6050</v>
      </c>
      <c r="E81" s="330" t="s">
        <v>158</v>
      </c>
      <c r="F81" s="322">
        <f>58000-344</f>
        <v>57656</v>
      </c>
      <c r="G81" s="323"/>
    </row>
    <row r="82" spans="1:7" ht="27.75" customHeight="1">
      <c r="A82" s="286"/>
      <c r="B82" s="320"/>
      <c r="C82" s="276">
        <v>90015</v>
      </c>
      <c r="D82" s="284"/>
      <c r="E82" s="260" t="s">
        <v>159</v>
      </c>
      <c r="F82" s="331">
        <f>F83+F84</f>
        <v>20000</v>
      </c>
      <c r="G82" s="262">
        <f>G84</f>
        <v>0</v>
      </c>
    </row>
    <row r="83" spans="1:15" s="315" customFormat="1" ht="27.75" customHeight="1">
      <c r="A83" s="249">
        <v>41</v>
      </c>
      <c r="B83" s="301"/>
      <c r="C83" s="302"/>
      <c r="D83" s="265">
        <v>6050</v>
      </c>
      <c r="E83" s="266" t="s">
        <v>160</v>
      </c>
      <c r="F83" s="280">
        <v>10000</v>
      </c>
      <c r="G83" s="281">
        <v>0</v>
      </c>
      <c r="J83" s="316"/>
      <c r="K83" s="316"/>
      <c r="L83" s="316"/>
      <c r="M83" s="316"/>
      <c r="N83" s="316"/>
      <c r="O83" s="316"/>
    </row>
    <row r="84" spans="1:7" ht="33" customHeight="1">
      <c r="A84" s="249">
        <v>42</v>
      </c>
      <c r="B84" s="301"/>
      <c r="C84" s="320"/>
      <c r="D84" s="265">
        <v>6050</v>
      </c>
      <c r="E84" s="332" t="s">
        <v>161</v>
      </c>
      <c r="F84" s="322">
        <v>10000</v>
      </c>
      <c r="G84" s="323">
        <v>0</v>
      </c>
    </row>
    <row r="85" spans="1:7" ht="26.25" customHeight="1">
      <c r="A85" s="249"/>
      <c r="B85" s="282"/>
      <c r="C85" s="283">
        <v>90095</v>
      </c>
      <c r="D85" s="284"/>
      <c r="E85" s="260" t="s">
        <v>117</v>
      </c>
      <c r="F85" s="261">
        <f>SUM(F86:F116)</f>
        <v>27184230.96</v>
      </c>
      <c r="G85" s="262">
        <f>SUM(G86:G116)</f>
        <v>6578884.090000001</v>
      </c>
    </row>
    <row r="86" spans="1:15" s="315" customFormat="1" ht="42.75" customHeight="1">
      <c r="A86" s="223">
        <v>43</v>
      </c>
      <c r="B86" s="333"/>
      <c r="C86" s="278"/>
      <c r="D86" s="265">
        <v>6010</v>
      </c>
      <c r="E86" s="295" t="s">
        <v>162</v>
      </c>
      <c r="F86" s="280">
        <v>70000</v>
      </c>
      <c r="G86" s="281">
        <v>70000</v>
      </c>
      <c r="J86" s="316"/>
      <c r="K86" s="316"/>
      <c r="L86" s="316"/>
      <c r="M86" s="316"/>
      <c r="N86" s="316"/>
      <c r="O86" s="316"/>
    </row>
    <row r="87" spans="1:15" s="315" customFormat="1" ht="33.75" customHeight="1">
      <c r="A87" s="223">
        <v>44</v>
      </c>
      <c r="B87" s="333"/>
      <c r="C87" s="278"/>
      <c r="D87" s="307">
        <v>6010</v>
      </c>
      <c r="E87" s="266" t="s">
        <v>163</v>
      </c>
      <c r="F87" s="280">
        <v>3470000</v>
      </c>
      <c r="G87" s="281">
        <v>3470000</v>
      </c>
      <c r="J87" s="316"/>
      <c r="K87" s="316"/>
      <c r="L87" s="316"/>
      <c r="M87" s="316"/>
      <c r="N87" s="316"/>
      <c r="O87" s="316"/>
    </row>
    <row r="88" spans="1:15" s="315" customFormat="1" ht="36" customHeight="1">
      <c r="A88" s="223">
        <v>45</v>
      </c>
      <c r="B88" s="333"/>
      <c r="C88" s="278"/>
      <c r="D88" s="265">
        <v>6010</v>
      </c>
      <c r="E88" s="266" t="s">
        <v>164</v>
      </c>
      <c r="F88" s="280">
        <v>350000</v>
      </c>
      <c r="G88" s="281">
        <v>350000</v>
      </c>
      <c r="J88" s="316"/>
      <c r="K88" s="316"/>
      <c r="L88" s="316"/>
      <c r="M88" s="316"/>
      <c r="N88" s="316"/>
      <c r="O88" s="316"/>
    </row>
    <row r="89" spans="1:15" s="315" customFormat="1" ht="58.5" customHeight="1">
      <c r="A89" s="223">
        <v>46</v>
      </c>
      <c r="B89" s="333"/>
      <c r="C89" s="278"/>
      <c r="D89" s="265">
        <v>6010</v>
      </c>
      <c r="E89" s="656" t="s">
        <v>165</v>
      </c>
      <c r="F89" s="280">
        <v>10000</v>
      </c>
      <c r="G89" s="281">
        <v>5000</v>
      </c>
      <c r="I89" s="501"/>
      <c r="J89" s="334"/>
      <c r="K89" s="316"/>
      <c r="L89" s="316"/>
      <c r="M89" s="316"/>
      <c r="N89" s="316"/>
      <c r="O89" s="316"/>
    </row>
    <row r="90" spans="1:15" s="315" customFormat="1" ht="54.75" customHeight="1">
      <c r="A90" s="223">
        <v>47</v>
      </c>
      <c r="B90" s="333"/>
      <c r="C90" s="278"/>
      <c r="D90" s="265">
        <v>6010</v>
      </c>
      <c r="E90" s="656" t="s">
        <v>166</v>
      </c>
      <c r="F90" s="280">
        <v>16000</v>
      </c>
      <c r="G90" s="281">
        <v>16000</v>
      </c>
      <c r="I90" s="501"/>
      <c r="J90" s="316"/>
      <c r="K90" s="316"/>
      <c r="L90" s="316"/>
      <c r="M90" s="316"/>
      <c r="N90" s="316"/>
      <c r="O90" s="316"/>
    </row>
    <row r="91" spans="1:15" s="315" customFormat="1" ht="42.75" customHeight="1">
      <c r="A91" s="223">
        <v>48</v>
      </c>
      <c r="B91" s="333"/>
      <c r="C91" s="278"/>
      <c r="D91" s="265">
        <v>6010</v>
      </c>
      <c r="E91" s="656" t="s">
        <v>167</v>
      </c>
      <c r="F91" s="280">
        <f>36000-19669.26</f>
        <v>16330.740000000002</v>
      </c>
      <c r="G91" s="281">
        <f>30000-17903.03</f>
        <v>12096.970000000001</v>
      </c>
      <c r="I91" s="501"/>
      <c r="J91" s="316"/>
      <c r="K91" s="316"/>
      <c r="L91" s="316"/>
      <c r="M91" s="316"/>
      <c r="N91" s="316"/>
      <c r="O91" s="316"/>
    </row>
    <row r="92" spans="1:15" s="315" customFormat="1" ht="42.75" customHeight="1">
      <c r="A92" s="223">
        <v>49</v>
      </c>
      <c r="B92" s="333"/>
      <c r="C92" s="278"/>
      <c r="D92" s="265">
        <v>6010</v>
      </c>
      <c r="E92" s="656" t="s">
        <v>8</v>
      </c>
      <c r="F92" s="280">
        <v>30000</v>
      </c>
      <c r="G92" s="281"/>
      <c r="I92" s="501"/>
      <c r="J92" s="316"/>
      <c r="K92" s="316"/>
      <c r="L92" s="316"/>
      <c r="M92" s="316"/>
      <c r="N92" s="316"/>
      <c r="O92" s="316"/>
    </row>
    <row r="93" spans="1:15" s="315" customFormat="1" ht="42.75" customHeight="1">
      <c r="A93" s="223">
        <v>50</v>
      </c>
      <c r="B93" s="333"/>
      <c r="C93" s="278"/>
      <c r="D93" s="265">
        <v>6010</v>
      </c>
      <c r="E93" s="656" t="s">
        <v>168</v>
      </c>
      <c r="F93" s="280">
        <v>70000</v>
      </c>
      <c r="G93" s="281"/>
      <c r="I93" s="501"/>
      <c r="J93" s="316"/>
      <c r="K93" s="316"/>
      <c r="L93" s="316"/>
      <c r="M93" s="316"/>
      <c r="N93" s="316"/>
      <c r="O93" s="316"/>
    </row>
    <row r="94" spans="1:15" s="315" customFormat="1" ht="42.75" customHeight="1">
      <c r="A94" s="223">
        <v>51</v>
      </c>
      <c r="B94" s="333"/>
      <c r="C94" s="278"/>
      <c r="D94" s="265">
        <v>6010</v>
      </c>
      <c r="E94" s="656" t="s">
        <v>169</v>
      </c>
      <c r="F94" s="280">
        <v>40000</v>
      </c>
      <c r="G94" s="281"/>
      <c r="I94" s="501"/>
      <c r="J94" s="316"/>
      <c r="K94" s="316"/>
      <c r="L94" s="316"/>
      <c r="M94" s="316"/>
      <c r="N94" s="316"/>
      <c r="O94" s="316"/>
    </row>
    <row r="95" spans="1:15" s="315" customFormat="1" ht="38.25" customHeight="1">
      <c r="A95" s="223">
        <v>52</v>
      </c>
      <c r="B95" s="333"/>
      <c r="C95" s="278"/>
      <c r="D95" s="265">
        <v>6010</v>
      </c>
      <c r="E95" s="656" t="s">
        <v>170</v>
      </c>
      <c r="F95" s="280">
        <f>10000-958.08</f>
        <v>9041.92</v>
      </c>
      <c r="G95" s="281"/>
      <c r="I95" s="501"/>
      <c r="J95" s="316"/>
      <c r="K95" s="316"/>
      <c r="L95" s="316"/>
      <c r="M95" s="316"/>
      <c r="N95" s="316"/>
      <c r="O95" s="316"/>
    </row>
    <row r="96" spans="1:15" s="315" customFormat="1" ht="36.75" customHeight="1">
      <c r="A96" s="223">
        <v>53</v>
      </c>
      <c r="B96" s="333"/>
      <c r="C96" s="278"/>
      <c r="D96" s="265">
        <v>6010</v>
      </c>
      <c r="E96" s="656" t="s">
        <v>171</v>
      </c>
      <c r="F96" s="280">
        <v>30000</v>
      </c>
      <c r="G96" s="281">
        <v>30000</v>
      </c>
      <c r="I96" s="501"/>
      <c r="J96" s="316"/>
      <c r="K96" s="316"/>
      <c r="L96" s="316"/>
      <c r="M96" s="316"/>
      <c r="N96" s="316"/>
      <c r="O96" s="316"/>
    </row>
    <row r="97" spans="1:15" s="315" customFormat="1" ht="36.75" customHeight="1">
      <c r="A97" s="223">
        <v>54</v>
      </c>
      <c r="B97" s="333"/>
      <c r="C97" s="278"/>
      <c r="D97" s="265">
        <v>6010</v>
      </c>
      <c r="E97" s="337" t="s">
        <v>225</v>
      </c>
      <c r="F97" s="280">
        <v>10000</v>
      </c>
      <c r="G97" s="281">
        <v>3500</v>
      </c>
      <c r="I97" s="501"/>
      <c r="J97" s="316"/>
      <c r="K97" s="316"/>
      <c r="L97" s="316"/>
      <c r="M97" s="316"/>
      <c r="N97" s="316"/>
      <c r="O97" s="316"/>
    </row>
    <row r="98" spans="1:15" s="315" customFormat="1" ht="36.75" customHeight="1">
      <c r="A98" s="223">
        <v>55</v>
      </c>
      <c r="B98" s="333"/>
      <c r="C98" s="278"/>
      <c r="D98" s="265">
        <v>6010</v>
      </c>
      <c r="E98" s="337" t="s">
        <v>226</v>
      </c>
      <c r="F98" s="280">
        <v>170880</v>
      </c>
      <c r="G98" s="281">
        <v>163300</v>
      </c>
      <c r="I98" s="501"/>
      <c r="J98" s="316"/>
      <c r="K98" s="316"/>
      <c r="L98" s="316"/>
      <c r="M98" s="316"/>
      <c r="N98" s="316"/>
      <c r="O98" s="316"/>
    </row>
    <row r="99" spans="1:15" s="315" customFormat="1" ht="36.75" customHeight="1">
      <c r="A99" s="223">
        <v>56</v>
      </c>
      <c r="B99" s="333"/>
      <c r="C99" s="278"/>
      <c r="D99" s="265">
        <v>6050</v>
      </c>
      <c r="E99" s="337" t="s">
        <v>320</v>
      </c>
      <c r="F99" s="280">
        <v>200000</v>
      </c>
      <c r="G99" s="281">
        <v>200000</v>
      </c>
      <c r="I99" s="501"/>
      <c r="J99" s="316"/>
      <c r="K99" s="316"/>
      <c r="L99" s="316"/>
      <c r="M99" s="316"/>
      <c r="N99" s="316"/>
      <c r="O99" s="316"/>
    </row>
    <row r="100" spans="1:15" s="315" customFormat="1" ht="37.5" customHeight="1">
      <c r="A100" s="223">
        <v>57</v>
      </c>
      <c r="B100" s="333"/>
      <c r="C100" s="278"/>
      <c r="D100" s="265">
        <v>6050</v>
      </c>
      <c r="E100" s="266" t="s">
        <v>172</v>
      </c>
      <c r="F100" s="280">
        <f>471500-2700+3060+8979</f>
        <v>480839</v>
      </c>
      <c r="G100" s="281">
        <f>471500-2700</f>
        <v>468800</v>
      </c>
      <c r="J100" s="316"/>
      <c r="K100" s="316"/>
      <c r="L100" s="316"/>
      <c r="M100" s="316"/>
      <c r="N100" s="316"/>
      <c r="O100" s="316"/>
    </row>
    <row r="101" spans="1:15" s="315" customFormat="1" ht="49.5" customHeight="1">
      <c r="A101" s="223">
        <v>58</v>
      </c>
      <c r="B101" s="333"/>
      <c r="C101" s="278"/>
      <c r="D101" s="265">
        <v>6050</v>
      </c>
      <c r="E101" s="266" t="s">
        <v>173</v>
      </c>
      <c r="F101" s="280">
        <f>130000-6700-50000</f>
        <v>73300</v>
      </c>
      <c r="G101" s="281">
        <v>0</v>
      </c>
      <c r="J101" s="316"/>
      <c r="K101" s="316"/>
      <c r="L101" s="316"/>
      <c r="M101" s="316"/>
      <c r="N101" s="316"/>
      <c r="O101" s="316"/>
    </row>
    <row r="102" spans="1:15" s="315" customFormat="1" ht="41.25" customHeight="1">
      <c r="A102" s="223">
        <v>59</v>
      </c>
      <c r="B102" s="333"/>
      <c r="C102" s="278"/>
      <c r="D102" s="265">
        <v>6050</v>
      </c>
      <c r="E102" s="266" t="s">
        <v>174</v>
      </c>
      <c r="F102" s="280">
        <v>47000</v>
      </c>
      <c r="G102" s="281">
        <v>47000</v>
      </c>
      <c r="J102" s="334"/>
      <c r="K102" s="334"/>
      <c r="L102" s="334"/>
      <c r="M102" s="316"/>
      <c r="N102" s="316"/>
      <c r="O102" s="316"/>
    </row>
    <row r="103" spans="1:12" ht="30.75" customHeight="1">
      <c r="A103" s="223">
        <v>60</v>
      </c>
      <c r="B103" s="335"/>
      <c r="C103" s="282"/>
      <c r="D103" s="265">
        <v>6050</v>
      </c>
      <c r="E103" s="266" t="s">
        <v>175</v>
      </c>
      <c r="F103" s="280">
        <f>1825000-8300+18450</f>
        <v>1835150</v>
      </c>
      <c r="G103" s="281">
        <v>0</v>
      </c>
      <c r="J103" s="336"/>
      <c r="K103" s="336"/>
      <c r="L103" s="336"/>
    </row>
    <row r="104" spans="1:12" ht="37.5" customHeight="1">
      <c r="A104" s="223">
        <v>61</v>
      </c>
      <c r="B104" s="335"/>
      <c r="C104" s="282"/>
      <c r="D104" s="265">
        <v>6050</v>
      </c>
      <c r="E104" s="266" t="s">
        <v>176</v>
      </c>
      <c r="F104" s="280">
        <f>200000-3047</f>
        <v>196953</v>
      </c>
      <c r="G104" s="281">
        <v>0</v>
      </c>
      <c r="J104" s="336"/>
      <c r="K104" s="336"/>
      <c r="L104" s="336"/>
    </row>
    <row r="105" spans="1:12" ht="34.5" customHeight="1">
      <c r="A105" s="223">
        <v>62</v>
      </c>
      <c r="B105" s="335"/>
      <c r="C105" s="282"/>
      <c r="D105" s="265">
        <v>6050</v>
      </c>
      <c r="E105" s="266" t="s">
        <v>177</v>
      </c>
      <c r="F105" s="280">
        <v>35000</v>
      </c>
      <c r="G105" s="281">
        <v>35000</v>
      </c>
      <c r="J105" s="336"/>
      <c r="K105" s="336"/>
      <c r="L105" s="336"/>
    </row>
    <row r="106" spans="1:12" ht="28.5" customHeight="1">
      <c r="A106" s="223">
        <v>63</v>
      </c>
      <c r="B106" s="335"/>
      <c r="C106" s="282"/>
      <c r="D106" s="265">
        <v>6050</v>
      </c>
      <c r="E106" s="266" t="s">
        <v>178</v>
      </c>
      <c r="F106" s="280">
        <f>78800-7515+7515-65</f>
        <v>78735</v>
      </c>
      <c r="G106" s="281"/>
      <c r="J106" s="336"/>
      <c r="K106" s="336"/>
      <c r="L106" s="336"/>
    </row>
    <row r="107" spans="1:12" ht="34.5" customHeight="1">
      <c r="A107" s="223">
        <v>64</v>
      </c>
      <c r="B107" s="335"/>
      <c r="C107" s="282"/>
      <c r="D107" s="265">
        <v>6050</v>
      </c>
      <c r="E107" s="266" t="s">
        <v>179</v>
      </c>
      <c r="F107" s="280">
        <f>15500-248</f>
        <v>15252</v>
      </c>
      <c r="G107" s="281"/>
      <c r="J107" s="336"/>
      <c r="K107" s="336"/>
      <c r="L107" s="336"/>
    </row>
    <row r="108" spans="1:10" ht="29.25" customHeight="1">
      <c r="A108" s="223">
        <v>65</v>
      </c>
      <c r="B108" s="335"/>
      <c r="C108" s="282"/>
      <c r="D108" s="265">
        <v>6050</v>
      </c>
      <c r="E108" s="266" t="s">
        <v>180</v>
      </c>
      <c r="F108" s="280">
        <f>16200+29999</f>
        <v>46199</v>
      </c>
      <c r="G108" s="262">
        <v>0</v>
      </c>
      <c r="J108" s="336"/>
    </row>
    <row r="109" spans="1:10" ht="29.25" customHeight="1">
      <c r="A109" s="223">
        <v>66</v>
      </c>
      <c r="B109" s="335"/>
      <c r="C109" s="282"/>
      <c r="D109" s="265">
        <v>6050</v>
      </c>
      <c r="E109" s="337" t="s">
        <v>82</v>
      </c>
      <c r="F109" s="280">
        <v>200000</v>
      </c>
      <c r="G109" s="281">
        <v>156000</v>
      </c>
      <c r="I109" s="338"/>
      <c r="J109" s="336"/>
    </row>
    <row r="110" spans="1:10" ht="45.75" customHeight="1">
      <c r="A110" s="223">
        <v>67</v>
      </c>
      <c r="B110" s="335"/>
      <c r="C110" s="282"/>
      <c r="D110" s="265">
        <v>6050</v>
      </c>
      <c r="E110" s="337" t="s">
        <v>181</v>
      </c>
      <c r="F110" s="280">
        <f>20000-5200</f>
        <v>14800</v>
      </c>
      <c r="G110" s="281"/>
      <c r="I110" s="338"/>
      <c r="J110" s="336"/>
    </row>
    <row r="111" spans="1:15" s="45" customFormat="1" ht="29.25" customHeight="1">
      <c r="A111" s="223">
        <v>68</v>
      </c>
      <c r="B111" s="335"/>
      <c r="C111" s="282"/>
      <c r="D111" s="265">
        <v>6050</v>
      </c>
      <c r="E111" s="520" t="s">
        <v>300</v>
      </c>
      <c r="F111" s="691">
        <f>100000-92989</f>
        <v>7011</v>
      </c>
      <c r="G111" s="281"/>
      <c r="I111" s="500"/>
      <c r="J111" s="371"/>
      <c r="K111" s="372"/>
      <c r="L111" s="372"/>
      <c r="M111" s="372"/>
      <c r="N111" s="372"/>
      <c r="O111" s="372"/>
    </row>
    <row r="112" spans="1:9" ht="66" customHeight="1">
      <c r="A112" s="223">
        <v>69</v>
      </c>
      <c r="B112" s="335"/>
      <c r="C112" s="282"/>
      <c r="D112" s="265">
        <v>6050</v>
      </c>
      <c r="E112" s="321" t="s">
        <v>182</v>
      </c>
      <c r="F112" s="322">
        <f>360000-9700-16</f>
        <v>350284</v>
      </c>
      <c r="G112" s="323">
        <v>0</v>
      </c>
      <c r="I112" s="255"/>
    </row>
    <row r="113" spans="1:10" ht="25.5" customHeight="1">
      <c r="A113" s="705">
        <v>70</v>
      </c>
      <c r="B113" s="335"/>
      <c r="C113" s="282"/>
      <c r="D113" s="265">
        <v>6050</v>
      </c>
      <c r="E113" s="711" t="s">
        <v>81</v>
      </c>
      <c r="F113" s="692">
        <f>5350.5+130000+650000-108150</f>
        <v>677200.5</v>
      </c>
      <c r="G113" s="323"/>
      <c r="J113" s="336"/>
    </row>
    <row r="114" spans="1:9" ht="23.25" customHeight="1">
      <c r="A114" s="709"/>
      <c r="B114" s="335"/>
      <c r="C114" s="282"/>
      <c r="D114" s="265">
        <v>6057</v>
      </c>
      <c r="E114" s="712"/>
      <c r="F114" s="296">
        <f>10913694.17+1463846.37</f>
        <v>12377540.54</v>
      </c>
      <c r="G114" s="281">
        <v>0</v>
      </c>
      <c r="H114" s="338">
        <f>F114+F115</f>
        <v>17964254.799999997</v>
      </c>
      <c r="I114" s="338"/>
    </row>
    <row r="115" spans="1:9" ht="20.25" customHeight="1">
      <c r="A115" s="710"/>
      <c r="B115" s="335"/>
      <c r="C115" s="282"/>
      <c r="D115" s="265">
        <v>6059</v>
      </c>
      <c r="E115" s="708"/>
      <c r="F115" s="296">
        <f>882187.12+4704527.14</f>
        <v>5586714.26</v>
      </c>
      <c r="G115" s="281">
        <v>882187.12</v>
      </c>
      <c r="I115" s="338"/>
    </row>
    <row r="116" spans="1:7" ht="30.75" customHeight="1">
      <c r="A116" s="234">
        <v>71</v>
      </c>
      <c r="B116" s="335"/>
      <c r="C116" s="282"/>
      <c r="D116" s="265">
        <v>6230</v>
      </c>
      <c r="E116" s="525" t="s">
        <v>183</v>
      </c>
      <c r="F116" s="322">
        <f>150000+500000+20000</f>
        <v>670000</v>
      </c>
      <c r="G116" s="323">
        <f>150000+500000+20000</f>
        <v>670000</v>
      </c>
    </row>
    <row r="117" spans="1:15" s="342" customFormat="1" ht="29.25" customHeight="1">
      <c r="A117" s="286"/>
      <c r="B117" s="339">
        <v>921</v>
      </c>
      <c r="C117" s="339"/>
      <c r="D117" s="286"/>
      <c r="E117" s="340" t="s">
        <v>184</v>
      </c>
      <c r="F117" s="341">
        <f>F118+F120</f>
        <v>860000</v>
      </c>
      <c r="G117" s="379">
        <f>G118+G120</f>
        <v>450000</v>
      </c>
      <c r="J117" s="343"/>
      <c r="K117" s="343"/>
      <c r="L117" s="343"/>
      <c r="M117" s="343"/>
      <c r="N117" s="343"/>
      <c r="O117" s="343"/>
    </row>
    <row r="118" spans="1:15" s="328" customFormat="1" ht="29.25" customHeight="1">
      <c r="A118" s="344" t="s">
        <v>13</v>
      </c>
      <c r="B118" s="345"/>
      <c r="C118" s="346">
        <v>92109</v>
      </c>
      <c r="D118" s="347"/>
      <c r="E118" s="348" t="s">
        <v>185</v>
      </c>
      <c r="F118" s="349">
        <f>F119</f>
        <v>854000</v>
      </c>
      <c r="G118" s="350">
        <f>G119</f>
        <v>450000</v>
      </c>
      <c r="J118" s="329"/>
      <c r="K118" s="329"/>
      <c r="L118" s="329"/>
      <c r="M118" s="329"/>
      <c r="N118" s="329"/>
      <c r="O118" s="329"/>
    </row>
    <row r="119" spans="1:7" ht="34.5" customHeight="1">
      <c r="A119" s="223">
        <v>72</v>
      </c>
      <c r="B119" s="351"/>
      <c r="C119" s="352"/>
      <c r="D119" s="317">
        <v>6050</v>
      </c>
      <c r="E119" s="332" t="s">
        <v>186</v>
      </c>
      <c r="F119" s="322">
        <f>850000+30000-26000</f>
        <v>854000</v>
      </c>
      <c r="G119" s="323">
        <v>450000</v>
      </c>
    </row>
    <row r="120" spans="1:7" ht="21.75" customHeight="1">
      <c r="A120" s="223"/>
      <c r="B120" s="351"/>
      <c r="C120" s="353">
        <v>92195</v>
      </c>
      <c r="D120" s="317"/>
      <c r="E120" s="354" t="s">
        <v>117</v>
      </c>
      <c r="F120" s="322">
        <f>F121</f>
        <v>6000</v>
      </c>
      <c r="G120" s="323">
        <f>G121</f>
        <v>0</v>
      </c>
    </row>
    <row r="121" spans="1:7" ht="28.5" customHeight="1">
      <c r="A121" s="223">
        <v>73</v>
      </c>
      <c r="B121" s="351"/>
      <c r="C121" s="352"/>
      <c r="D121" s="317">
        <v>6050</v>
      </c>
      <c r="E121" s="332" t="s">
        <v>187</v>
      </c>
      <c r="F121" s="322">
        <v>6000</v>
      </c>
      <c r="G121" s="323"/>
    </row>
    <row r="122" spans="1:7" ht="30" customHeight="1">
      <c r="A122" s="223"/>
      <c r="B122" s="339">
        <v>926</v>
      </c>
      <c r="C122" s="250"/>
      <c r="D122" s="286"/>
      <c r="E122" s="355" t="s">
        <v>188</v>
      </c>
      <c r="F122" s="356">
        <f>F123+F125</f>
        <v>82040</v>
      </c>
      <c r="G122" s="323"/>
    </row>
    <row r="123" spans="1:7" ht="30" customHeight="1">
      <c r="A123" s="264"/>
      <c r="B123" s="358"/>
      <c r="C123" s="299">
        <v>92601</v>
      </c>
      <c r="D123" s="299"/>
      <c r="E123" s="357" t="s">
        <v>189</v>
      </c>
      <c r="F123" s="322">
        <f>F124</f>
        <v>40000</v>
      </c>
      <c r="G123" s="323"/>
    </row>
    <row r="124" spans="1:7" ht="30" customHeight="1">
      <c r="A124" s="264">
        <v>74</v>
      </c>
      <c r="B124" s="358"/>
      <c r="C124" s="223"/>
      <c r="D124" s="359">
        <v>6050</v>
      </c>
      <c r="E124" s="360" t="s">
        <v>315</v>
      </c>
      <c r="F124" s="322">
        <v>40000</v>
      </c>
      <c r="G124" s="323"/>
    </row>
    <row r="125" spans="1:15" s="328" customFormat="1" ht="27.75" customHeight="1">
      <c r="A125" s="325"/>
      <c r="B125" s="410"/>
      <c r="C125" s="299">
        <v>92604</v>
      </c>
      <c r="D125" s="411"/>
      <c r="E125" s="412" t="s">
        <v>227</v>
      </c>
      <c r="F125" s="326">
        <f>F126+F127</f>
        <v>42040</v>
      </c>
      <c r="G125" s="327"/>
      <c r="J125" s="329"/>
      <c r="K125" s="329"/>
      <c r="L125" s="329"/>
      <c r="M125" s="329"/>
      <c r="N125" s="329"/>
      <c r="O125" s="329"/>
    </row>
    <row r="126" spans="1:15" s="315" customFormat="1" ht="27.75" customHeight="1">
      <c r="A126" s="234">
        <v>75</v>
      </c>
      <c r="B126" s="358"/>
      <c r="C126" s="264"/>
      <c r="D126" s="359">
        <v>6060</v>
      </c>
      <c r="E126" s="413" t="s">
        <v>386</v>
      </c>
      <c r="F126" s="322">
        <v>30000</v>
      </c>
      <c r="G126" s="323"/>
      <c r="J126" s="316"/>
      <c r="K126" s="316"/>
      <c r="L126" s="316"/>
      <c r="M126" s="316"/>
      <c r="N126" s="316"/>
      <c r="O126" s="316"/>
    </row>
    <row r="127" spans="1:7" ht="31.5" customHeight="1">
      <c r="A127" s="234">
        <v>76</v>
      </c>
      <c r="B127" s="358"/>
      <c r="C127" s="264"/>
      <c r="D127" s="249">
        <v>6060</v>
      </c>
      <c r="E127" s="413" t="s">
        <v>228</v>
      </c>
      <c r="F127" s="322">
        <f>15000-2960</f>
        <v>12040</v>
      </c>
      <c r="G127" s="323"/>
    </row>
    <row r="128" spans="1:10" ht="30" customHeight="1">
      <c r="A128" s="234"/>
      <c r="B128" s="361" t="s">
        <v>190</v>
      </c>
      <c r="C128" s="362"/>
      <c r="D128" s="307"/>
      <c r="E128" s="363"/>
      <c r="F128" s="253">
        <f>F129+F140+F144+F147+F153+F156+F167+F170+F173</f>
        <v>9969098.3</v>
      </c>
      <c r="G128" s="253">
        <f>G129+G140+G144+G147+G153+G156+G167+G170+G173</f>
        <v>498009.64</v>
      </c>
      <c r="J128" s="241"/>
    </row>
    <row r="129" spans="1:10" ht="26.25" customHeight="1">
      <c r="A129" s="286"/>
      <c r="B129" s="308">
        <v>600</v>
      </c>
      <c r="C129" s="250"/>
      <c r="D129" s="251"/>
      <c r="E129" s="273" t="s">
        <v>108</v>
      </c>
      <c r="F129" s="274">
        <f>F130+F132</f>
        <v>8437911.8</v>
      </c>
      <c r="G129" s="275">
        <f>G132</f>
        <v>495309.64</v>
      </c>
      <c r="J129" s="256"/>
    </row>
    <row r="130" spans="1:15" s="328" customFormat="1" ht="26.25" customHeight="1">
      <c r="A130" s="364"/>
      <c r="B130" s="365"/>
      <c r="C130" s="283">
        <v>60013</v>
      </c>
      <c r="D130" s="259"/>
      <c r="E130" s="260" t="s">
        <v>191</v>
      </c>
      <c r="F130" s="261">
        <f>F131</f>
        <v>250000</v>
      </c>
      <c r="G130" s="366"/>
      <c r="J130" s="367"/>
      <c r="K130" s="329"/>
      <c r="L130" s="329"/>
      <c r="M130" s="329"/>
      <c r="N130" s="329"/>
      <c r="O130" s="329"/>
    </row>
    <row r="131" spans="1:10" ht="63" customHeight="1">
      <c r="A131" s="249">
        <v>77</v>
      </c>
      <c r="B131" s="308"/>
      <c r="C131" s="250"/>
      <c r="D131" s="249">
        <v>6300</v>
      </c>
      <c r="E131" s="368" t="s">
        <v>192</v>
      </c>
      <c r="F131" s="322">
        <f>95000+155000</f>
        <v>250000</v>
      </c>
      <c r="G131" s="323"/>
      <c r="J131" s="256"/>
    </row>
    <row r="132" spans="1:10" ht="27" customHeight="1">
      <c r="A132" s="249"/>
      <c r="B132" s="276"/>
      <c r="C132" s="283">
        <v>60015</v>
      </c>
      <c r="D132" s="259"/>
      <c r="E132" s="260" t="s">
        <v>193</v>
      </c>
      <c r="F132" s="261">
        <f>SUM(F133:F139)</f>
        <v>8187911.8</v>
      </c>
      <c r="G132" s="262">
        <f>SUM(G133:G139)</f>
        <v>495309.64</v>
      </c>
      <c r="J132" s="336"/>
    </row>
    <row r="133" spans="1:15" s="45" customFormat="1" ht="30.75" customHeight="1">
      <c r="A133" s="249">
        <v>78</v>
      </c>
      <c r="B133" s="369"/>
      <c r="C133" s="278"/>
      <c r="D133" s="265">
        <v>6050</v>
      </c>
      <c r="E133" s="295" t="s">
        <v>194</v>
      </c>
      <c r="F133" s="521">
        <f>9655000-155000+3906793.48-7997793.48</f>
        <v>5409000</v>
      </c>
      <c r="G133" s="522">
        <f>473012.76-473012.76</f>
        <v>0</v>
      </c>
      <c r="J133" s="371"/>
      <c r="K133" s="372"/>
      <c r="L133" s="372"/>
      <c r="M133" s="372"/>
      <c r="N133" s="372"/>
      <c r="O133" s="372"/>
    </row>
    <row r="134" spans="1:15" s="45" customFormat="1" ht="28.5" customHeight="1">
      <c r="A134" s="249">
        <v>79</v>
      </c>
      <c r="B134" s="369"/>
      <c r="C134" s="278"/>
      <c r="D134" s="265">
        <v>6050</v>
      </c>
      <c r="E134" s="295" t="s">
        <v>195</v>
      </c>
      <c r="F134" s="322">
        <f>400000-3500</f>
        <v>396500</v>
      </c>
      <c r="G134" s="323">
        <f>22305.88-9</f>
        <v>22296.88</v>
      </c>
      <c r="J134" s="371"/>
      <c r="K134" s="372"/>
      <c r="L134" s="372"/>
      <c r="M134" s="372"/>
      <c r="N134" s="372"/>
      <c r="O134" s="372"/>
    </row>
    <row r="135" spans="1:15" s="45" customFormat="1" ht="26.25" customHeight="1">
      <c r="A135" s="249">
        <v>80</v>
      </c>
      <c r="B135" s="369"/>
      <c r="C135" s="278"/>
      <c r="D135" s="517">
        <v>6050</v>
      </c>
      <c r="E135" s="523" t="s">
        <v>316</v>
      </c>
      <c r="F135" s="524">
        <f>36000+2000000</f>
        <v>2036000</v>
      </c>
      <c r="G135" s="522">
        <v>473012.76</v>
      </c>
      <c r="J135" s="371"/>
      <c r="K135" s="372"/>
      <c r="L135" s="372"/>
      <c r="M135" s="372"/>
      <c r="N135" s="372"/>
      <c r="O135" s="372"/>
    </row>
    <row r="136" spans="1:15" s="45" customFormat="1" ht="32.25" customHeight="1">
      <c r="A136" s="249">
        <v>81</v>
      </c>
      <c r="B136" s="369"/>
      <c r="C136" s="278"/>
      <c r="D136" s="265">
        <v>6050</v>
      </c>
      <c r="E136" s="373" t="s">
        <v>196</v>
      </c>
      <c r="F136" s="524">
        <v>20000</v>
      </c>
      <c r="G136" s="522"/>
      <c r="J136" s="371"/>
      <c r="K136" s="372"/>
      <c r="L136" s="372"/>
      <c r="M136" s="372"/>
      <c r="N136" s="372"/>
      <c r="O136" s="372"/>
    </row>
    <row r="137" spans="1:15" s="45" customFormat="1" ht="33" customHeight="1">
      <c r="A137" s="249">
        <v>82</v>
      </c>
      <c r="B137" s="369"/>
      <c r="C137" s="278"/>
      <c r="D137" s="265">
        <v>6050</v>
      </c>
      <c r="E137" s="266" t="s">
        <v>197</v>
      </c>
      <c r="F137" s="322">
        <v>60712.8</v>
      </c>
      <c r="G137" s="323"/>
      <c r="J137" s="371"/>
      <c r="K137" s="372"/>
      <c r="L137" s="372"/>
      <c r="M137" s="372"/>
      <c r="N137" s="372"/>
      <c r="O137" s="372"/>
    </row>
    <row r="138" spans="1:15" s="45" customFormat="1" ht="62.25" customHeight="1">
      <c r="A138" s="249">
        <v>83</v>
      </c>
      <c r="B138" s="369"/>
      <c r="C138" s="278"/>
      <c r="D138" s="249">
        <v>6050</v>
      </c>
      <c r="E138" s="285" t="s">
        <v>318</v>
      </c>
      <c r="F138" s="322">
        <v>55000</v>
      </c>
      <c r="G138" s="323"/>
      <c r="J138" s="371"/>
      <c r="K138" s="372"/>
      <c r="L138" s="372"/>
      <c r="M138" s="372"/>
      <c r="N138" s="372"/>
      <c r="O138" s="372"/>
    </row>
    <row r="139" spans="1:15" s="45" customFormat="1" ht="54.75" customHeight="1">
      <c r="A139" s="249">
        <v>84</v>
      </c>
      <c r="B139" s="369"/>
      <c r="C139" s="278"/>
      <c r="D139" s="234">
        <v>6050</v>
      </c>
      <c r="E139" s="374" t="s">
        <v>198</v>
      </c>
      <c r="F139" s="322">
        <f>400000-189301</f>
        <v>210699</v>
      </c>
      <c r="G139" s="323"/>
      <c r="J139" s="371"/>
      <c r="K139" s="372"/>
      <c r="L139" s="375"/>
      <c r="M139" s="372"/>
      <c r="N139" s="372"/>
      <c r="O139" s="372"/>
    </row>
    <row r="140" spans="1:15" s="380" customFormat="1" ht="25.5" customHeight="1">
      <c r="A140" s="286"/>
      <c r="B140" s="376">
        <v>630</v>
      </c>
      <c r="C140" s="250"/>
      <c r="D140" s="377"/>
      <c r="E140" s="378" t="s">
        <v>199</v>
      </c>
      <c r="F140" s="341">
        <f>F141</f>
        <v>772810</v>
      </c>
      <c r="G140" s="379">
        <f>G141</f>
        <v>2700</v>
      </c>
      <c r="J140" s="381"/>
      <c r="K140" s="382"/>
      <c r="L140" s="382"/>
      <c r="M140" s="382"/>
      <c r="N140" s="382"/>
      <c r="O140" s="382"/>
    </row>
    <row r="141" spans="1:15" s="384" customFormat="1" ht="21" customHeight="1">
      <c r="A141" s="249"/>
      <c r="B141" s="294"/>
      <c r="C141" s="283">
        <v>63095</v>
      </c>
      <c r="D141" s="383"/>
      <c r="E141" s="354" t="s">
        <v>117</v>
      </c>
      <c r="F141" s="349">
        <f>SUM(F142:F143)</f>
        <v>772810</v>
      </c>
      <c r="G141" s="350">
        <f>SUM(G142:G143)</f>
        <v>2700</v>
      </c>
      <c r="J141" s="385"/>
      <c r="K141" s="386"/>
      <c r="L141" s="386"/>
      <c r="M141" s="386"/>
      <c r="N141" s="386"/>
      <c r="O141" s="386"/>
    </row>
    <row r="142" spans="1:15" s="390" customFormat="1" ht="21" customHeight="1">
      <c r="A142" s="249">
        <v>85</v>
      </c>
      <c r="B142" s="369"/>
      <c r="C142" s="278"/>
      <c r="D142" s="387">
        <v>6050</v>
      </c>
      <c r="E142" s="295" t="s">
        <v>229</v>
      </c>
      <c r="F142" s="388">
        <v>24000</v>
      </c>
      <c r="G142" s="389"/>
      <c r="J142" s="391"/>
      <c r="K142" s="392"/>
      <c r="L142" s="392"/>
      <c r="M142" s="392"/>
      <c r="N142" s="392"/>
      <c r="O142" s="392"/>
    </row>
    <row r="143" spans="1:15" s="384" customFormat="1" ht="31.5" customHeight="1">
      <c r="A143" s="249">
        <v>86</v>
      </c>
      <c r="B143" s="294"/>
      <c r="C143" s="282"/>
      <c r="D143" s="265">
        <v>6050</v>
      </c>
      <c r="E143" s="295" t="s">
        <v>200</v>
      </c>
      <c r="F143" s="524">
        <f>680000+100+2700+10+66000</f>
        <v>748810</v>
      </c>
      <c r="G143" s="323">
        <v>2700</v>
      </c>
      <c r="J143" s="385"/>
      <c r="K143" s="386"/>
      <c r="L143" s="386"/>
      <c r="M143" s="386"/>
      <c r="N143" s="386"/>
      <c r="O143" s="386"/>
    </row>
    <row r="144" spans="1:15" s="384" customFormat="1" ht="25.5" customHeight="1">
      <c r="A144" s="249"/>
      <c r="B144" s="376">
        <v>710</v>
      </c>
      <c r="C144" s="250"/>
      <c r="D144" s="377"/>
      <c r="E144" s="378" t="s">
        <v>201</v>
      </c>
      <c r="F144" s="341">
        <f>F145</f>
        <v>20000</v>
      </c>
      <c r="G144" s="379">
        <f>G145</f>
        <v>0</v>
      </c>
      <c r="J144" s="385"/>
      <c r="K144" s="386"/>
      <c r="L144" s="386"/>
      <c r="M144" s="386"/>
      <c r="N144" s="386"/>
      <c r="O144" s="386"/>
    </row>
    <row r="145" spans="1:15" s="384" customFormat="1" ht="27" customHeight="1">
      <c r="A145" s="249"/>
      <c r="B145" s="294"/>
      <c r="C145" s="283">
        <v>71012</v>
      </c>
      <c r="D145" s="383"/>
      <c r="E145" s="354" t="s">
        <v>202</v>
      </c>
      <c r="F145" s="349">
        <f>F146</f>
        <v>20000</v>
      </c>
      <c r="G145" s="350">
        <f>G146</f>
        <v>0</v>
      </c>
      <c r="J145" s="386"/>
      <c r="K145" s="386"/>
      <c r="L145" s="386"/>
      <c r="M145" s="386"/>
      <c r="N145" s="386"/>
      <c r="O145" s="386"/>
    </row>
    <row r="146" spans="1:15" s="384" customFormat="1" ht="24.75" customHeight="1">
      <c r="A146" s="249">
        <v>87</v>
      </c>
      <c r="B146" s="369"/>
      <c r="C146" s="278"/>
      <c r="D146" s="265">
        <v>6060</v>
      </c>
      <c r="E146" s="295" t="s">
        <v>203</v>
      </c>
      <c r="F146" s="322">
        <v>20000</v>
      </c>
      <c r="G146" s="323">
        <v>0</v>
      </c>
      <c r="J146" s="385"/>
      <c r="K146" s="386"/>
      <c r="L146" s="386"/>
      <c r="M146" s="386"/>
      <c r="N146" s="386"/>
      <c r="O146" s="386"/>
    </row>
    <row r="147" spans="1:15" s="384" customFormat="1" ht="26.25" customHeight="1">
      <c r="A147" s="249"/>
      <c r="B147" s="250">
        <v>754</v>
      </c>
      <c r="C147" s="250"/>
      <c r="D147" s="286"/>
      <c r="E147" s="313" t="s">
        <v>124</v>
      </c>
      <c r="F147" s="274">
        <f>F148+F150</f>
        <v>593000</v>
      </c>
      <c r="G147" s="275">
        <f>G148+G150</f>
        <v>0</v>
      </c>
      <c r="J147" s="386"/>
      <c r="K147" s="386"/>
      <c r="L147" s="386"/>
      <c r="M147" s="386"/>
      <c r="N147" s="386"/>
      <c r="O147" s="386"/>
    </row>
    <row r="148" spans="1:15" s="384" customFormat="1" ht="21.75" customHeight="1">
      <c r="A148" s="249"/>
      <c r="B148" s="278"/>
      <c r="C148" s="393">
        <v>75405</v>
      </c>
      <c r="D148" s="394"/>
      <c r="E148" s="311" t="s">
        <v>204</v>
      </c>
      <c r="F148" s="280">
        <f>F149</f>
        <v>63000</v>
      </c>
      <c r="G148" s="281">
        <f>G149</f>
        <v>0</v>
      </c>
      <c r="J148" s="386"/>
      <c r="K148" s="386"/>
      <c r="L148" s="386"/>
      <c r="M148" s="386"/>
      <c r="N148" s="386"/>
      <c r="O148" s="386"/>
    </row>
    <row r="149" spans="1:15" s="384" customFormat="1" ht="33.75" customHeight="1">
      <c r="A149" s="249">
        <v>88</v>
      </c>
      <c r="B149" s="320"/>
      <c r="C149" s="250"/>
      <c r="D149" s="394">
        <v>6170</v>
      </c>
      <c r="E149" s="311" t="s">
        <v>205</v>
      </c>
      <c r="F149" s="280">
        <v>63000</v>
      </c>
      <c r="G149" s="281"/>
      <c r="J149" s="386"/>
      <c r="K149" s="386"/>
      <c r="L149" s="386"/>
      <c r="M149" s="386"/>
      <c r="N149" s="386"/>
      <c r="O149" s="386"/>
    </row>
    <row r="150" spans="1:15" s="384" customFormat="1" ht="27" customHeight="1">
      <c r="A150" s="249"/>
      <c r="B150" s="282"/>
      <c r="C150" s="283">
        <v>75411</v>
      </c>
      <c r="D150" s="347"/>
      <c r="E150" s="291" t="s">
        <v>206</v>
      </c>
      <c r="F150" s="261">
        <f>SUM(F151:F152)</f>
        <v>530000</v>
      </c>
      <c r="G150" s="262">
        <f>SUM(G151:G152)</f>
        <v>0</v>
      </c>
      <c r="J150" s="386"/>
      <c r="K150" s="386"/>
      <c r="L150" s="386"/>
      <c r="M150" s="386"/>
      <c r="N150" s="386"/>
      <c r="O150" s="386"/>
    </row>
    <row r="151" spans="1:15" s="384" customFormat="1" ht="71.25" customHeight="1">
      <c r="A151" s="249">
        <v>89</v>
      </c>
      <c r="B151" s="278"/>
      <c r="C151" s="279"/>
      <c r="D151" s="317">
        <v>6050</v>
      </c>
      <c r="E151" s="266" t="s">
        <v>207</v>
      </c>
      <c r="F151" s="280">
        <v>480000</v>
      </c>
      <c r="G151" s="281">
        <v>0</v>
      </c>
      <c r="J151" s="386"/>
      <c r="K151" s="386"/>
      <c r="L151" s="386"/>
      <c r="M151" s="386"/>
      <c r="N151" s="386"/>
      <c r="O151" s="386"/>
    </row>
    <row r="152" spans="1:15" s="384" customFormat="1" ht="54.75" customHeight="1">
      <c r="A152" s="264">
        <v>90</v>
      </c>
      <c r="B152" s="278"/>
      <c r="C152" s="279"/>
      <c r="D152" s="317">
        <v>6060</v>
      </c>
      <c r="E152" s="266" t="s">
        <v>321</v>
      </c>
      <c r="F152" s="280">
        <v>50000</v>
      </c>
      <c r="G152" s="281"/>
      <c r="J152" s="386"/>
      <c r="K152" s="386"/>
      <c r="L152" s="386"/>
      <c r="M152" s="386"/>
      <c r="N152" s="386"/>
      <c r="O152" s="386"/>
    </row>
    <row r="153" spans="1:15" s="384" customFormat="1" ht="27" customHeight="1">
      <c r="A153" s="264"/>
      <c r="B153" s="250">
        <v>758</v>
      </c>
      <c r="C153" s="250"/>
      <c r="D153" s="251"/>
      <c r="E153" s="273" t="s">
        <v>129</v>
      </c>
      <c r="F153" s="274">
        <f>F154</f>
        <v>41484.5</v>
      </c>
      <c r="G153" s="275">
        <f>G154</f>
        <v>0</v>
      </c>
      <c r="J153" s="386"/>
      <c r="K153" s="386"/>
      <c r="L153" s="386"/>
      <c r="M153" s="386"/>
      <c r="N153" s="386"/>
      <c r="O153" s="386"/>
    </row>
    <row r="154" spans="1:15" s="384" customFormat="1" ht="27.75" customHeight="1">
      <c r="A154" s="264"/>
      <c r="B154" s="365"/>
      <c r="C154" s="395">
        <v>75818</v>
      </c>
      <c r="D154" s="284"/>
      <c r="E154" s="291" t="s">
        <v>130</v>
      </c>
      <c r="F154" s="292">
        <f>F155</f>
        <v>41484.5</v>
      </c>
      <c r="G154" s="293">
        <f>G155</f>
        <v>0</v>
      </c>
      <c r="J154" s="386"/>
      <c r="K154" s="386"/>
      <c r="L154" s="386"/>
      <c r="M154" s="386"/>
      <c r="N154" s="386"/>
      <c r="O154" s="386"/>
    </row>
    <row r="155" spans="1:15" s="384" customFormat="1" ht="26.25" customHeight="1">
      <c r="A155" s="264"/>
      <c r="B155" s="320"/>
      <c r="C155" s="279"/>
      <c r="D155" s="307">
        <v>6800</v>
      </c>
      <c r="E155" s="311" t="s">
        <v>24</v>
      </c>
      <c r="F155" s="312">
        <f>800000-20000-130000-182809.38-130000+3799-100765.56-84000+100000-27000-123215.08-4000+0.52-7515-10-13000-20000-20000</f>
        <v>41484.5</v>
      </c>
      <c r="G155" s="268">
        <f>500000-500000</f>
        <v>0</v>
      </c>
      <c r="J155" s="386"/>
      <c r="K155" s="386"/>
      <c r="L155" s="386"/>
      <c r="M155" s="386"/>
      <c r="N155" s="386"/>
      <c r="O155" s="386"/>
    </row>
    <row r="156" spans="1:15" s="384" customFormat="1" ht="23.25" customHeight="1">
      <c r="A156" s="264"/>
      <c r="B156" s="308">
        <v>801</v>
      </c>
      <c r="C156" s="250"/>
      <c r="D156" s="286"/>
      <c r="E156" s="297" t="s">
        <v>131</v>
      </c>
      <c r="F156" s="274">
        <f>SUM(F157+F161+F165)</f>
        <v>44892</v>
      </c>
      <c r="G156" s="275">
        <f>SUM(G157+G161+G165)</f>
        <v>0</v>
      </c>
      <c r="J156" s="386"/>
      <c r="K156" s="386"/>
      <c r="L156" s="386"/>
      <c r="M156" s="386"/>
      <c r="N156" s="386"/>
      <c r="O156" s="386"/>
    </row>
    <row r="157" spans="1:15" s="384" customFormat="1" ht="23.25" customHeight="1">
      <c r="A157" s="264"/>
      <c r="B157" s="276"/>
      <c r="C157" s="396">
        <v>80120</v>
      </c>
      <c r="D157" s="299"/>
      <c r="E157" s="300" t="s">
        <v>208</v>
      </c>
      <c r="F157" s="261">
        <f>SUM(F158:F160)</f>
        <v>14881</v>
      </c>
      <c r="G157" s="262">
        <f>SUM(G158:G160)</f>
        <v>0</v>
      </c>
      <c r="J157" s="386"/>
      <c r="K157" s="386"/>
      <c r="L157" s="386"/>
      <c r="M157" s="386"/>
      <c r="N157" s="386"/>
      <c r="O157" s="386"/>
    </row>
    <row r="158" spans="1:15" s="384" customFormat="1" ht="21.75" customHeight="1">
      <c r="A158" s="249">
        <v>91</v>
      </c>
      <c r="B158" s="294"/>
      <c r="C158" s="276"/>
      <c r="D158" s="359">
        <v>6060</v>
      </c>
      <c r="E158" s="303" t="s">
        <v>209</v>
      </c>
      <c r="F158" s="659">
        <f>5000-1283</f>
        <v>3717</v>
      </c>
      <c r="G158" s="281">
        <v>0</v>
      </c>
      <c r="J158" s="386"/>
      <c r="K158" s="386"/>
      <c r="L158" s="386"/>
      <c r="M158" s="386"/>
      <c r="N158" s="386"/>
      <c r="O158" s="386"/>
    </row>
    <row r="159" spans="1:15" s="384" customFormat="1" ht="23.25" customHeight="1">
      <c r="A159" s="249">
        <v>92</v>
      </c>
      <c r="B159" s="294"/>
      <c r="C159" s="282"/>
      <c r="D159" s="359">
        <v>6060</v>
      </c>
      <c r="E159" s="303" t="s">
        <v>210</v>
      </c>
      <c r="F159" s="659">
        <f>8000-2</f>
        <v>7998</v>
      </c>
      <c r="G159" s="281">
        <v>0</v>
      </c>
      <c r="J159" s="386"/>
      <c r="K159" s="386"/>
      <c r="L159" s="386"/>
      <c r="M159" s="386"/>
      <c r="N159" s="386"/>
      <c r="O159" s="386"/>
    </row>
    <row r="160" spans="1:15" s="384" customFormat="1" ht="32.25" customHeight="1">
      <c r="A160" s="249">
        <v>93</v>
      </c>
      <c r="B160" s="333"/>
      <c r="C160" s="310"/>
      <c r="D160" s="359">
        <v>6060</v>
      </c>
      <c r="E160" s="303" t="s">
        <v>211</v>
      </c>
      <c r="F160" s="280">
        <v>3166</v>
      </c>
      <c r="G160" s="281">
        <v>0</v>
      </c>
      <c r="J160" s="386"/>
      <c r="K160" s="386"/>
      <c r="L160" s="386"/>
      <c r="M160" s="386"/>
      <c r="N160" s="386"/>
      <c r="O160" s="386"/>
    </row>
    <row r="161" spans="1:15" s="384" customFormat="1" ht="23.25" customHeight="1">
      <c r="A161" s="249"/>
      <c r="B161" s="279"/>
      <c r="C161" s="257">
        <v>80130</v>
      </c>
      <c r="D161" s="299"/>
      <c r="E161" s="300" t="s">
        <v>212</v>
      </c>
      <c r="F161" s="261">
        <f>SUM(F162:F164)</f>
        <v>24011</v>
      </c>
      <c r="G161" s="262">
        <f>SUM(G164:G164)</f>
        <v>0</v>
      </c>
      <c r="J161" s="386"/>
      <c r="K161" s="386"/>
      <c r="L161" s="386"/>
      <c r="M161" s="386"/>
      <c r="N161" s="386"/>
      <c r="O161" s="386"/>
    </row>
    <row r="162" spans="1:15" s="384" customFormat="1" ht="21" customHeight="1">
      <c r="A162" s="249">
        <v>94</v>
      </c>
      <c r="B162" s="333"/>
      <c r="C162" s="276"/>
      <c r="D162" s="359">
        <v>6060</v>
      </c>
      <c r="E162" s="303" t="s">
        <v>213</v>
      </c>
      <c r="F162" s="280">
        <v>5000</v>
      </c>
      <c r="G162" s="281">
        <v>0</v>
      </c>
      <c r="J162" s="386"/>
      <c r="K162" s="386"/>
      <c r="L162" s="386"/>
      <c r="M162" s="386"/>
      <c r="N162" s="386"/>
      <c r="O162" s="386"/>
    </row>
    <row r="163" spans="1:15" s="384" customFormat="1" ht="22.5" customHeight="1">
      <c r="A163" s="249">
        <v>95</v>
      </c>
      <c r="B163" s="333"/>
      <c r="C163" s="282"/>
      <c r="D163" s="359">
        <v>6060</v>
      </c>
      <c r="E163" s="303" t="s">
        <v>214</v>
      </c>
      <c r="F163" s="280">
        <v>10000</v>
      </c>
      <c r="G163" s="281">
        <v>0</v>
      </c>
      <c r="J163" s="386"/>
      <c r="K163" s="386"/>
      <c r="L163" s="386"/>
      <c r="M163" s="386"/>
      <c r="N163" s="386"/>
      <c r="O163" s="386"/>
    </row>
    <row r="164" spans="1:15" s="384" customFormat="1" ht="30" customHeight="1">
      <c r="A164" s="249"/>
      <c r="B164" s="333"/>
      <c r="C164" s="258"/>
      <c r="D164" s="359">
        <v>6060</v>
      </c>
      <c r="E164" s="303" t="s">
        <v>211</v>
      </c>
      <c r="F164" s="280">
        <v>9011</v>
      </c>
      <c r="G164" s="281">
        <v>0</v>
      </c>
      <c r="J164" s="386"/>
      <c r="K164" s="386"/>
      <c r="L164" s="386"/>
      <c r="M164" s="386"/>
      <c r="N164" s="386"/>
      <c r="O164" s="386"/>
    </row>
    <row r="165" spans="1:15" s="384" customFormat="1" ht="25.5" customHeight="1">
      <c r="A165" s="264"/>
      <c r="B165" s="279"/>
      <c r="C165" s="258">
        <v>80148</v>
      </c>
      <c r="D165" s="259"/>
      <c r="E165" s="260" t="s">
        <v>148</v>
      </c>
      <c r="F165" s="261">
        <f>F166</f>
        <v>6000</v>
      </c>
      <c r="G165" s="262">
        <f>SUM(G166:G168)</f>
        <v>0</v>
      </c>
      <c r="J165" s="386"/>
      <c r="K165" s="386"/>
      <c r="L165" s="386"/>
      <c r="M165" s="386"/>
      <c r="N165" s="386"/>
      <c r="O165" s="386"/>
    </row>
    <row r="166" spans="1:15" s="384" customFormat="1" ht="25.5" customHeight="1">
      <c r="A166" s="249">
        <v>96</v>
      </c>
      <c r="B166" s="279"/>
      <c r="C166" s="282"/>
      <c r="D166" s="249">
        <v>6060</v>
      </c>
      <c r="E166" s="285" t="s">
        <v>215</v>
      </c>
      <c r="F166" s="280">
        <v>6000</v>
      </c>
      <c r="G166" s="281">
        <v>0</v>
      </c>
      <c r="J166" s="386"/>
      <c r="K166" s="386"/>
      <c r="L166" s="386"/>
      <c r="M166" s="386"/>
      <c r="N166" s="386"/>
      <c r="O166" s="386"/>
    </row>
    <row r="167" spans="1:15" s="384" customFormat="1" ht="22.5" customHeight="1">
      <c r="A167" s="264"/>
      <c r="B167" s="250">
        <v>852</v>
      </c>
      <c r="C167" s="250"/>
      <c r="D167" s="286"/>
      <c r="E167" s="287" t="s">
        <v>216</v>
      </c>
      <c r="F167" s="341">
        <f>F168</f>
        <v>15000</v>
      </c>
      <c r="G167" s="379">
        <f>G168</f>
        <v>0</v>
      </c>
      <c r="J167" s="386"/>
      <c r="K167" s="386"/>
      <c r="L167" s="386"/>
      <c r="M167" s="386"/>
      <c r="N167" s="386"/>
      <c r="O167" s="386"/>
    </row>
    <row r="168" spans="1:15" s="384" customFormat="1" ht="25.5" customHeight="1">
      <c r="A168" s="264"/>
      <c r="B168" s="276"/>
      <c r="C168" s="397">
        <v>85202</v>
      </c>
      <c r="D168" s="299"/>
      <c r="E168" s="398" t="s">
        <v>217</v>
      </c>
      <c r="F168" s="349">
        <f>F169</f>
        <v>15000</v>
      </c>
      <c r="G168" s="350">
        <f>G169</f>
        <v>0</v>
      </c>
      <c r="J168" s="386"/>
      <c r="K168" s="386"/>
      <c r="L168" s="386"/>
      <c r="M168" s="386"/>
      <c r="N168" s="386"/>
      <c r="O168" s="386"/>
    </row>
    <row r="169" spans="1:15" s="384" customFormat="1" ht="22.5" customHeight="1">
      <c r="A169" s="223">
        <v>97</v>
      </c>
      <c r="B169" s="278"/>
      <c r="C169" s="664"/>
      <c r="D169" s="249">
        <v>6060</v>
      </c>
      <c r="E169" s="285" t="s">
        <v>218</v>
      </c>
      <c r="F169" s="322">
        <v>15000</v>
      </c>
      <c r="G169" s="323">
        <v>0</v>
      </c>
      <c r="J169" s="386"/>
      <c r="K169" s="386"/>
      <c r="L169" s="386"/>
      <c r="M169" s="386"/>
      <c r="N169" s="386"/>
      <c r="O169" s="386"/>
    </row>
    <row r="170" spans="1:15" s="384" customFormat="1" ht="22.5" customHeight="1">
      <c r="A170" s="286"/>
      <c r="B170" s="308">
        <v>853</v>
      </c>
      <c r="C170" s="310"/>
      <c r="D170" s="318"/>
      <c r="E170" s="273" t="s">
        <v>152</v>
      </c>
      <c r="F170" s="356">
        <f>F171</f>
        <v>17000</v>
      </c>
      <c r="G170" s="666"/>
      <c r="J170" s="386"/>
      <c r="K170" s="386"/>
      <c r="L170" s="386"/>
      <c r="M170" s="386"/>
      <c r="N170" s="386"/>
      <c r="O170" s="386"/>
    </row>
    <row r="171" spans="1:15" s="384" customFormat="1" ht="31.5" customHeight="1">
      <c r="A171" s="264"/>
      <c r="B171" s="278"/>
      <c r="C171" s="665">
        <v>85311</v>
      </c>
      <c r="D171" s="249"/>
      <c r="E171" s="285" t="s">
        <v>443</v>
      </c>
      <c r="F171" s="322">
        <f>F172</f>
        <v>17000</v>
      </c>
      <c r="G171" s="323"/>
      <c r="J171" s="386"/>
      <c r="K171" s="386"/>
      <c r="L171" s="386"/>
      <c r="M171" s="386"/>
      <c r="N171" s="386"/>
      <c r="O171" s="386"/>
    </row>
    <row r="172" spans="1:15" s="384" customFormat="1" ht="28.5" customHeight="1">
      <c r="A172" s="264"/>
      <c r="B172" s="278"/>
      <c r="C172" s="399"/>
      <c r="D172" s="667">
        <v>6060</v>
      </c>
      <c r="E172" s="668" t="s">
        <v>471</v>
      </c>
      <c r="F172" s="669">
        <v>17000</v>
      </c>
      <c r="G172" s="670"/>
      <c r="J172" s="386"/>
      <c r="K172" s="386"/>
      <c r="L172" s="386"/>
      <c r="M172" s="386"/>
      <c r="N172" s="386"/>
      <c r="O172" s="386"/>
    </row>
    <row r="173" spans="1:15" s="384" customFormat="1" ht="24" customHeight="1">
      <c r="A173" s="264"/>
      <c r="B173" s="250">
        <v>854</v>
      </c>
      <c r="C173" s="250"/>
      <c r="D173" s="286"/>
      <c r="E173" s="287" t="s">
        <v>219</v>
      </c>
      <c r="F173" s="341">
        <f>F174+F177</f>
        <v>27000</v>
      </c>
      <c r="G173" s="379">
        <f>G174</f>
        <v>0</v>
      </c>
      <c r="J173" s="386"/>
      <c r="K173" s="386"/>
      <c r="L173" s="386"/>
      <c r="M173" s="386"/>
      <c r="N173" s="386"/>
      <c r="O173" s="386"/>
    </row>
    <row r="174" spans="1:15" s="384" customFormat="1" ht="24" customHeight="1">
      <c r="A174" s="307"/>
      <c r="B174" s="302"/>
      <c r="C174" s="396">
        <v>85403</v>
      </c>
      <c r="D174" s="259"/>
      <c r="E174" s="260" t="s">
        <v>220</v>
      </c>
      <c r="F174" s="261">
        <f>SUM(F175:F176)</f>
        <v>13000</v>
      </c>
      <c r="G174" s="262">
        <f>G176</f>
        <v>0</v>
      </c>
      <c r="J174" s="386"/>
      <c r="K174" s="386"/>
      <c r="L174" s="386"/>
      <c r="M174" s="386"/>
      <c r="N174" s="386"/>
      <c r="O174" s="386"/>
    </row>
    <row r="175" spans="1:15" s="390" customFormat="1" ht="24" customHeight="1">
      <c r="A175" s="307">
        <v>98</v>
      </c>
      <c r="B175" s="369"/>
      <c r="C175" s="302"/>
      <c r="D175" s="265">
        <v>6060</v>
      </c>
      <c r="E175" s="266" t="s">
        <v>298</v>
      </c>
      <c r="F175" s="280">
        <v>8000</v>
      </c>
      <c r="G175" s="281"/>
      <c r="J175" s="392"/>
      <c r="K175" s="392"/>
      <c r="L175" s="392"/>
      <c r="M175" s="392"/>
      <c r="N175" s="392"/>
      <c r="O175" s="392"/>
    </row>
    <row r="176" spans="1:15" s="384" customFormat="1" ht="24" customHeight="1">
      <c r="A176" s="249">
        <v>99</v>
      </c>
      <c r="B176" s="369"/>
      <c r="C176" s="310"/>
      <c r="D176" s="359">
        <v>6060</v>
      </c>
      <c r="E176" s="285" t="s">
        <v>221</v>
      </c>
      <c r="F176" s="281">
        <v>5000</v>
      </c>
      <c r="G176" s="281">
        <v>0</v>
      </c>
      <c r="J176" s="386"/>
      <c r="K176" s="386"/>
      <c r="L176" s="386"/>
      <c r="M176" s="386"/>
      <c r="N176" s="386"/>
      <c r="O176" s="386"/>
    </row>
    <row r="177" spans="1:15" s="384" customFormat="1" ht="28.5" customHeight="1">
      <c r="A177" s="409"/>
      <c r="B177" s="278"/>
      <c r="C177" s="310">
        <v>85406</v>
      </c>
      <c r="D177" s="249"/>
      <c r="E177" s="285" t="s">
        <v>223</v>
      </c>
      <c r="F177" s="281">
        <f>F178</f>
        <v>14000</v>
      </c>
      <c r="G177" s="281"/>
      <c r="J177" s="386"/>
      <c r="K177" s="386"/>
      <c r="L177" s="386"/>
      <c r="M177" s="386"/>
      <c r="N177" s="386"/>
      <c r="O177" s="386"/>
    </row>
    <row r="178" spans="1:15" s="384" customFormat="1" ht="24" customHeight="1">
      <c r="A178" s="249">
        <v>100</v>
      </c>
      <c r="B178" s="310"/>
      <c r="C178" s="393"/>
      <c r="D178" s="249">
        <v>6060</v>
      </c>
      <c r="E178" s="285" t="s">
        <v>230</v>
      </c>
      <c r="F178" s="281">
        <v>14000</v>
      </c>
      <c r="G178" s="281"/>
      <c r="J178" s="386"/>
      <c r="K178" s="386"/>
      <c r="L178" s="386"/>
      <c r="M178" s="386"/>
      <c r="N178" s="386"/>
      <c r="O178" s="386"/>
    </row>
    <row r="179" spans="1:10" ht="28.5" customHeight="1">
      <c r="A179" s="251"/>
      <c r="B179" s="400" t="s">
        <v>22</v>
      </c>
      <c r="C179" s="401"/>
      <c r="D179" s="402"/>
      <c r="E179" s="403"/>
      <c r="F179" s="404">
        <f>F13+F128</f>
        <v>48640424.150000006</v>
      </c>
      <c r="G179" s="254">
        <f>G13+G128</f>
        <v>8383080.970000001</v>
      </c>
      <c r="I179" s="247"/>
      <c r="J179" s="248"/>
    </row>
    <row r="180" spans="1:10" ht="21.75" customHeight="1">
      <c r="A180" s="208"/>
      <c r="B180" s="405"/>
      <c r="C180" s="405"/>
      <c r="D180" s="208"/>
      <c r="F180" s="370"/>
      <c r="G180" s="370"/>
      <c r="I180" s="255"/>
      <c r="J180" s="256"/>
    </row>
    <row r="181" spans="1:10" ht="15" customHeight="1">
      <c r="A181" s="208"/>
      <c r="B181" s="189"/>
      <c r="C181" s="189"/>
      <c r="D181" s="208"/>
      <c r="F181" s="406"/>
      <c r="G181" s="406"/>
      <c r="I181" s="338"/>
      <c r="J181" s="407"/>
    </row>
    <row r="182" spans="1:10" ht="12.75">
      <c r="A182" s="208"/>
      <c r="B182" s="189"/>
      <c r="C182" s="189"/>
      <c r="D182" s="208"/>
      <c r="F182" s="406"/>
      <c r="G182" s="406"/>
      <c r="H182" s="338"/>
      <c r="I182" s="338"/>
      <c r="J182" s="336"/>
    </row>
    <row r="183" spans="6:10" ht="12.75">
      <c r="F183" s="406"/>
      <c r="G183" s="406"/>
      <c r="I183" s="338"/>
      <c r="J183" s="336"/>
    </row>
    <row r="184" spans="6:10" ht="12.75">
      <c r="F184" s="406"/>
      <c r="G184" s="406"/>
      <c r="I184" s="338"/>
      <c r="J184" s="336"/>
    </row>
    <row r="185" spans="6:10" ht="12.75">
      <c r="F185" s="406"/>
      <c r="G185" s="406"/>
      <c r="I185" s="338"/>
      <c r="J185" s="336"/>
    </row>
    <row r="186" spans="6:10" ht="12.75">
      <c r="F186" s="406"/>
      <c r="G186" s="406"/>
      <c r="I186" s="338"/>
      <c r="J186" s="336"/>
    </row>
    <row r="187" spans="6:10" ht="12.75">
      <c r="F187" s="406"/>
      <c r="G187" s="406"/>
      <c r="I187" s="338"/>
      <c r="J187" s="336"/>
    </row>
    <row r="188" spans="6:7" ht="12.75">
      <c r="F188" s="406"/>
      <c r="G188" s="406"/>
    </row>
    <row r="189" spans="6:7" ht="12.75">
      <c r="F189" s="406"/>
      <c r="G189" s="406"/>
    </row>
    <row r="190" spans="6:7" ht="12.75">
      <c r="F190" s="408"/>
      <c r="G190" s="406"/>
    </row>
    <row r="191" spans="6:7" ht="12.75">
      <c r="F191" s="406"/>
      <c r="G191" s="406"/>
    </row>
    <row r="192" spans="6:7" ht="12.75">
      <c r="F192" s="406"/>
      <c r="G192" s="406"/>
    </row>
    <row r="193" spans="6:7" ht="12.75">
      <c r="F193" s="406"/>
      <c r="G193" s="406"/>
    </row>
    <row r="194" ht="12.75">
      <c r="F194" s="406"/>
    </row>
    <row r="195" ht="12.75">
      <c r="F195" s="406"/>
    </row>
    <row r="196" ht="12.75">
      <c r="F196" s="406"/>
    </row>
    <row r="197" spans="6:7" ht="12.75">
      <c r="F197" s="406"/>
      <c r="G197" s="406"/>
    </row>
    <row r="198" ht="12.75">
      <c r="F198" s="406"/>
    </row>
    <row r="199" ht="12.75">
      <c r="F199" s="406"/>
    </row>
    <row r="200" ht="12.75">
      <c r="F200" s="406"/>
    </row>
  </sheetData>
  <sheetProtection/>
  <mergeCells count="4">
    <mergeCell ref="A78:A79"/>
    <mergeCell ref="E78:E79"/>
    <mergeCell ref="A113:A115"/>
    <mergeCell ref="E113:E11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8515625" style="2" customWidth="1"/>
    <col min="5" max="5" width="13.57421875" style="2" customWidth="1"/>
    <col min="6" max="6" width="15.140625" style="2" customWidth="1"/>
    <col min="7" max="7" width="13.57421875" style="540" customWidth="1"/>
    <col min="8" max="8" width="18.140625" style="540" customWidth="1"/>
    <col min="9" max="9" width="23.00390625" style="540" customWidth="1"/>
    <col min="10" max="10" width="33.140625" style="160" customWidth="1"/>
    <col min="11" max="11" width="18.140625" style="68" customWidth="1"/>
    <col min="12" max="12" width="15.7109375" style="68" customWidth="1"/>
    <col min="13" max="13" width="10.140625" style="68" bestFit="1" customWidth="1"/>
    <col min="14" max="14" width="9.140625" style="68" customWidth="1"/>
    <col min="15" max="16384" width="9.140625" style="2" customWidth="1"/>
  </cols>
  <sheetData>
    <row r="1" spans="3:4" ht="20.25">
      <c r="C1" s="209" t="s">
        <v>231</v>
      </c>
      <c r="D1" s="539"/>
    </row>
    <row r="2" spans="3:4" ht="18.75">
      <c r="C2" s="210" t="s">
        <v>462</v>
      </c>
      <c r="D2" s="539"/>
    </row>
    <row r="3" spans="3:4" ht="18.75">
      <c r="C3" s="210" t="s">
        <v>60</v>
      </c>
      <c r="D3" s="539"/>
    </row>
    <row r="4" spans="3:4" ht="18.75">
      <c r="C4" s="211" t="s">
        <v>438</v>
      </c>
      <c r="D4" s="539"/>
    </row>
    <row r="5" spans="3:4" ht="18.75">
      <c r="C5" s="539"/>
      <c r="D5" s="539"/>
    </row>
    <row r="6" spans="1:13" ht="18.75">
      <c r="A6" s="539"/>
      <c r="B6" s="539"/>
      <c r="C6" s="539"/>
      <c r="D6" s="539"/>
      <c r="E6" s="539"/>
      <c r="F6" s="539"/>
      <c r="G6" s="541"/>
      <c r="H6" s="541"/>
      <c r="I6" s="541"/>
      <c r="J6" s="542"/>
      <c r="K6" s="543"/>
      <c r="L6" s="543"/>
      <c r="M6" s="543"/>
    </row>
    <row r="7" spans="1:13" ht="20.25">
      <c r="A7" s="539"/>
      <c r="B7" s="544" t="s">
        <v>331</v>
      </c>
      <c r="C7" s="539"/>
      <c r="D7" s="539"/>
      <c r="E7" s="539"/>
      <c r="F7" s="539"/>
      <c r="G7" s="541"/>
      <c r="H7" s="541"/>
      <c r="I7" s="541"/>
      <c r="J7" s="542"/>
      <c r="K7" s="543"/>
      <c r="L7" s="543"/>
      <c r="M7" s="543"/>
    </row>
    <row r="8" spans="1:13" ht="20.25">
      <c r="A8" s="545"/>
      <c r="B8" s="544" t="s">
        <v>332</v>
      </c>
      <c r="C8" s="5"/>
      <c r="D8" s="6"/>
      <c r="E8" s="5"/>
      <c r="F8" s="5"/>
      <c r="G8" s="546"/>
      <c r="H8" s="546"/>
      <c r="I8" s="546"/>
      <c r="J8" s="547"/>
      <c r="K8" s="7"/>
      <c r="L8" s="543"/>
      <c r="M8" s="543"/>
    </row>
    <row r="9" spans="1:13" ht="20.25">
      <c r="A9" s="545"/>
      <c r="B9" s="544" t="s">
        <v>333</v>
      </c>
      <c r="C9" s="5"/>
      <c r="D9" s="6"/>
      <c r="E9" s="5"/>
      <c r="F9" s="5"/>
      <c r="G9" s="546"/>
      <c r="H9" s="546"/>
      <c r="I9" s="546"/>
      <c r="J9" s="547"/>
      <c r="K9" s="7"/>
      <c r="L9" s="543"/>
      <c r="M9" s="543"/>
    </row>
    <row r="10" spans="1:13" ht="20.25">
      <c r="A10" s="545"/>
      <c r="B10" s="544"/>
      <c r="C10" s="5"/>
      <c r="D10" s="6"/>
      <c r="E10" s="5"/>
      <c r="F10" s="5"/>
      <c r="G10" s="546"/>
      <c r="H10" s="546"/>
      <c r="I10" s="546"/>
      <c r="J10" s="547"/>
      <c r="K10" s="7"/>
      <c r="L10" s="543"/>
      <c r="M10" s="543"/>
    </row>
    <row r="11" spans="1:13" ht="18.75">
      <c r="A11" s="545"/>
      <c r="B11" s="23"/>
      <c r="C11" s="23"/>
      <c r="D11" s="548"/>
      <c r="E11" s="5"/>
      <c r="F11" s="5"/>
      <c r="G11" s="546"/>
      <c r="H11" s="546"/>
      <c r="I11" s="546"/>
      <c r="J11" s="547"/>
      <c r="K11" s="7"/>
      <c r="L11" s="543"/>
      <c r="M11" s="543"/>
    </row>
    <row r="12" spans="1:13" ht="18.75">
      <c r="A12" s="545"/>
      <c r="B12" s="5"/>
      <c r="C12" s="5"/>
      <c r="D12" s="6"/>
      <c r="E12" s="5"/>
      <c r="F12" s="549" t="s">
        <v>101</v>
      </c>
      <c r="G12" s="546"/>
      <c r="H12" s="546"/>
      <c r="I12" s="546"/>
      <c r="J12" s="547"/>
      <c r="K12" s="7"/>
      <c r="L12" s="543"/>
      <c r="M12" s="543"/>
    </row>
    <row r="13" spans="1:13" ht="29.25" customHeight="1">
      <c r="A13" s="550"/>
      <c r="B13" s="551"/>
      <c r="C13" s="551"/>
      <c r="D13" s="552"/>
      <c r="E13" s="553" t="s">
        <v>334</v>
      </c>
      <c r="F13" s="554"/>
      <c r="G13" s="546"/>
      <c r="H13" s="546"/>
      <c r="I13" s="555"/>
      <c r="J13" s="547"/>
      <c r="K13" s="7"/>
      <c r="L13" s="543"/>
      <c r="M13" s="543"/>
    </row>
    <row r="14" spans="1:14" s="567" customFormat="1" ht="33" customHeight="1">
      <c r="A14" s="556" t="s">
        <v>335</v>
      </c>
      <c r="B14" s="557" t="s">
        <v>336</v>
      </c>
      <c r="C14" s="558" t="s">
        <v>337</v>
      </c>
      <c r="D14" s="558" t="s">
        <v>338</v>
      </c>
      <c r="E14" s="559" t="s">
        <v>339</v>
      </c>
      <c r="F14" s="560" t="s">
        <v>340</v>
      </c>
      <c r="G14" s="561"/>
      <c r="H14" s="562"/>
      <c r="I14" s="563"/>
      <c r="J14" s="564"/>
      <c r="K14" s="7"/>
      <c r="L14" s="565"/>
      <c r="M14" s="565"/>
      <c r="N14" s="566"/>
    </row>
    <row r="15" spans="1:14" s="567" customFormat="1" ht="35.25" customHeight="1">
      <c r="A15" s="568" t="s">
        <v>341</v>
      </c>
      <c r="B15" s="569"/>
      <c r="C15" s="570"/>
      <c r="D15" s="570"/>
      <c r="E15" s="571">
        <f>E18+E27+E30+E33+E36</f>
        <v>187820.17</v>
      </c>
      <c r="F15" s="571">
        <f>F18+F21+F24+F27+F30+F33+F36+F39+F42</f>
        <v>1391678.3199999998</v>
      </c>
      <c r="G15" s="561"/>
      <c r="H15" s="562"/>
      <c r="I15" s="562"/>
      <c r="J15" s="564"/>
      <c r="K15" s="7"/>
      <c r="L15" s="565"/>
      <c r="M15" s="565"/>
      <c r="N15" s="566"/>
    </row>
    <row r="16" spans="1:13" s="35" customFormat="1" ht="39" customHeight="1">
      <c r="A16" s="572">
        <v>1</v>
      </c>
      <c r="B16" s="573" t="s">
        <v>342</v>
      </c>
      <c r="C16" s="574" t="s">
        <v>343</v>
      </c>
      <c r="D16" s="575"/>
      <c r="E16" s="576"/>
      <c r="F16" s="577"/>
      <c r="G16" s="578"/>
      <c r="H16" s="562"/>
      <c r="I16" s="579"/>
      <c r="J16" s="564"/>
      <c r="K16" s="580"/>
      <c r="L16" s="581"/>
      <c r="M16" s="581"/>
    </row>
    <row r="17" spans="1:13" s="35" customFormat="1" ht="54.75" customHeight="1">
      <c r="A17" s="582"/>
      <c r="B17" s="583" t="s">
        <v>344</v>
      </c>
      <c r="C17" s="584"/>
      <c r="D17" s="585"/>
      <c r="E17" s="586"/>
      <c r="F17" s="587"/>
      <c r="G17" s="578"/>
      <c r="H17" s="562"/>
      <c r="I17" s="588"/>
      <c r="J17" s="564"/>
      <c r="K17" s="580"/>
      <c r="L17" s="581"/>
      <c r="M17" s="581"/>
    </row>
    <row r="18" spans="1:13" s="35" customFormat="1" ht="50.25" customHeight="1">
      <c r="A18" s="589"/>
      <c r="B18" s="583" t="s">
        <v>345</v>
      </c>
      <c r="C18" s="590"/>
      <c r="D18" s="591" t="s">
        <v>346</v>
      </c>
      <c r="E18" s="592">
        <f>34332.75+8830.39</f>
        <v>43163.14</v>
      </c>
      <c r="F18" s="593">
        <f>194552.25+50038.78</f>
        <v>244591.03</v>
      </c>
      <c r="G18" s="578"/>
      <c r="H18" s="562"/>
      <c r="I18" s="562"/>
      <c r="J18" s="564"/>
      <c r="K18" s="580"/>
      <c r="L18" s="581"/>
      <c r="M18" s="581"/>
    </row>
    <row r="19" spans="1:13" s="35" customFormat="1" ht="56.25" customHeight="1">
      <c r="A19" s="572">
        <v>2</v>
      </c>
      <c r="B19" s="573" t="s">
        <v>342</v>
      </c>
      <c r="C19" s="594" t="s">
        <v>347</v>
      </c>
      <c r="D19" s="575"/>
      <c r="E19" s="577"/>
      <c r="F19" s="577"/>
      <c r="G19" s="578"/>
      <c r="H19" s="562"/>
      <c r="I19" s="595"/>
      <c r="J19" s="564"/>
      <c r="K19" s="580"/>
      <c r="L19" s="581"/>
      <c r="M19" s="581"/>
    </row>
    <row r="20" spans="1:13" s="35" customFormat="1" ht="60.75" customHeight="1">
      <c r="A20" s="582"/>
      <c r="B20" s="596" t="s">
        <v>348</v>
      </c>
      <c r="C20" s="584"/>
      <c r="D20" s="585"/>
      <c r="E20" s="587"/>
      <c r="F20" s="587"/>
      <c r="G20" s="578"/>
      <c r="H20" s="562"/>
      <c r="I20" s="595"/>
      <c r="J20" s="564"/>
      <c r="K20" s="580"/>
      <c r="L20" s="581"/>
      <c r="M20" s="581"/>
    </row>
    <row r="21" spans="1:13" s="35" customFormat="1" ht="38.25" customHeight="1">
      <c r="A21" s="589"/>
      <c r="B21" s="596" t="s">
        <v>349</v>
      </c>
      <c r="C21" s="590"/>
      <c r="D21" s="585" t="s">
        <v>350</v>
      </c>
      <c r="E21" s="587" t="s">
        <v>351</v>
      </c>
      <c r="F21" s="587">
        <f>70298+6802.51</f>
        <v>77100.51</v>
      </c>
      <c r="G21" s="578"/>
      <c r="H21" s="562"/>
      <c r="I21" s="595"/>
      <c r="J21" s="564"/>
      <c r="K21" s="580"/>
      <c r="L21" s="581"/>
      <c r="M21" s="581"/>
    </row>
    <row r="22" spans="1:13" s="35" customFormat="1" ht="38.25" customHeight="1">
      <c r="A22" s="572">
        <v>3</v>
      </c>
      <c r="B22" s="573" t="s">
        <v>342</v>
      </c>
      <c r="C22" s="594" t="s">
        <v>352</v>
      </c>
      <c r="D22" s="575"/>
      <c r="E22" s="576"/>
      <c r="F22" s="577"/>
      <c r="G22" s="578"/>
      <c r="H22" s="562"/>
      <c r="I22" s="595"/>
      <c r="J22" s="564"/>
      <c r="K22" s="580"/>
      <c r="L22" s="581"/>
      <c r="M22" s="581"/>
    </row>
    <row r="23" spans="1:13" s="35" customFormat="1" ht="91.5" customHeight="1">
      <c r="A23" s="582"/>
      <c r="B23" s="596" t="s">
        <v>353</v>
      </c>
      <c r="C23" s="584"/>
      <c r="D23" s="585"/>
      <c r="E23" s="586"/>
      <c r="F23" s="587"/>
      <c r="G23" s="578"/>
      <c r="H23" s="562"/>
      <c r="I23" s="595"/>
      <c r="J23" s="564"/>
      <c r="K23" s="580"/>
      <c r="L23" s="581"/>
      <c r="M23" s="581"/>
    </row>
    <row r="24" spans="1:13" s="35" customFormat="1" ht="42.75" customHeight="1">
      <c r="A24" s="589"/>
      <c r="B24" s="596" t="s">
        <v>354</v>
      </c>
      <c r="C24" s="590"/>
      <c r="D24" s="591" t="s">
        <v>355</v>
      </c>
      <c r="E24" s="593" t="s">
        <v>351</v>
      </c>
      <c r="F24" s="597">
        <f>114654+14565.63</f>
        <v>129219.63</v>
      </c>
      <c r="G24" s="578"/>
      <c r="H24" s="562"/>
      <c r="I24" s="595"/>
      <c r="J24" s="564"/>
      <c r="K24" s="580"/>
      <c r="L24" s="581"/>
      <c r="M24" s="581"/>
    </row>
    <row r="25" spans="1:13" s="35" customFormat="1" ht="55.5" customHeight="1">
      <c r="A25" s="572">
        <v>4</v>
      </c>
      <c r="B25" s="598" t="s">
        <v>356</v>
      </c>
      <c r="C25" s="599" t="s">
        <v>357</v>
      </c>
      <c r="D25" s="575"/>
      <c r="E25" s="577"/>
      <c r="F25" s="577"/>
      <c r="G25" s="578"/>
      <c r="H25" s="562"/>
      <c r="I25" s="600"/>
      <c r="J25" s="564"/>
      <c r="K25" s="580"/>
      <c r="L25" s="581"/>
      <c r="M25" s="581"/>
    </row>
    <row r="26" spans="1:13" s="35" customFormat="1" ht="39.75" customHeight="1">
      <c r="A26" s="582"/>
      <c r="B26" s="596" t="s">
        <v>358</v>
      </c>
      <c r="C26" s="601"/>
      <c r="D26" s="585"/>
      <c r="E26" s="587"/>
      <c r="F26" s="587"/>
      <c r="G26" s="578"/>
      <c r="H26" s="562"/>
      <c r="I26" s="600"/>
      <c r="J26" s="564"/>
      <c r="K26" s="580"/>
      <c r="L26" s="581"/>
      <c r="M26" s="581"/>
    </row>
    <row r="27" spans="1:13" s="35" customFormat="1" ht="45.75" customHeight="1">
      <c r="A27" s="589"/>
      <c r="B27" s="596" t="s">
        <v>359</v>
      </c>
      <c r="C27" s="590"/>
      <c r="D27" s="585" t="s">
        <v>355</v>
      </c>
      <c r="E27" s="587">
        <v>0</v>
      </c>
      <c r="F27" s="587">
        <f>16935.6+14648.82</f>
        <v>31584.42</v>
      </c>
      <c r="G27" s="578"/>
      <c r="H27" s="562"/>
      <c r="I27" s="600"/>
      <c r="J27" s="564"/>
      <c r="K27" s="580"/>
      <c r="L27" s="581"/>
      <c r="M27" s="581"/>
    </row>
    <row r="28" spans="1:13" s="35" customFormat="1" ht="42" customHeight="1">
      <c r="A28" s="572">
        <v>5</v>
      </c>
      <c r="B28" s="573" t="s">
        <v>342</v>
      </c>
      <c r="C28" s="602" t="s">
        <v>343</v>
      </c>
      <c r="D28" s="575"/>
      <c r="E28" s="576"/>
      <c r="F28" s="577"/>
      <c r="G28" s="578"/>
      <c r="H28" s="562"/>
      <c r="I28" s="600"/>
      <c r="J28" s="564"/>
      <c r="K28" s="580"/>
      <c r="L28" s="581"/>
      <c r="M28" s="581"/>
    </row>
    <row r="29" spans="1:13" s="35" customFormat="1" ht="51" customHeight="1">
      <c r="A29" s="582"/>
      <c r="B29" s="583" t="s">
        <v>360</v>
      </c>
      <c r="C29" s="584"/>
      <c r="D29" s="585"/>
      <c r="E29" s="586"/>
      <c r="F29" s="587"/>
      <c r="G29" s="578"/>
      <c r="H29" s="562"/>
      <c r="I29" s="600"/>
      <c r="J29" s="564"/>
      <c r="K29" s="580"/>
      <c r="L29" s="581"/>
      <c r="M29" s="581"/>
    </row>
    <row r="30" spans="1:13" s="35" customFormat="1" ht="36" customHeight="1">
      <c r="A30" s="589"/>
      <c r="B30" s="583" t="s">
        <v>361</v>
      </c>
      <c r="C30" s="590"/>
      <c r="D30" s="591" t="s">
        <v>362</v>
      </c>
      <c r="E30" s="592">
        <f>129130.6+5626.21</f>
        <v>134756.81</v>
      </c>
      <c r="F30" s="593">
        <f>731740.04+31881.91</f>
        <v>763621.9500000001</v>
      </c>
      <c r="G30" s="578"/>
      <c r="H30" s="562"/>
      <c r="I30" s="600"/>
      <c r="J30" s="564"/>
      <c r="K30" s="580"/>
      <c r="L30" s="581"/>
      <c r="M30" s="581"/>
    </row>
    <row r="31" spans="1:10" ht="39.75" customHeight="1">
      <c r="A31" s="572">
        <v>6</v>
      </c>
      <c r="B31" s="573" t="s">
        <v>363</v>
      </c>
      <c r="C31" s="602" t="s">
        <v>343</v>
      </c>
      <c r="D31" s="575"/>
      <c r="E31" s="576"/>
      <c r="F31" s="577"/>
      <c r="H31" s="562"/>
      <c r="J31" s="603"/>
    </row>
    <row r="32" spans="1:8" ht="38.25">
      <c r="A32" s="582"/>
      <c r="B32" s="583" t="s">
        <v>364</v>
      </c>
      <c r="C32" s="584"/>
      <c r="D32" s="585"/>
      <c r="E32" s="586"/>
      <c r="F32" s="587"/>
      <c r="H32" s="562"/>
    </row>
    <row r="33" spans="1:8" ht="45" customHeight="1">
      <c r="A33" s="582"/>
      <c r="B33" s="604" t="s">
        <v>365</v>
      </c>
      <c r="C33" s="601"/>
      <c r="D33" s="585"/>
      <c r="E33" s="592">
        <f>23985-18220.65</f>
        <v>5764.3499999999985</v>
      </c>
      <c r="F33" s="593">
        <f>135915-103250.35</f>
        <v>32664.649999999994</v>
      </c>
      <c r="H33" s="562"/>
    </row>
    <row r="34" spans="1:8" ht="39" customHeight="1">
      <c r="A34" s="572" t="s">
        <v>366</v>
      </c>
      <c r="B34" s="573" t="s">
        <v>367</v>
      </c>
      <c r="C34" s="594" t="s">
        <v>368</v>
      </c>
      <c r="D34" s="575"/>
      <c r="E34" s="577"/>
      <c r="F34" s="577"/>
      <c r="H34" s="562"/>
    </row>
    <row r="35" spans="1:8" ht="54.75" customHeight="1">
      <c r="A35" s="582"/>
      <c r="B35" s="596" t="s">
        <v>369</v>
      </c>
      <c r="C35" s="584"/>
      <c r="D35" s="585"/>
      <c r="E35" s="587"/>
      <c r="F35" s="587"/>
      <c r="H35" s="562"/>
    </row>
    <row r="36" spans="1:8" ht="38.25" customHeight="1">
      <c r="A36" s="589"/>
      <c r="B36" s="596" t="s">
        <v>370</v>
      </c>
      <c r="C36" s="590"/>
      <c r="D36" s="585" t="s">
        <v>371</v>
      </c>
      <c r="E36" s="587">
        <v>4135.87</v>
      </c>
      <c r="F36" s="587">
        <v>68296.13</v>
      </c>
      <c r="H36" s="562"/>
    </row>
    <row r="37" spans="1:8" ht="55.5" customHeight="1">
      <c r="A37" s="572" t="s">
        <v>394</v>
      </c>
      <c r="B37" s="573" t="s">
        <v>390</v>
      </c>
      <c r="C37" s="574" t="s">
        <v>393</v>
      </c>
      <c r="D37" s="614"/>
      <c r="E37" s="577"/>
      <c r="F37" s="616"/>
      <c r="H37" s="562"/>
    </row>
    <row r="38" spans="1:8" ht="69" customHeight="1">
      <c r="A38" s="582"/>
      <c r="B38" s="619" t="s">
        <v>391</v>
      </c>
      <c r="C38" s="624"/>
      <c r="D38" s="621"/>
      <c r="E38" s="587"/>
      <c r="F38" s="617"/>
      <c r="H38" s="562"/>
    </row>
    <row r="39" spans="1:8" ht="38.25" customHeight="1">
      <c r="A39" s="589"/>
      <c r="B39" s="619" t="s">
        <v>392</v>
      </c>
      <c r="C39" s="672"/>
      <c r="D39" s="673" t="s">
        <v>7</v>
      </c>
      <c r="E39" s="593"/>
      <c r="F39" s="674">
        <v>33000</v>
      </c>
      <c r="H39" s="562"/>
    </row>
    <row r="40" spans="1:8" ht="55.5" customHeight="1">
      <c r="A40" s="675" t="s">
        <v>464</v>
      </c>
      <c r="B40" s="676" t="s">
        <v>463</v>
      </c>
      <c r="C40" s="677" t="s">
        <v>368</v>
      </c>
      <c r="D40" s="678"/>
      <c r="E40" s="679"/>
      <c r="F40" s="680"/>
      <c r="H40" s="562"/>
    </row>
    <row r="41" spans="1:8" ht="59.25" customHeight="1">
      <c r="A41" s="681"/>
      <c r="B41" s="620" t="s">
        <v>484</v>
      </c>
      <c r="C41" s="682"/>
      <c r="D41" s="683"/>
      <c r="E41" s="684"/>
      <c r="F41" s="685"/>
      <c r="H41" s="562"/>
    </row>
    <row r="42" spans="1:8" ht="38.25" customHeight="1">
      <c r="A42" s="686"/>
      <c r="B42" s="620" t="s">
        <v>465</v>
      </c>
      <c r="C42" s="625"/>
      <c r="D42" s="622" t="s">
        <v>7</v>
      </c>
      <c r="E42" s="613"/>
      <c r="F42" s="618">
        <v>11600</v>
      </c>
      <c r="H42" s="562"/>
    </row>
    <row r="43" spans="1:14" s="35" customFormat="1" ht="27.75" customHeight="1">
      <c r="A43" s="605" t="s">
        <v>372</v>
      </c>
      <c r="B43" s="427"/>
      <c r="C43" s="623"/>
      <c r="D43" s="615"/>
      <c r="E43" s="495">
        <f>E46+E49+E52</f>
        <v>5977.11</v>
      </c>
      <c r="F43" s="495">
        <f>F46+F49+F52</f>
        <v>304469.95</v>
      </c>
      <c r="G43" s="351"/>
      <c r="H43" s="562"/>
      <c r="I43" s="606"/>
      <c r="J43" s="212"/>
      <c r="K43" s="415"/>
      <c r="L43" s="415"/>
      <c r="M43" s="415"/>
      <c r="N43" s="415"/>
    </row>
    <row r="44" spans="1:11" ht="56.25" customHeight="1">
      <c r="A44" s="572" t="s">
        <v>373</v>
      </c>
      <c r="B44" s="573" t="s">
        <v>367</v>
      </c>
      <c r="C44" s="594" t="s">
        <v>374</v>
      </c>
      <c r="D44" s="575"/>
      <c r="E44" s="577"/>
      <c r="F44" s="577"/>
      <c r="K44" s="607"/>
    </row>
    <row r="45" spans="1:6" ht="56.25" customHeight="1">
      <c r="A45" s="582"/>
      <c r="B45" s="596" t="s">
        <v>375</v>
      </c>
      <c r="C45" s="584"/>
      <c r="D45" s="585"/>
      <c r="E45" s="587"/>
      <c r="F45" s="587"/>
    </row>
    <row r="46" spans="1:6" ht="36" customHeight="1">
      <c r="A46" s="589"/>
      <c r="B46" s="596" t="s">
        <v>376</v>
      </c>
      <c r="C46" s="590"/>
      <c r="D46" s="591" t="s">
        <v>371</v>
      </c>
      <c r="E46" s="593">
        <v>5977.11</v>
      </c>
      <c r="F46" s="593">
        <v>98700.89</v>
      </c>
    </row>
    <row r="47" spans="1:6" ht="69" customHeight="1">
      <c r="A47" s="572" t="s">
        <v>377</v>
      </c>
      <c r="B47" s="573" t="s">
        <v>378</v>
      </c>
      <c r="C47" s="594" t="s">
        <v>379</v>
      </c>
      <c r="D47" s="575"/>
      <c r="E47" s="577"/>
      <c r="F47" s="577"/>
    </row>
    <row r="48" spans="1:6" ht="50.25" customHeight="1">
      <c r="A48" s="582"/>
      <c r="B48" s="596" t="s">
        <v>380</v>
      </c>
      <c r="C48" s="584"/>
      <c r="D48" s="585"/>
      <c r="E48" s="587"/>
      <c r="F48" s="587"/>
    </row>
    <row r="49" spans="1:6" ht="38.25" customHeight="1">
      <c r="A49" s="589"/>
      <c r="B49" s="596" t="s">
        <v>381</v>
      </c>
      <c r="C49" s="590"/>
      <c r="D49" s="591" t="s">
        <v>371</v>
      </c>
      <c r="E49" s="593">
        <v>0</v>
      </c>
      <c r="F49" s="593">
        <f>5800+125000</f>
        <v>130800</v>
      </c>
    </row>
    <row r="50" spans="1:6" ht="63.75">
      <c r="A50" s="572" t="s">
        <v>382</v>
      </c>
      <c r="B50" s="573" t="s">
        <v>378</v>
      </c>
      <c r="C50" s="594" t="s">
        <v>383</v>
      </c>
      <c r="D50" s="575"/>
      <c r="E50" s="577"/>
      <c r="F50" s="577"/>
    </row>
    <row r="51" spans="1:6" ht="33.75" customHeight="1">
      <c r="A51" s="582"/>
      <c r="B51" s="596" t="s">
        <v>384</v>
      </c>
      <c r="C51" s="584"/>
      <c r="D51" s="585"/>
      <c r="E51" s="587"/>
      <c r="F51" s="587"/>
    </row>
    <row r="52" spans="1:6" ht="26.25" customHeight="1">
      <c r="A52" s="589"/>
      <c r="B52" s="596" t="s">
        <v>385</v>
      </c>
      <c r="C52" s="590"/>
      <c r="D52" s="591" t="s">
        <v>371</v>
      </c>
      <c r="E52" s="593">
        <v>0</v>
      </c>
      <c r="F52" s="593">
        <f>10000+64969.06</f>
        <v>74969.06</v>
      </c>
    </row>
    <row r="53" spans="3:11" ht="18.75">
      <c r="C53" s="4"/>
      <c r="D53" s="4"/>
      <c r="E53" s="608"/>
      <c r="F53" s="28"/>
      <c r="K53" s="607"/>
    </row>
    <row r="54" spans="3:6" ht="18.75">
      <c r="C54" s="4"/>
      <c r="D54" s="4"/>
      <c r="E54" s="52"/>
      <c r="F54" s="609"/>
    </row>
    <row r="55" spans="3:6" ht="18.75">
      <c r="C55" s="4"/>
      <c r="D55" s="4"/>
      <c r="E55" s="52"/>
      <c r="F55" s="609"/>
    </row>
    <row r="56" spans="3:6" ht="18.75">
      <c r="C56" s="4"/>
      <c r="D56" s="4"/>
      <c r="E56" s="28"/>
      <c r="F56" s="28"/>
    </row>
    <row r="57" spans="3:6" ht="18.75">
      <c r="C57" s="4"/>
      <c r="D57" s="4"/>
      <c r="E57" s="52"/>
      <c r="F57" s="609"/>
    </row>
    <row r="58" spans="3:6" ht="18.75">
      <c r="C58" s="4"/>
      <c r="D58" s="4"/>
      <c r="E58" s="28"/>
      <c r="F58" s="28"/>
    </row>
    <row r="59" spans="3:6" ht="18.75">
      <c r="C59" s="4"/>
      <c r="D59" s="4"/>
      <c r="E59" s="28"/>
      <c r="F59" s="28"/>
    </row>
    <row r="60" spans="3:6" ht="18.75">
      <c r="C60" s="4"/>
      <c r="D60" s="4"/>
      <c r="E60" s="28"/>
      <c r="F60" s="28"/>
    </row>
    <row r="61" spans="3:6" ht="18.75">
      <c r="C61" s="4"/>
      <c r="D61" s="4"/>
      <c r="E61" s="28"/>
      <c r="F61" s="28"/>
    </row>
    <row r="62" spans="3:6" ht="18.75">
      <c r="C62" s="4"/>
      <c r="D62" s="4"/>
      <c r="E62" s="28"/>
      <c r="F62" s="28"/>
    </row>
    <row r="63" spans="3:6" ht="18.75">
      <c r="C63" s="4"/>
      <c r="D63" s="4"/>
      <c r="E63" s="28"/>
      <c r="F63" s="28"/>
    </row>
    <row r="64" spans="3:6" ht="18.75">
      <c r="C64" s="4"/>
      <c r="D64" s="4"/>
      <c r="E64" s="28"/>
      <c r="F64" s="28"/>
    </row>
    <row r="65" spans="3:6" ht="18.75">
      <c r="C65" s="4"/>
      <c r="D65" s="4"/>
      <c r="E65" s="28"/>
      <c r="F65" s="28"/>
    </row>
    <row r="66" spans="5:6" ht="18.75">
      <c r="E66" s="28"/>
      <c r="F66" s="28"/>
    </row>
    <row r="67" spans="5:6" ht="18.75">
      <c r="E67" s="28"/>
      <c r="F67" s="28"/>
    </row>
    <row r="68" spans="5:6" ht="18.75">
      <c r="E68" s="28"/>
      <c r="F68" s="28"/>
    </row>
    <row r="69" spans="5:6" ht="18.75">
      <c r="E69" s="28"/>
      <c r="F69" s="28"/>
    </row>
    <row r="70" spans="5:6" ht="18.75">
      <c r="E70" s="28"/>
      <c r="F70" s="28"/>
    </row>
    <row r="71" spans="5:6" ht="18.75">
      <c r="E71" s="28"/>
      <c r="F71" s="28"/>
    </row>
    <row r="72" spans="5:6" ht="18.75">
      <c r="E72" s="28"/>
      <c r="F72" s="28"/>
    </row>
    <row r="73" spans="5:6" ht="18.75">
      <c r="E73" s="28"/>
      <c r="F73" s="28"/>
    </row>
    <row r="74" spans="5:6" ht="18.75">
      <c r="E74" s="28"/>
      <c r="F74" s="28"/>
    </row>
    <row r="75" spans="5:6" ht="18.75">
      <c r="E75" s="28"/>
      <c r="F75" s="28"/>
    </row>
    <row r="76" spans="5:6" ht="18.75">
      <c r="E76" s="28"/>
      <c r="F76" s="28"/>
    </row>
    <row r="77" spans="5:6" ht="18.75">
      <c r="E77" s="28"/>
      <c r="F77" s="28"/>
    </row>
    <row r="78" spans="5:6" ht="18.75">
      <c r="E78" s="28"/>
      <c r="F78" s="28"/>
    </row>
    <row r="79" spans="5:6" ht="18.75">
      <c r="E79" s="28"/>
      <c r="F79" s="28"/>
    </row>
    <row r="80" spans="5:6" ht="18.75">
      <c r="E80" s="28"/>
      <c r="F80" s="28"/>
    </row>
    <row r="81" spans="5:6" ht="18.75">
      <c r="E81" s="28"/>
      <c r="F81" s="28"/>
    </row>
    <row r="82" spans="5:6" ht="18.75">
      <c r="E82" s="28"/>
      <c r="F82" s="28"/>
    </row>
    <row r="83" spans="5:6" ht="18.75">
      <c r="E83" s="28"/>
      <c r="F83" s="28"/>
    </row>
    <row r="84" spans="5:6" ht="18.75">
      <c r="E84" s="28"/>
      <c r="F84" s="28"/>
    </row>
    <row r="85" spans="5:6" ht="18.75">
      <c r="E85" s="28"/>
      <c r="F85" s="28"/>
    </row>
    <row r="86" spans="5:6" ht="18.75">
      <c r="E86" s="28"/>
      <c r="F86" s="28"/>
    </row>
    <row r="87" spans="5:6" ht="18.75">
      <c r="E87" s="28"/>
      <c r="F87" s="28"/>
    </row>
    <row r="88" spans="5:6" ht="18.75">
      <c r="E88" s="28"/>
      <c r="F88" s="28"/>
    </row>
    <row r="89" spans="5:6" ht="18.75">
      <c r="E89" s="28"/>
      <c r="F89" s="28"/>
    </row>
    <row r="90" spans="5:6" ht="18.75">
      <c r="E90" s="28"/>
      <c r="F90" s="28"/>
    </row>
    <row r="91" spans="5:6" ht="18.75">
      <c r="E91" s="28"/>
      <c r="F91" s="28"/>
    </row>
    <row r="92" spans="5:6" ht="18.75">
      <c r="E92" s="28"/>
      <c r="F92" s="28"/>
    </row>
    <row r="93" spans="5:6" ht="18.75">
      <c r="E93" s="28"/>
      <c r="F93" s="28"/>
    </row>
    <row r="94" spans="5:6" ht="18.75">
      <c r="E94" s="28"/>
      <c r="F94" s="28"/>
    </row>
    <row r="95" spans="5:6" ht="18.75">
      <c r="E95" s="28"/>
      <c r="F95" s="28"/>
    </row>
    <row r="96" spans="5:6" ht="18.75">
      <c r="E96" s="28"/>
      <c r="F96" s="28"/>
    </row>
    <row r="97" spans="5:6" ht="18.75">
      <c r="E97" s="28"/>
      <c r="F97" s="28"/>
    </row>
    <row r="98" spans="5:6" ht="18.75">
      <c r="E98" s="28"/>
      <c r="F98" s="28"/>
    </row>
    <row r="99" spans="5:6" ht="18.75">
      <c r="E99" s="28"/>
      <c r="F99" s="28"/>
    </row>
    <row r="100" spans="5:6" ht="18.75">
      <c r="E100" s="28"/>
      <c r="F100" s="28"/>
    </row>
    <row r="101" spans="5:6" ht="18.75">
      <c r="E101" s="28"/>
      <c r="F101" s="28"/>
    </row>
    <row r="102" spans="5:6" ht="18.75">
      <c r="E102" s="28"/>
      <c r="F102" s="28"/>
    </row>
    <row r="103" spans="5:6" ht="18.75"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  <row r="109" spans="5:6" ht="18.75">
      <c r="E109" s="28"/>
      <c r="F109" s="28"/>
    </row>
    <row r="110" spans="5:6" ht="18.75">
      <c r="E110" s="28"/>
      <c r="F110" s="28"/>
    </row>
    <row r="111" spans="5:6" ht="18.75">
      <c r="E111" s="28"/>
      <c r="F111" s="28"/>
    </row>
    <row r="112" spans="5:6" ht="18.75">
      <c r="E112" s="28"/>
      <c r="F112" s="28"/>
    </row>
    <row r="113" spans="5:6" ht="18.75">
      <c r="E113" s="28"/>
      <c r="F113" s="28"/>
    </row>
    <row r="114" spans="5:6" ht="18.75">
      <c r="E114" s="28"/>
      <c r="F114" s="28"/>
    </row>
    <row r="115" spans="5:6" ht="18.75">
      <c r="E115" s="28"/>
      <c r="F115" s="28"/>
    </row>
    <row r="116" spans="5:6" ht="18.75">
      <c r="E116" s="28"/>
      <c r="F116" s="28"/>
    </row>
    <row r="117" spans="5:6" ht="18.75">
      <c r="E117" s="28"/>
      <c r="F117" s="28"/>
    </row>
    <row r="118" spans="5:6" ht="18.75"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4.57421875" style="2" customWidth="1"/>
    <col min="2" max="2" width="25.140625" style="2" customWidth="1"/>
    <col min="3" max="3" width="44.7109375" style="160" customWidth="1"/>
    <col min="4" max="4" width="16.140625" style="4" customWidth="1"/>
    <col min="5" max="6" width="9.140625" style="2" customWidth="1"/>
    <col min="7" max="7" width="20.140625" style="2" customWidth="1"/>
    <col min="8" max="16384" width="9.140625" style="2" customWidth="1"/>
  </cols>
  <sheetData>
    <row r="1" ht="19.5" customHeight="1">
      <c r="C1" s="414" t="s">
        <v>396</v>
      </c>
    </row>
    <row r="2" ht="19.5" customHeight="1">
      <c r="C2" s="415" t="s">
        <v>222</v>
      </c>
    </row>
    <row r="3" ht="15" customHeight="1">
      <c r="C3" s="415" t="s">
        <v>60</v>
      </c>
    </row>
    <row r="4" ht="17.25" customHeight="1">
      <c r="C4" s="211" t="s">
        <v>469</v>
      </c>
    </row>
    <row r="5" ht="14.25" customHeight="1">
      <c r="C5" s="415"/>
    </row>
    <row r="6" ht="14.25" customHeight="1">
      <c r="C6" s="415"/>
    </row>
    <row r="7" spans="1:4" s="26" customFormat="1" ht="19.5" customHeight="1">
      <c r="A7" s="416" t="s">
        <v>232</v>
      </c>
      <c r="B7" s="417"/>
      <c r="C7" s="212"/>
      <c r="D7" s="4"/>
    </row>
    <row r="8" spans="1:4" s="26" customFormat="1" ht="19.5" customHeight="1">
      <c r="A8" s="416" t="s">
        <v>233</v>
      </c>
      <c r="B8" s="417"/>
      <c r="C8" s="212"/>
      <c r="D8" s="4"/>
    </row>
    <row r="9" spans="1:3" ht="18.75" customHeight="1">
      <c r="A9" s="416" t="s">
        <v>234</v>
      </c>
      <c r="B9" s="35"/>
      <c r="C9" s="212"/>
    </row>
    <row r="10" spans="1:2" ht="13.5">
      <c r="A10" s="91" t="s">
        <v>13</v>
      </c>
      <c r="B10" s="418"/>
    </row>
    <row r="11" spans="3:4" ht="11.25" customHeight="1">
      <c r="C11" s="419"/>
      <c r="D11" s="420" t="s">
        <v>101</v>
      </c>
    </row>
    <row r="12" spans="1:4" ht="33" customHeight="1">
      <c r="A12" s="393" t="s">
        <v>23</v>
      </c>
      <c r="B12" s="393" t="s">
        <v>235</v>
      </c>
      <c r="C12" s="249" t="s">
        <v>236</v>
      </c>
      <c r="D12" s="421" t="s">
        <v>237</v>
      </c>
    </row>
    <row r="13" spans="1:4" s="35" customFormat="1" ht="22.5" customHeight="1">
      <c r="A13" s="422" t="s">
        <v>238</v>
      </c>
      <c r="B13" s="423"/>
      <c r="C13" s="424"/>
      <c r="D13" s="425">
        <f>D14+D20</f>
        <v>9727386.02</v>
      </c>
    </row>
    <row r="14" spans="1:4" s="35" customFormat="1" ht="24.75" customHeight="1">
      <c r="A14" s="426" t="s">
        <v>239</v>
      </c>
      <c r="B14" s="427"/>
      <c r="C14" s="428"/>
      <c r="D14" s="425">
        <f>D15</f>
        <v>3005648</v>
      </c>
    </row>
    <row r="15" spans="1:4" s="35" customFormat="1" ht="30" customHeight="1">
      <c r="A15" s="250">
        <v>801</v>
      </c>
      <c r="B15" s="355" t="s">
        <v>131</v>
      </c>
      <c r="C15" s="430"/>
      <c r="D15" s="431">
        <f>SUM(D16:D19)</f>
        <v>3005648</v>
      </c>
    </row>
    <row r="16" spans="1:4" s="35" customFormat="1" ht="30" customHeight="1">
      <c r="A16" s="531"/>
      <c r="B16" s="433"/>
      <c r="C16" s="285" t="s">
        <v>240</v>
      </c>
      <c r="D16" s="434">
        <f>91600+117248-30000</f>
        <v>178848</v>
      </c>
    </row>
    <row r="17" spans="1:4" s="35" customFormat="1" ht="29.25" customHeight="1">
      <c r="A17" s="432"/>
      <c r="B17" s="433"/>
      <c r="C17" s="285" t="s">
        <v>241</v>
      </c>
      <c r="D17" s="434">
        <f>90000+110000+110000+1350000+100000+510000+568000-21500-41700-508000-35000-510000+10000</f>
        <v>1731800</v>
      </c>
    </row>
    <row r="18" spans="1:4" s="35" customFormat="1" ht="33" customHeight="1">
      <c r="A18" s="432"/>
      <c r="B18" s="433"/>
      <c r="C18" s="285" t="s">
        <v>242</v>
      </c>
      <c r="D18" s="434">
        <f>304600+461200-50000-120000-10000-37000</f>
        <v>548800</v>
      </c>
    </row>
    <row r="19" spans="1:4" s="35" customFormat="1" ht="33" customHeight="1">
      <c r="A19" s="532"/>
      <c r="B19" s="433"/>
      <c r="C19" s="285" t="s">
        <v>243</v>
      </c>
      <c r="D19" s="688">
        <f>21500+41700+508000-25000</f>
        <v>546200</v>
      </c>
    </row>
    <row r="20" spans="1:4" s="35" customFormat="1" ht="24.75" customHeight="1">
      <c r="A20" s="426" t="s">
        <v>244</v>
      </c>
      <c r="B20" s="427"/>
      <c r="C20" s="428"/>
      <c r="D20" s="435">
        <f>D21+D23+D26+D37+D43+D52+D56+D62</f>
        <v>6721738.02</v>
      </c>
    </row>
    <row r="21" spans="1:4" s="35" customFormat="1" ht="35.25" customHeight="1">
      <c r="A21" s="250">
        <v>754</v>
      </c>
      <c r="B21" s="355" t="s">
        <v>124</v>
      </c>
      <c r="C21" s="285"/>
      <c r="D21" s="435">
        <f>D22</f>
        <v>20000</v>
      </c>
    </row>
    <row r="22" spans="1:4" s="35" customFormat="1" ht="35.25" customHeight="1">
      <c r="A22" s="436"/>
      <c r="B22" s="353"/>
      <c r="C22" s="285" t="s">
        <v>127</v>
      </c>
      <c r="D22" s="434">
        <v>20000</v>
      </c>
    </row>
    <row r="23" spans="1:4" s="35" customFormat="1" ht="25.5" customHeight="1">
      <c r="A23" s="320">
        <v>801</v>
      </c>
      <c r="B23" s="454" t="s">
        <v>131</v>
      </c>
      <c r="C23" s="443"/>
      <c r="D23" s="533">
        <f>D24+D25</f>
        <v>13444.75</v>
      </c>
    </row>
    <row r="24" spans="1:4" s="35" customFormat="1" ht="35.25" customHeight="1">
      <c r="A24" s="534"/>
      <c r="B24" s="535"/>
      <c r="C24" s="465" t="s">
        <v>326</v>
      </c>
      <c r="D24" s="689">
        <f>6242.12+2054.25</f>
        <v>8296.369999999999</v>
      </c>
    </row>
    <row r="25" spans="1:4" s="35" customFormat="1" ht="35.25" customHeight="1">
      <c r="A25" s="499"/>
      <c r="B25" s="537"/>
      <c r="C25" s="465" t="s">
        <v>327</v>
      </c>
      <c r="D25" s="536">
        <f>5148.38</f>
        <v>5148.38</v>
      </c>
    </row>
    <row r="26" spans="1:4" s="35" customFormat="1" ht="27" customHeight="1">
      <c r="A26" s="324">
        <v>851</v>
      </c>
      <c r="B26" s="437" t="s">
        <v>245</v>
      </c>
      <c r="C26" s="438"/>
      <c r="D26" s="439">
        <f>SUM(D27:D36)</f>
        <v>976000</v>
      </c>
    </row>
    <row r="27" spans="1:4" s="35" customFormat="1" ht="39" customHeight="1">
      <c r="A27" s="308"/>
      <c r="B27" s="440"/>
      <c r="C27" s="285" t="s">
        <v>246</v>
      </c>
      <c r="D27" s="434">
        <v>90000</v>
      </c>
    </row>
    <row r="28" spans="1:4" s="35" customFormat="1" ht="33.75" customHeight="1">
      <c r="A28" s="320"/>
      <c r="B28" s="441"/>
      <c r="C28" s="285" t="s">
        <v>247</v>
      </c>
      <c r="D28" s="434">
        <v>440000</v>
      </c>
    </row>
    <row r="29" spans="1:4" s="35" customFormat="1" ht="44.25" customHeight="1">
      <c r="A29" s="320"/>
      <c r="B29" s="442"/>
      <c r="C29" s="285" t="s">
        <v>248</v>
      </c>
      <c r="D29" s="434">
        <v>50000</v>
      </c>
    </row>
    <row r="30" spans="1:4" s="35" customFormat="1" ht="32.25" customHeight="1">
      <c r="A30" s="320"/>
      <c r="B30" s="442"/>
      <c r="C30" s="285" t="s">
        <v>249</v>
      </c>
      <c r="D30" s="434">
        <v>10000</v>
      </c>
    </row>
    <row r="31" spans="1:4" s="35" customFormat="1" ht="54.75" customHeight="1">
      <c r="A31" s="320"/>
      <c r="B31" s="442"/>
      <c r="C31" s="285" t="s">
        <v>250</v>
      </c>
      <c r="D31" s="434">
        <v>120000</v>
      </c>
    </row>
    <row r="32" spans="1:4" s="35" customFormat="1" ht="36" customHeight="1">
      <c r="A32" s="320"/>
      <c r="B32" s="442"/>
      <c r="C32" s="285" t="s">
        <v>251</v>
      </c>
      <c r="D32" s="434">
        <v>40000</v>
      </c>
    </row>
    <row r="33" spans="1:4" s="35" customFormat="1" ht="27.75" customHeight="1">
      <c r="A33" s="320"/>
      <c r="B33" s="442"/>
      <c r="C33" s="285" t="s">
        <v>252</v>
      </c>
      <c r="D33" s="434">
        <v>101000</v>
      </c>
    </row>
    <row r="34" spans="1:4" s="35" customFormat="1" ht="31.5" customHeight="1">
      <c r="A34" s="320"/>
      <c r="B34" s="442"/>
      <c r="C34" s="285" t="s">
        <v>253</v>
      </c>
      <c r="D34" s="434">
        <v>90000</v>
      </c>
    </row>
    <row r="35" spans="1:4" s="35" customFormat="1" ht="33.75" customHeight="1">
      <c r="A35" s="320"/>
      <c r="B35" s="442"/>
      <c r="C35" s="285" t="s">
        <v>254</v>
      </c>
      <c r="D35" s="434">
        <v>25000</v>
      </c>
    </row>
    <row r="36" spans="1:4" s="35" customFormat="1" ht="23.25" customHeight="1">
      <c r="A36" s="320"/>
      <c r="B36" s="442"/>
      <c r="C36" s="443" t="s">
        <v>255</v>
      </c>
      <c r="D36" s="444">
        <v>10000</v>
      </c>
    </row>
    <row r="37" spans="1:4" s="35" customFormat="1" ht="21" customHeight="1">
      <c r="A37" s="308">
        <v>852</v>
      </c>
      <c r="B37" s="445" t="s">
        <v>216</v>
      </c>
      <c r="C37" s="438"/>
      <c r="D37" s="446">
        <f>SUM(D38:D42)</f>
        <v>1599640</v>
      </c>
    </row>
    <row r="38" spans="1:4" s="35" customFormat="1" ht="37.5" customHeight="1">
      <c r="A38" s="447"/>
      <c r="B38" s="448"/>
      <c r="C38" s="233" t="s">
        <v>256</v>
      </c>
      <c r="D38" s="610">
        <f>1056000+86000</f>
        <v>1142000</v>
      </c>
    </row>
    <row r="39" spans="1:4" s="35" customFormat="1" ht="27" customHeight="1">
      <c r="A39" s="301"/>
      <c r="B39" s="449"/>
      <c r="C39" s="450" t="s">
        <v>257</v>
      </c>
      <c r="D39" s="434">
        <v>210000</v>
      </c>
    </row>
    <row r="40" spans="1:4" s="35" customFormat="1" ht="38.25" customHeight="1">
      <c r="A40" s="301"/>
      <c r="B40" s="449"/>
      <c r="C40" s="450" t="s">
        <v>258</v>
      </c>
      <c r="D40" s="434">
        <v>85000</v>
      </c>
    </row>
    <row r="41" spans="1:4" s="35" customFormat="1" ht="38.25" customHeight="1">
      <c r="A41" s="301"/>
      <c r="B41" s="449"/>
      <c r="C41" s="450" t="s">
        <v>259</v>
      </c>
      <c r="D41" s="434">
        <v>40000</v>
      </c>
    </row>
    <row r="42" spans="1:4" s="35" customFormat="1" ht="38.25" customHeight="1">
      <c r="A42" s="301"/>
      <c r="B42" s="449"/>
      <c r="C42" s="450" t="s">
        <v>328</v>
      </c>
      <c r="D42" s="434">
        <v>122640</v>
      </c>
    </row>
    <row r="43" spans="1:4" s="35" customFormat="1" ht="34.5" customHeight="1">
      <c r="A43" s="250">
        <v>853</v>
      </c>
      <c r="B43" s="451" t="s">
        <v>152</v>
      </c>
      <c r="C43" s="452"/>
      <c r="D43" s="431">
        <f>SUM(D44:D51)</f>
        <v>431653.27</v>
      </c>
    </row>
    <row r="44" spans="1:4" s="35" customFormat="1" ht="30" customHeight="1">
      <c r="A44" s="301"/>
      <c r="B44" s="449"/>
      <c r="C44" s="452" t="s">
        <v>260</v>
      </c>
      <c r="D44" s="434">
        <f>96000-20000</f>
        <v>76000</v>
      </c>
    </row>
    <row r="45" spans="1:4" s="35" customFormat="1" ht="30" customHeight="1">
      <c r="A45" s="301"/>
      <c r="B45" s="449"/>
      <c r="C45" s="453" t="s">
        <v>261</v>
      </c>
      <c r="D45" s="434">
        <v>72000</v>
      </c>
    </row>
    <row r="46" spans="1:4" s="35" customFormat="1" ht="30" customHeight="1">
      <c r="A46" s="301"/>
      <c r="B46" s="449"/>
      <c r="C46" s="453" t="s">
        <v>262</v>
      </c>
      <c r="D46" s="434">
        <v>19800</v>
      </c>
    </row>
    <row r="47" spans="1:4" s="35" customFormat="1" ht="30.75" customHeight="1">
      <c r="A47" s="301"/>
      <c r="B47" s="449"/>
      <c r="C47" s="453" t="s">
        <v>263</v>
      </c>
      <c r="D47" s="434">
        <v>24000</v>
      </c>
    </row>
    <row r="48" spans="1:4" s="35" customFormat="1" ht="30.75" customHeight="1">
      <c r="A48" s="301"/>
      <c r="B48" s="449"/>
      <c r="C48" s="450" t="s">
        <v>264</v>
      </c>
      <c r="D48" s="434">
        <v>18500</v>
      </c>
    </row>
    <row r="49" spans="1:4" s="35" customFormat="1" ht="30.75" customHeight="1">
      <c r="A49" s="301"/>
      <c r="B49" s="449"/>
      <c r="C49" s="450" t="s">
        <v>265</v>
      </c>
      <c r="D49" s="434">
        <v>30000</v>
      </c>
    </row>
    <row r="50" spans="1:4" s="35" customFormat="1" ht="46.5" customHeight="1">
      <c r="A50" s="301"/>
      <c r="B50" s="454"/>
      <c r="C50" s="452" t="s">
        <v>266</v>
      </c>
      <c r="D50" s="434">
        <f>29333.5+5176.5+27066.77+4776.5</f>
        <v>66353.27</v>
      </c>
    </row>
    <row r="51" spans="1:4" s="35" customFormat="1" ht="42" customHeight="1">
      <c r="A51" s="301"/>
      <c r="B51" s="454"/>
      <c r="C51" s="452" t="s">
        <v>329</v>
      </c>
      <c r="D51" s="434">
        <v>125000</v>
      </c>
    </row>
    <row r="52" spans="1:4" s="35" customFormat="1" ht="38.25" customHeight="1">
      <c r="A52" s="250">
        <v>900</v>
      </c>
      <c r="B52" s="451" t="s">
        <v>267</v>
      </c>
      <c r="C52" s="455"/>
      <c r="D52" s="425">
        <f>SUM(D53:D55)</f>
        <v>982000</v>
      </c>
    </row>
    <row r="53" spans="1:4" s="35" customFormat="1" ht="51.75" customHeight="1">
      <c r="A53" s="456"/>
      <c r="B53" s="457"/>
      <c r="C53" s="458" t="s">
        <v>268</v>
      </c>
      <c r="D53" s="434">
        <v>282000</v>
      </c>
    </row>
    <row r="54" spans="1:4" s="186" customFormat="1" ht="36" customHeight="1">
      <c r="A54" s="369"/>
      <c r="B54" s="459"/>
      <c r="C54" s="460" t="s">
        <v>269</v>
      </c>
      <c r="D54" s="461">
        <v>30000</v>
      </c>
    </row>
    <row r="55" spans="1:4" s="35" customFormat="1" ht="40.5" customHeight="1">
      <c r="A55" s="462"/>
      <c r="B55" s="463"/>
      <c r="C55" s="460" t="s">
        <v>270</v>
      </c>
      <c r="D55" s="434">
        <f>150000+500000+20000</f>
        <v>670000</v>
      </c>
    </row>
    <row r="56" spans="1:4" s="35" customFormat="1" ht="39" customHeight="1">
      <c r="A56" s="308">
        <v>921</v>
      </c>
      <c r="B56" s="464" t="s">
        <v>184</v>
      </c>
      <c r="C56" s="451"/>
      <c r="D56" s="425">
        <f>SUM(D57:D61)</f>
        <v>154000</v>
      </c>
    </row>
    <row r="57" spans="1:4" s="35" customFormat="1" ht="42.75" customHeight="1">
      <c r="A57" s="456"/>
      <c r="B57" s="457"/>
      <c r="C57" s="465" t="s">
        <v>271</v>
      </c>
      <c r="D57" s="434">
        <v>50000</v>
      </c>
    </row>
    <row r="58" spans="1:4" s="35" customFormat="1" ht="42" customHeight="1">
      <c r="A58" s="369"/>
      <c r="B58" s="459"/>
      <c r="C58" s="465" t="s">
        <v>272</v>
      </c>
      <c r="D58" s="434">
        <v>10000</v>
      </c>
    </row>
    <row r="59" spans="1:4" s="35" customFormat="1" ht="33" customHeight="1">
      <c r="A59" s="369"/>
      <c r="B59" s="459"/>
      <c r="C59" s="687" t="s">
        <v>395</v>
      </c>
      <c r="D59" s="434">
        <v>9000</v>
      </c>
    </row>
    <row r="60" spans="1:4" s="35" customFormat="1" ht="31.5" customHeight="1">
      <c r="A60" s="369"/>
      <c r="B60" s="459"/>
      <c r="C60" s="466" t="s">
        <v>273</v>
      </c>
      <c r="D60" s="434">
        <f>45000-10000</f>
        <v>35000</v>
      </c>
    </row>
    <row r="61" spans="1:4" s="35" customFormat="1" ht="35.25" customHeight="1">
      <c r="A61" s="462"/>
      <c r="B61" s="463"/>
      <c r="C61" s="466" t="s">
        <v>274</v>
      </c>
      <c r="D61" s="434">
        <v>50000</v>
      </c>
    </row>
    <row r="62" spans="1:4" s="35" customFormat="1" ht="34.5" customHeight="1">
      <c r="A62" s="324">
        <v>926</v>
      </c>
      <c r="B62" s="467" t="s">
        <v>275</v>
      </c>
      <c r="C62" s="455"/>
      <c r="D62" s="425">
        <f>SUM(D63:D65)</f>
        <v>2545000</v>
      </c>
    </row>
    <row r="63" spans="1:4" s="179" customFormat="1" ht="42.75" customHeight="1">
      <c r="A63" s="369"/>
      <c r="B63" s="278"/>
      <c r="C63" s="468" t="s">
        <v>276</v>
      </c>
      <c r="D63" s="434">
        <f>2400000+15000</f>
        <v>2415000</v>
      </c>
    </row>
    <row r="64" spans="1:4" s="179" customFormat="1" ht="38.25" customHeight="1">
      <c r="A64" s="469"/>
      <c r="B64" s="352"/>
      <c r="C64" s="470" t="s">
        <v>277</v>
      </c>
      <c r="D64" s="434">
        <v>115000</v>
      </c>
    </row>
    <row r="65" spans="1:4" s="35" customFormat="1" ht="29.25" customHeight="1">
      <c r="A65" s="469"/>
      <c r="B65" s="352"/>
      <c r="C65" s="471" t="s">
        <v>278</v>
      </c>
      <c r="D65" s="434">
        <v>15000</v>
      </c>
    </row>
    <row r="66" spans="1:4" s="35" customFormat="1" ht="30" customHeight="1">
      <c r="A66" s="472" t="s">
        <v>279</v>
      </c>
      <c r="B66" s="473"/>
      <c r="C66" s="474"/>
      <c r="D66" s="446">
        <f>D67+D77</f>
        <v>6694790.140000001</v>
      </c>
    </row>
    <row r="67" spans="1:4" s="35" customFormat="1" ht="27" customHeight="1">
      <c r="A67" s="475" t="s">
        <v>239</v>
      </c>
      <c r="B67" s="476"/>
      <c r="C67" s="477"/>
      <c r="D67" s="478">
        <f>D68+D73+D75</f>
        <v>6320897.36</v>
      </c>
    </row>
    <row r="68" spans="1:4" s="35" customFormat="1" ht="23.25" customHeight="1">
      <c r="A68" s="429">
        <v>801</v>
      </c>
      <c r="B68" s="355" t="s">
        <v>131</v>
      </c>
      <c r="C68" s="285"/>
      <c r="D68" s="431">
        <f>SUM(D69:D72)</f>
        <v>4510149.36</v>
      </c>
    </row>
    <row r="69" spans="1:4" s="35" customFormat="1" ht="30" customHeight="1">
      <c r="A69" s="479"/>
      <c r="B69" s="298"/>
      <c r="C69" s="285" t="s">
        <v>280</v>
      </c>
      <c r="D69" s="434">
        <f>1700000-220000-83000</f>
        <v>1397000</v>
      </c>
    </row>
    <row r="70" spans="1:4" s="35" customFormat="1" ht="30" customHeight="1">
      <c r="A70" s="479"/>
      <c r="B70" s="298"/>
      <c r="C70" s="285" t="s">
        <v>281</v>
      </c>
      <c r="D70" s="434">
        <f>350000-20942</f>
        <v>329058</v>
      </c>
    </row>
    <row r="71" spans="1:4" s="35" customFormat="1" ht="31.5" customHeight="1">
      <c r="A71" s="479"/>
      <c r="B71" s="298"/>
      <c r="C71" s="285" t="s">
        <v>282</v>
      </c>
      <c r="D71" s="434">
        <f>2900000-290000-130000+280000+10130</f>
        <v>2770130</v>
      </c>
    </row>
    <row r="72" spans="1:4" s="35" customFormat="1" ht="31.5" customHeight="1">
      <c r="A72" s="479"/>
      <c r="B72" s="298"/>
      <c r="C72" s="285" t="s">
        <v>283</v>
      </c>
      <c r="D72" s="610">
        <f>20942-6980.64</f>
        <v>13961.36</v>
      </c>
    </row>
    <row r="73" spans="1:4" s="35" customFormat="1" ht="39" customHeight="1">
      <c r="A73" s="308">
        <v>853</v>
      </c>
      <c r="B73" s="480" t="s">
        <v>152</v>
      </c>
      <c r="C73" s="481"/>
      <c r="D73" s="425">
        <f>SUM(D74:D74)</f>
        <v>310748</v>
      </c>
    </row>
    <row r="74" spans="1:4" s="210" customFormat="1" ht="37.5" customHeight="1">
      <c r="A74" s="447"/>
      <c r="B74" s="482"/>
      <c r="C74" s="466" t="s">
        <v>284</v>
      </c>
      <c r="D74" s="434">
        <v>310748</v>
      </c>
    </row>
    <row r="75" spans="1:4" s="35" customFormat="1" ht="31.5" customHeight="1">
      <c r="A75" s="250">
        <v>854</v>
      </c>
      <c r="B75" s="355" t="s">
        <v>219</v>
      </c>
      <c r="C75" s="285"/>
      <c r="D75" s="483">
        <f>D76</f>
        <v>1500000</v>
      </c>
    </row>
    <row r="76" spans="1:4" s="35" customFormat="1" ht="43.5" customHeight="1">
      <c r="A76" s="484"/>
      <c r="B76" s="485"/>
      <c r="C76" s="285" t="s">
        <v>285</v>
      </c>
      <c r="D76" s="434">
        <v>1500000</v>
      </c>
    </row>
    <row r="77" spans="1:4" s="35" customFormat="1" ht="29.25" customHeight="1">
      <c r="A77" s="426" t="s">
        <v>244</v>
      </c>
      <c r="B77" s="486"/>
      <c r="C77" s="487"/>
      <c r="D77" s="488">
        <f>D78+D81+D84</f>
        <v>373892.78</v>
      </c>
    </row>
    <row r="78" spans="1:4" s="35" customFormat="1" ht="34.5" customHeight="1">
      <c r="A78" s="320">
        <v>630</v>
      </c>
      <c r="B78" s="489" t="s">
        <v>199</v>
      </c>
      <c r="C78" s="490" t="s">
        <v>13</v>
      </c>
      <c r="D78" s="425">
        <f>SUM(D79:D80)</f>
        <v>91000</v>
      </c>
    </row>
    <row r="79" spans="1:4" s="35" customFormat="1" ht="36.75" customHeight="1">
      <c r="A79" s="447"/>
      <c r="B79" s="491"/>
      <c r="C79" s="492" t="s">
        <v>286</v>
      </c>
      <c r="D79" s="434">
        <f>60000-9000</f>
        <v>51000</v>
      </c>
    </row>
    <row r="80" spans="1:4" s="35" customFormat="1" ht="30" customHeight="1">
      <c r="A80" s="369"/>
      <c r="B80" s="493"/>
      <c r="C80" s="458" t="s">
        <v>287</v>
      </c>
      <c r="D80" s="434">
        <v>40000</v>
      </c>
    </row>
    <row r="81" spans="1:4" s="35" customFormat="1" ht="26.25" customHeight="1">
      <c r="A81" s="250">
        <v>852</v>
      </c>
      <c r="B81" s="494" t="s">
        <v>216</v>
      </c>
      <c r="C81" s="481"/>
      <c r="D81" s="425">
        <f>SUM(D82:D83)</f>
        <v>207000</v>
      </c>
    </row>
    <row r="82" spans="1:4" s="35" customFormat="1" ht="40.5" customHeight="1">
      <c r="A82" s="352"/>
      <c r="B82" s="352"/>
      <c r="C82" s="481" t="s">
        <v>288</v>
      </c>
      <c r="D82" s="434">
        <v>200000</v>
      </c>
    </row>
    <row r="83" spans="1:4" s="35" customFormat="1" ht="40.5" customHeight="1">
      <c r="A83" s="352"/>
      <c r="B83" s="352"/>
      <c r="C83" s="481" t="s">
        <v>291</v>
      </c>
      <c r="D83" s="444">
        <v>7000</v>
      </c>
    </row>
    <row r="84" spans="1:7" s="35" customFormat="1" ht="38.25" customHeight="1">
      <c r="A84" s="308">
        <v>853</v>
      </c>
      <c r="B84" s="480" t="s">
        <v>152</v>
      </c>
      <c r="C84" s="481"/>
      <c r="D84" s="495">
        <f>SUM(D85)</f>
        <v>75892.78</v>
      </c>
      <c r="G84" s="3"/>
    </row>
    <row r="85" spans="1:7" s="35" customFormat="1" ht="37.5" customHeight="1">
      <c r="A85" s="353"/>
      <c r="B85" s="353"/>
      <c r="C85" s="481" t="s">
        <v>289</v>
      </c>
      <c r="D85" s="434">
        <f>5892.78+70000</f>
        <v>75892.78</v>
      </c>
      <c r="G85" s="3"/>
    </row>
    <row r="86" spans="1:7" s="35" customFormat="1" ht="24.75" customHeight="1">
      <c r="A86" s="713" t="s">
        <v>290</v>
      </c>
      <c r="B86" s="714"/>
      <c r="C86" s="715"/>
      <c r="D86" s="496">
        <f>D13+D66</f>
        <v>16422176.16</v>
      </c>
      <c r="G86" s="3"/>
    </row>
    <row r="87" spans="3:7" s="35" customFormat="1" ht="12.75">
      <c r="C87" s="212"/>
      <c r="D87" s="497"/>
      <c r="G87" s="3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</sheetData>
  <sheetProtection/>
  <mergeCells count="1">
    <mergeCell ref="A86:C8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140625" style="190" customWidth="1"/>
    <col min="2" max="2" width="42.7109375" style="648" customWidth="1"/>
    <col min="3" max="3" width="18.140625" style="188" customWidth="1"/>
    <col min="4" max="4" width="18.421875" style="188" customWidth="1"/>
    <col min="5" max="5" width="15.8515625" style="171" customWidth="1"/>
    <col min="6" max="6" width="28.140625" style="190" customWidth="1"/>
    <col min="7" max="7" width="12.7109375" style="190" bestFit="1" customWidth="1"/>
    <col min="8" max="8" width="15.8515625" style="190" customWidth="1"/>
    <col min="9" max="9" width="16.28125" style="190" customWidth="1"/>
    <col min="10" max="10" width="14.7109375" style="190" customWidth="1"/>
    <col min="11" max="11" width="9.140625" style="190" customWidth="1"/>
  </cols>
  <sheetData>
    <row r="1" spans="1:11" s="44" customFormat="1" ht="18">
      <c r="A1" s="338"/>
      <c r="B1" s="647"/>
      <c r="C1" s="509"/>
      <c r="D1" s="509"/>
      <c r="E1" s="508"/>
      <c r="F1" s="338"/>
      <c r="G1" s="338"/>
      <c r="H1" s="338"/>
      <c r="I1" s="338"/>
      <c r="J1" s="338"/>
      <c r="K1" s="338"/>
    </row>
    <row r="2" spans="1:11" s="44" customFormat="1" ht="18">
      <c r="A2" s="338"/>
      <c r="B2" s="647"/>
      <c r="C2" s="509"/>
      <c r="D2" s="509"/>
      <c r="E2" s="508"/>
      <c r="F2" s="338"/>
      <c r="G2" s="338"/>
      <c r="H2" s="338"/>
      <c r="I2" s="338"/>
      <c r="J2" s="338"/>
      <c r="K2" s="338"/>
    </row>
    <row r="3" spans="1:11" s="44" customFormat="1" ht="18">
      <c r="A3" s="338"/>
      <c r="B3" s="647"/>
      <c r="C3" s="509"/>
      <c r="D3" s="509"/>
      <c r="E3" s="508"/>
      <c r="F3" s="338"/>
      <c r="G3" s="338"/>
      <c r="H3" s="338"/>
      <c r="I3" s="338"/>
      <c r="J3" s="338"/>
      <c r="K3" s="338"/>
    </row>
    <row r="4" spans="1:11" s="44" customFormat="1" ht="18">
      <c r="A4" s="338"/>
      <c r="B4" s="647"/>
      <c r="C4" s="509"/>
      <c r="D4" s="509"/>
      <c r="E4" s="508"/>
      <c r="F4" s="338"/>
      <c r="G4" s="338"/>
      <c r="H4" s="338"/>
      <c r="I4" s="338"/>
      <c r="J4" s="338"/>
      <c r="K4" s="338"/>
    </row>
    <row r="5" spans="1:11" s="44" customFormat="1" ht="18">
      <c r="A5" s="338"/>
      <c r="B5" s="647"/>
      <c r="C5" s="509"/>
      <c r="D5" s="509"/>
      <c r="E5" s="508"/>
      <c r="F5" s="338"/>
      <c r="G5" s="338"/>
      <c r="H5" s="338"/>
      <c r="I5" s="338"/>
      <c r="J5" s="338"/>
      <c r="K5" s="338"/>
    </row>
    <row r="6" spans="1:11" s="44" customFormat="1" ht="18">
      <c r="A6" s="338"/>
      <c r="B6" s="647"/>
      <c r="C6" s="509"/>
      <c r="D6" s="509"/>
      <c r="E6" s="508"/>
      <c r="F6" s="338"/>
      <c r="G6" s="338"/>
      <c r="H6" s="338"/>
      <c r="I6" s="338"/>
      <c r="J6" s="338"/>
      <c r="K6" s="338"/>
    </row>
    <row r="7" spans="1:11" s="44" customFormat="1" ht="18">
      <c r="A7" s="338"/>
      <c r="B7" s="647"/>
      <c r="C7" s="509"/>
      <c r="D7" s="509"/>
      <c r="E7" s="508"/>
      <c r="F7" s="338"/>
      <c r="G7" s="338"/>
      <c r="H7" s="338"/>
      <c r="I7" s="338"/>
      <c r="J7" s="338"/>
      <c r="K7" s="338"/>
    </row>
    <row r="8" spans="1:11" s="44" customFormat="1" ht="18">
      <c r="A8" s="338"/>
      <c r="B8" s="647"/>
      <c r="C8" s="509"/>
      <c r="D8" s="509"/>
      <c r="E8" s="508"/>
      <c r="F8" s="338"/>
      <c r="G8" s="338"/>
      <c r="H8" s="338"/>
      <c r="I8" s="338"/>
      <c r="J8" s="338"/>
      <c r="K8" s="338"/>
    </row>
    <row r="9" spans="1:11" s="44" customFormat="1" ht="18">
      <c r="A9" s="338"/>
      <c r="B9" s="647"/>
      <c r="C9" s="509"/>
      <c r="D9" s="509"/>
      <c r="E9" s="508"/>
      <c r="F9" s="338"/>
      <c r="G9" s="338"/>
      <c r="H9" s="338"/>
      <c r="I9" s="338"/>
      <c r="J9" s="338"/>
      <c r="K9" s="338"/>
    </row>
    <row r="10" spans="1:11" s="44" customFormat="1" ht="18">
      <c r="A10" s="338"/>
      <c r="B10" s="647"/>
      <c r="C10" s="509"/>
      <c r="D10" s="509"/>
      <c r="E10" s="508"/>
      <c r="F10" s="338"/>
      <c r="G10" s="338"/>
      <c r="H10" s="338"/>
      <c r="I10" s="338"/>
      <c r="J10" s="338"/>
      <c r="K10" s="338"/>
    </row>
    <row r="11" spans="1:11" s="44" customFormat="1" ht="18">
      <c r="A11" s="338"/>
      <c r="B11" s="647"/>
      <c r="C11" s="509"/>
      <c r="D11" s="509"/>
      <c r="E11" s="508"/>
      <c r="F11" s="338"/>
      <c r="G11" s="338"/>
      <c r="H11" s="338"/>
      <c r="I11" s="338"/>
      <c r="J11" s="338"/>
      <c r="K11" s="338"/>
    </row>
    <row r="12" spans="1:11" s="44" customFormat="1" ht="18">
      <c r="A12" s="338"/>
      <c r="B12" s="647"/>
      <c r="C12" s="509"/>
      <c r="D12" s="509"/>
      <c r="E12" s="508"/>
      <c r="F12" s="338"/>
      <c r="G12" s="338"/>
      <c r="H12" s="338"/>
      <c r="I12" s="338"/>
      <c r="J12" s="338"/>
      <c r="K12" s="338"/>
    </row>
    <row r="13" spans="1:11" s="44" customFormat="1" ht="18">
      <c r="A13" s="338"/>
      <c r="B13" s="647"/>
      <c r="C13" s="509"/>
      <c r="D13" s="509"/>
      <c r="E13" s="508"/>
      <c r="F13" s="338"/>
      <c r="G13" s="338"/>
      <c r="H13" s="338"/>
      <c r="I13" s="338"/>
      <c r="J13" s="338"/>
      <c r="K13" s="338"/>
    </row>
    <row r="14" spans="1:11" s="44" customFormat="1" ht="18">
      <c r="A14" s="338"/>
      <c r="B14" s="647"/>
      <c r="C14" s="509"/>
      <c r="D14" s="509"/>
      <c r="E14" s="508"/>
      <c r="F14" s="338"/>
      <c r="G14" s="338"/>
      <c r="H14" s="338"/>
      <c r="I14" s="338"/>
      <c r="J14" s="338"/>
      <c r="K14" s="338"/>
    </row>
    <row r="15" spans="1:11" s="44" customFormat="1" ht="18">
      <c r="A15" s="338"/>
      <c r="B15" s="647"/>
      <c r="C15" s="509"/>
      <c r="D15" s="509"/>
      <c r="E15" s="508"/>
      <c r="F15" s="338"/>
      <c r="G15" s="338"/>
      <c r="H15" s="338"/>
      <c r="I15" s="338"/>
      <c r="J15" s="338"/>
      <c r="K15" s="338"/>
    </row>
    <row r="16" spans="1:11" s="44" customFormat="1" ht="18">
      <c r="A16" s="338"/>
      <c r="B16" s="647"/>
      <c r="C16" s="509"/>
      <c r="D16" s="509"/>
      <c r="E16" s="508"/>
      <c r="F16" s="338"/>
      <c r="G16" s="338"/>
      <c r="H16" s="338"/>
      <c r="I16" s="338"/>
      <c r="J16" s="338"/>
      <c r="K16" s="338"/>
    </row>
    <row r="17" spans="1:11" s="44" customFormat="1" ht="18">
      <c r="A17" s="338"/>
      <c r="B17" s="647"/>
      <c r="C17" s="509"/>
      <c r="D17" s="509"/>
      <c r="E17" s="508"/>
      <c r="F17" s="338"/>
      <c r="G17" s="338"/>
      <c r="H17" s="338"/>
      <c r="I17" s="338"/>
      <c r="J17" s="338"/>
      <c r="K17" s="338"/>
    </row>
    <row r="18" spans="1:11" s="44" customFormat="1" ht="18">
      <c r="A18" s="338"/>
      <c r="B18" s="647"/>
      <c r="C18" s="509"/>
      <c r="D18" s="509"/>
      <c r="E18" s="508"/>
      <c r="F18" s="338"/>
      <c r="G18" s="338"/>
      <c r="H18" s="338"/>
      <c r="I18" s="338"/>
      <c r="J18" s="338"/>
      <c r="K18" s="338"/>
    </row>
    <row r="19" spans="1:11" s="44" customFormat="1" ht="18">
      <c r="A19" s="338"/>
      <c r="B19" s="647"/>
      <c r="C19" s="509"/>
      <c r="D19" s="509"/>
      <c r="E19" s="508"/>
      <c r="F19" s="338"/>
      <c r="G19" s="338"/>
      <c r="H19" s="338"/>
      <c r="I19" s="338"/>
      <c r="J19" s="338"/>
      <c r="K19" s="338"/>
    </row>
    <row r="20" spans="1:11" s="44" customFormat="1" ht="18">
      <c r="A20" s="338"/>
      <c r="B20" s="647"/>
      <c r="C20" s="509"/>
      <c r="D20" s="509"/>
      <c r="E20" s="508"/>
      <c r="F20" s="338"/>
      <c r="G20" s="338"/>
      <c r="H20" s="338"/>
      <c r="I20" s="338"/>
      <c r="J20" s="338"/>
      <c r="K20" s="338"/>
    </row>
    <row r="21" spans="1:11" s="44" customFormat="1" ht="18">
      <c r="A21" s="338"/>
      <c r="B21" s="647"/>
      <c r="C21" s="509"/>
      <c r="D21" s="509"/>
      <c r="E21" s="508"/>
      <c r="F21" s="338"/>
      <c r="G21" s="338"/>
      <c r="H21" s="338"/>
      <c r="I21" s="338"/>
      <c r="J21" s="338"/>
      <c r="K21" s="338"/>
    </row>
    <row r="22" spans="1:11" s="44" customFormat="1" ht="18">
      <c r="A22" s="338"/>
      <c r="B22" s="647"/>
      <c r="C22" s="509"/>
      <c r="D22" s="509"/>
      <c r="E22" s="508"/>
      <c r="F22" s="338"/>
      <c r="G22" s="338"/>
      <c r="H22" s="338"/>
      <c r="I22" s="338"/>
      <c r="J22" s="338"/>
      <c r="K22" s="338"/>
    </row>
    <row r="23" spans="1:11" s="44" customFormat="1" ht="18">
      <c r="A23" s="338"/>
      <c r="B23" s="647"/>
      <c r="C23" s="509"/>
      <c r="D23" s="509"/>
      <c r="E23" s="508"/>
      <c r="F23" s="338"/>
      <c r="G23" s="338"/>
      <c r="H23" s="338"/>
      <c r="I23" s="338"/>
      <c r="J23" s="338"/>
      <c r="K23" s="338"/>
    </row>
    <row r="24" spans="1:11" s="44" customFormat="1" ht="18">
      <c r="A24" s="338"/>
      <c r="B24" s="647"/>
      <c r="C24" s="509"/>
      <c r="D24" s="509"/>
      <c r="E24" s="508"/>
      <c r="F24" s="338"/>
      <c r="G24" s="338"/>
      <c r="H24" s="338"/>
      <c r="I24" s="338"/>
      <c r="J24" s="338"/>
      <c r="K24" s="338"/>
    </row>
    <row r="25" spans="1:11" s="44" customFormat="1" ht="18">
      <c r="A25" s="338"/>
      <c r="B25" s="647"/>
      <c r="C25" s="509"/>
      <c r="D25" s="509"/>
      <c r="E25" s="508"/>
      <c r="F25" s="338"/>
      <c r="G25" s="338"/>
      <c r="H25" s="338"/>
      <c r="I25" s="338"/>
      <c r="J25" s="338"/>
      <c r="K25" s="338"/>
    </row>
    <row r="26" spans="1:11" s="44" customFormat="1" ht="18">
      <c r="A26" s="338"/>
      <c r="B26" s="647"/>
      <c r="C26" s="509"/>
      <c r="D26" s="509"/>
      <c r="E26" s="508"/>
      <c r="F26" s="338"/>
      <c r="G26" s="338"/>
      <c r="H26" s="338"/>
      <c r="I26" s="338"/>
      <c r="J26" s="338"/>
      <c r="K26" s="338"/>
    </row>
    <row r="27" spans="1:11" s="44" customFormat="1" ht="18">
      <c r="A27" s="338"/>
      <c r="B27" s="647"/>
      <c r="C27" s="509"/>
      <c r="D27" s="509"/>
      <c r="E27" s="508"/>
      <c r="F27" s="338"/>
      <c r="G27" s="338"/>
      <c r="H27" s="338"/>
      <c r="I27" s="338"/>
      <c r="J27" s="338"/>
      <c r="K27" s="338"/>
    </row>
    <row r="28" spans="1:11" s="44" customFormat="1" ht="18">
      <c r="A28" s="338"/>
      <c r="B28" s="647"/>
      <c r="C28" s="509"/>
      <c r="D28" s="509"/>
      <c r="E28" s="508"/>
      <c r="F28" s="338"/>
      <c r="G28" s="338"/>
      <c r="H28" s="338"/>
      <c r="I28" s="338"/>
      <c r="J28" s="338"/>
      <c r="K28" s="338"/>
    </row>
    <row r="29" spans="1:11" s="44" customFormat="1" ht="18">
      <c r="A29" s="338"/>
      <c r="B29" s="647"/>
      <c r="C29" s="509"/>
      <c r="D29" s="509"/>
      <c r="E29" s="508"/>
      <c r="F29" s="338"/>
      <c r="G29" s="338"/>
      <c r="H29" s="338"/>
      <c r="I29" s="338"/>
      <c r="J29" s="338"/>
      <c r="K29" s="338"/>
    </row>
    <row r="30" spans="1:11" s="44" customFormat="1" ht="18">
      <c r="A30" s="338"/>
      <c r="B30" s="647"/>
      <c r="C30" s="509"/>
      <c r="D30" s="509"/>
      <c r="E30" s="508"/>
      <c r="F30" s="338"/>
      <c r="G30" s="338"/>
      <c r="H30" s="338"/>
      <c r="I30" s="338"/>
      <c r="J30" s="338"/>
      <c r="K30" s="338"/>
    </row>
    <row r="31" spans="1:11" s="44" customFormat="1" ht="18">
      <c r="A31" s="338"/>
      <c r="B31" s="647"/>
      <c r="C31" s="509"/>
      <c r="D31" s="509"/>
      <c r="E31" s="508"/>
      <c r="F31" s="338"/>
      <c r="G31" s="338"/>
      <c r="H31" s="338"/>
      <c r="I31" s="338"/>
      <c r="J31" s="338"/>
      <c r="K31" s="338"/>
    </row>
    <row r="32" spans="1:11" s="44" customFormat="1" ht="18">
      <c r="A32" s="338"/>
      <c r="B32" s="647"/>
      <c r="C32" s="509"/>
      <c r="D32" s="509"/>
      <c r="E32" s="508"/>
      <c r="F32" s="338"/>
      <c r="G32" s="338"/>
      <c r="H32" s="338"/>
      <c r="I32" s="338"/>
      <c r="J32" s="338"/>
      <c r="K32" s="338"/>
    </row>
    <row r="33" spans="1:11" s="44" customFormat="1" ht="18">
      <c r="A33" s="338"/>
      <c r="B33" s="647"/>
      <c r="C33" s="509"/>
      <c r="D33" s="509"/>
      <c r="E33" s="508"/>
      <c r="F33" s="338"/>
      <c r="G33" s="338"/>
      <c r="H33" s="338"/>
      <c r="I33" s="338"/>
      <c r="J33" s="338"/>
      <c r="K33" s="338"/>
    </row>
    <row r="34" spans="1:11" s="44" customFormat="1" ht="18">
      <c r="A34" s="338"/>
      <c r="B34" s="647"/>
      <c r="C34" s="509"/>
      <c r="D34" s="509"/>
      <c r="E34" s="508"/>
      <c r="F34" s="338"/>
      <c r="G34" s="338"/>
      <c r="H34" s="338"/>
      <c r="I34" s="338"/>
      <c r="J34" s="338"/>
      <c r="K34" s="338"/>
    </row>
    <row r="35" spans="1:11" s="44" customFormat="1" ht="18">
      <c r="A35" s="338"/>
      <c r="B35" s="647"/>
      <c r="C35" s="509"/>
      <c r="D35" s="509"/>
      <c r="E35" s="508"/>
      <c r="F35" s="338"/>
      <c r="G35" s="338"/>
      <c r="H35" s="338"/>
      <c r="I35" s="338"/>
      <c r="J35" s="338"/>
      <c r="K35" s="338"/>
    </row>
    <row r="36" spans="1:11" s="44" customFormat="1" ht="18">
      <c r="A36" s="338"/>
      <c r="B36" s="647"/>
      <c r="C36" s="509"/>
      <c r="D36" s="509"/>
      <c r="E36" s="508"/>
      <c r="F36" s="338"/>
      <c r="G36" s="338"/>
      <c r="H36" s="338"/>
      <c r="I36" s="338"/>
      <c r="J36" s="338"/>
      <c r="K36" s="338"/>
    </row>
    <row r="37" spans="1:11" s="44" customFormat="1" ht="18">
      <c r="A37" s="338"/>
      <c r="B37" s="647"/>
      <c r="C37" s="509"/>
      <c r="D37" s="509"/>
      <c r="E37" s="508"/>
      <c r="F37" s="338"/>
      <c r="G37" s="338"/>
      <c r="H37" s="338"/>
      <c r="I37" s="338"/>
      <c r="J37" s="338"/>
      <c r="K37" s="338"/>
    </row>
    <row r="38" spans="1:11" s="44" customFormat="1" ht="18">
      <c r="A38" s="338"/>
      <c r="B38" s="647"/>
      <c r="C38" s="509"/>
      <c r="D38" s="509"/>
      <c r="E38" s="508"/>
      <c r="F38" s="338"/>
      <c r="G38" s="338"/>
      <c r="H38" s="338"/>
      <c r="I38" s="338"/>
      <c r="J38" s="338"/>
      <c r="K38" s="338"/>
    </row>
    <row r="39" spans="1:11" s="44" customFormat="1" ht="18">
      <c r="A39" s="338"/>
      <c r="B39" s="647"/>
      <c r="C39" s="509"/>
      <c r="D39" s="509"/>
      <c r="E39" s="508"/>
      <c r="F39" s="338"/>
      <c r="G39" s="338"/>
      <c r="H39" s="338"/>
      <c r="I39" s="338"/>
      <c r="J39" s="338"/>
      <c r="K39" s="338"/>
    </row>
    <row r="40" spans="1:11" s="44" customFormat="1" ht="18">
      <c r="A40" s="338"/>
      <c r="B40" s="647"/>
      <c r="C40" s="509"/>
      <c r="D40" s="509"/>
      <c r="E40" s="508"/>
      <c r="F40" s="338"/>
      <c r="G40" s="338"/>
      <c r="H40" s="338"/>
      <c r="I40" s="338"/>
      <c r="J40" s="338"/>
      <c r="K40" s="338"/>
    </row>
    <row r="41" spans="1:11" s="44" customFormat="1" ht="18">
      <c r="A41" s="338"/>
      <c r="B41" s="647"/>
      <c r="C41" s="509"/>
      <c r="D41" s="509"/>
      <c r="E41" s="508"/>
      <c r="F41" s="338"/>
      <c r="G41" s="338"/>
      <c r="H41" s="338"/>
      <c r="I41" s="338"/>
      <c r="J41" s="338"/>
      <c r="K41" s="338"/>
    </row>
    <row r="42" spans="1:11" s="44" customFormat="1" ht="18">
      <c r="A42" s="338"/>
      <c r="B42" s="647"/>
      <c r="C42" s="509"/>
      <c r="D42" s="509"/>
      <c r="E42" s="508"/>
      <c r="F42" s="338"/>
      <c r="G42" s="338"/>
      <c r="H42" s="338"/>
      <c r="I42" s="338"/>
      <c r="J42" s="338"/>
      <c r="K42" s="338"/>
    </row>
    <row r="43" spans="1:11" s="44" customFormat="1" ht="18">
      <c r="A43" s="338"/>
      <c r="B43" s="647"/>
      <c r="C43" s="509"/>
      <c r="D43" s="509"/>
      <c r="E43" s="508"/>
      <c r="F43" s="338"/>
      <c r="G43" s="338"/>
      <c r="H43" s="338"/>
      <c r="I43" s="338"/>
      <c r="J43" s="338"/>
      <c r="K43" s="338"/>
    </row>
    <row r="44" spans="1:11" s="44" customFormat="1" ht="18">
      <c r="A44" s="338"/>
      <c r="B44" s="647"/>
      <c r="C44" s="509"/>
      <c r="D44" s="509"/>
      <c r="E44" s="508"/>
      <c r="F44" s="338"/>
      <c r="G44" s="338"/>
      <c r="H44" s="338"/>
      <c r="I44" s="338"/>
      <c r="J44" s="338"/>
      <c r="K44" s="338"/>
    </row>
    <row r="45" spans="1:11" s="44" customFormat="1" ht="18">
      <c r="A45" s="338"/>
      <c r="B45" s="647"/>
      <c r="C45" s="509"/>
      <c r="D45" s="509"/>
      <c r="E45" s="508"/>
      <c r="F45" s="338"/>
      <c r="G45" s="338"/>
      <c r="H45" s="338"/>
      <c r="I45" s="338"/>
      <c r="J45" s="338"/>
      <c r="K45" s="338"/>
    </row>
    <row r="46" spans="1:11" s="44" customFormat="1" ht="18">
      <c r="A46" s="338"/>
      <c r="B46" s="647"/>
      <c r="C46" s="509"/>
      <c r="D46" s="509"/>
      <c r="E46" s="508"/>
      <c r="F46" s="338"/>
      <c r="G46" s="338"/>
      <c r="H46" s="338"/>
      <c r="I46" s="338"/>
      <c r="J46" s="338"/>
      <c r="K46" s="338"/>
    </row>
    <row r="47" spans="1:11" s="44" customFormat="1" ht="18">
      <c r="A47" s="338"/>
      <c r="B47" s="647"/>
      <c r="C47" s="509"/>
      <c r="D47" s="509"/>
      <c r="E47" s="508"/>
      <c r="F47" s="338"/>
      <c r="G47" s="338"/>
      <c r="H47" s="338"/>
      <c r="I47" s="338"/>
      <c r="J47" s="338"/>
      <c r="K47" s="338"/>
    </row>
    <row r="48" spans="1:11" s="44" customFormat="1" ht="18">
      <c r="A48" s="338"/>
      <c r="B48" s="647"/>
      <c r="C48" s="509"/>
      <c r="D48" s="509"/>
      <c r="E48" s="508"/>
      <c r="F48" s="338"/>
      <c r="G48" s="338"/>
      <c r="H48" s="338"/>
      <c r="I48" s="338"/>
      <c r="J48" s="338"/>
      <c r="K48" s="338"/>
    </row>
    <row r="49" spans="1:11" s="44" customFormat="1" ht="18">
      <c r="A49" s="338"/>
      <c r="B49" s="647"/>
      <c r="C49" s="509"/>
      <c r="D49" s="509"/>
      <c r="E49" s="508"/>
      <c r="F49" s="338"/>
      <c r="G49" s="338"/>
      <c r="H49" s="338"/>
      <c r="I49" s="338"/>
      <c r="J49" s="338"/>
      <c r="K49" s="338"/>
    </row>
    <row r="50" spans="1:11" s="44" customFormat="1" ht="18">
      <c r="A50" s="338"/>
      <c r="B50" s="647"/>
      <c r="C50" s="509"/>
      <c r="D50" s="509"/>
      <c r="E50" s="508"/>
      <c r="F50" s="338"/>
      <c r="G50" s="338"/>
      <c r="H50" s="338"/>
      <c r="I50" s="338"/>
      <c r="J50" s="338"/>
      <c r="K50" s="338"/>
    </row>
    <row r="51" spans="1:11" s="44" customFormat="1" ht="18">
      <c r="A51" s="338"/>
      <c r="B51" s="647"/>
      <c r="C51" s="509"/>
      <c r="D51" s="509"/>
      <c r="E51" s="508"/>
      <c r="F51" s="338"/>
      <c r="G51" s="338"/>
      <c r="H51" s="338"/>
      <c r="I51" s="338"/>
      <c r="J51" s="338"/>
      <c r="K51" s="338"/>
    </row>
    <row r="52" spans="1:11" s="44" customFormat="1" ht="18">
      <c r="A52" s="338"/>
      <c r="B52" s="647"/>
      <c r="C52" s="509"/>
      <c r="D52" s="509"/>
      <c r="E52" s="508"/>
      <c r="F52" s="338"/>
      <c r="G52" s="338"/>
      <c r="H52" s="338"/>
      <c r="I52" s="338"/>
      <c r="J52" s="338"/>
      <c r="K52" s="338"/>
    </row>
    <row r="53" spans="1:11" s="44" customFormat="1" ht="18">
      <c r="A53" s="338"/>
      <c r="B53" s="647"/>
      <c r="C53" s="509"/>
      <c r="D53" s="509"/>
      <c r="E53" s="508"/>
      <c r="F53" s="338"/>
      <c r="G53" s="338"/>
      <c r="H53" s="338"/>
      <c r="I53" s="338"/>
      <c r="J53" s="338"/>
      <c r="K53" s="338"/>
    </row>
    <row r="54" spans="1:11" s="44" customFormat="1" ht="18">
      <c r="A54" s="338"/>
      <c r="B54" s="647"/>
      <c r="C54" s="509"/>
      <c r="D54" s="509"/>
      <c r="E54" s="508"/>
      <c r="F54" s="338"/>
      <c r="G54" s="338"/>
      <c r="H54" s="338"/>
      <c r="I54" s="338"/>
      <c r="J54" s="338"/>
      <c r="K54" s="338"/>
    </row>
    <row r="55" spans="1:11" s="44" customFormat="1" ht="18">
      <c r="A55" s="338"/>
      <c r="B55" s="647"/>
      <c r="C55" s="509"/>
      <c r="D55" s="509"/>
      <c r="E55" s="508"/>
      <c r="F55" s="338"/>
      <c r="G55" s="338"/>
      <c r="H55" s="338"/>
      <c r="I55" s="338"/>
      <c r="J55" s="338"/>
      <c r="K55" s="338"/>
    </row>
    <row r="56" spans="1:11" s="44" customFormat="1" ht="18">
      <c r="A56" s="338"/>
      <c r="B56" s="647"/>
      <c r="C56" s="509"/>
      <c r="D56" s="509"/>
      <c r="E56" s="508"/>
      <c r="F56" s="338"/>
      <c r="G56" s="338"/>
      <c r="H56" s="338"/>
      <c r="I56" s="338"/>
      <c r="J56" s="338"/>
      <c r="K56" s="338"/>
    </row>
    <row r="57" spans="1:11" s="44" customFormat="1" ht="18">
      <c r="A57" s="338"/>
      <c r="B57" s="647"/>
      <c r="C57" s="509"/>
      <c r="D57" s="509"/>
      <c r="E57" s="508"/>
      <c r="F57" s="338"/>
      <c r="G57" s="338"/>
      <c r="H57" s="338"/>
      <c r="I57" s="338"/>
      <c r="J57" s="338"/>
      <c r="K57" s="338"/>
    </row>
    <row r="58" spans="1:11" s="44" customFormat="1" ht="18">
      <c r="A58" s="338"/>
      <c r="B58" s="647"/>
      <c r="C58" s="509"/>
      <c r="D58" s="509"/>
      <c r="E58" s="508"/>
      <c r="F58" s="338"/>
      <c r="G58" s="338"/>
      <c r="H58" s="338"/>
      <c r="I58" s="338"/>
      <c r="J58" s="338"/>
      <c r="K58" s="338"/>
    </row>
    <row r="59" spans="1:11" s="44" customFormat="1" ht="18">
      <c r="A59" s="338"/>
      <c r="B59" s="647"/>
      <c r="C59" s="509"/>
      <c r="D59" s="509"/>
      <c r="E59" s="508"/>
      <c r="F59" s="338"/>
      <c r="G59" s="338"/>
      <c r="H59" s="338"/>
      <c r="I59" s="338"/>
      <c r="J59" s="338"/>
      <c r="K59" s="338"/>
    </row>
    <row r="60" spans="1:11" s="44" customFormat="1" ht="18">
      <c r="A60" s="338"/>
      <c r="B60" s="647"/>
      <c r="C60" s="509"/>
      <c r="D60" s="509"/>
      <c r="E60" s="508"/>
      <c r="F60" s="338"/>
      <c r="G60" s="338"/>
      <c r="H60" s="338"/>
      <c r="I60" s="338"/>
      <c r="J60" s="338"/>
      <c r="K60" s="338"/>
    </row>
    <row r="61" spans="1:11" s="44" customFormat="1" ht="18">
      <c r="A61" s="338"/>
      <c r="B61" s="647"/>
      <c r="C61" s="509"/>
      <c r="D61" s="509"/>
      <c r="E61" s="508"/>
      <c r="F61" s="338"/>
      <c r="G61" s="338"/>
      <c r="H61" s="338"/>
      <c r="I61" s="338"/>
      <c r="J61" s="338"/>
      <c r="K61" s="338"/>
    </row>
    <row r="62" spans="1:11" s="44" customFormat="1" ht="18">
      <c r="A62" s="338"/>
      <c r="B62" s="647"/>
      <c r="C62" s="509"/>
      <c r="D62" s="509"/>
      <c r="E62" s="508"/>
      <c r="F62" s="338"/>
      <c r="G62" s="338"/>
      <c r="H62" s="338"/>
      <c r="I62" s="338"/>
      <c r="J62" s="338"/>
      <c r="K62" s="338"/>
    </row>
    <row r="63" spans="1:11" s="44" customFormat="1" ht="18">
      <c r="A63" s="338"/>
      <c r="B63" s="647"/>
      <c r="C63" s="509"/>
      <c r="D63" s="509"/>
      <c r="E63" s="508"/>
      <c r="F63" s="338"/>
      <c r="G63" s="338"/>
      <c r="H63" s="338"/>
      <c r="I63" s="338"/>
      <c r="J63" s="338"/>
      <c r="K63" s="338"/>
    </row>
    <row r="64" spans="1:11" s="44" customFormat="1" ht="18">
      <c r="A64" s="338"/>
      <c r="B64" s="647"/>
      <c r="C64" s="509"/>
      <c r="D64" s="509"/>
      <c r="E64" s="508"/>
      <c r="F64" s="338"/>
      <c r="G64" s="338"/>
      <c r="H64" s="338"/>
      <c r="I64" s="338"/>
      <c r="J64" s="338"/>
      <c r="K64" s="338"/>
    </row>
    <row r="65" spans="1:11" s="44" customFormat="1" ht="18">
      <c r="A65" s="338"/>
      <c r="B65" s="647"/>
      <c r="C65" s="509"/>
      <c r="D65" s="509"/>
      <c r="E65" s="508"/>
      <c r="F65" s="338"/>
      <c r="G65" s="338"/>
      <c r="H65" s="338"/>
      <c r="I65" s="338"/>
      <c r="J65" s="338"/>
      <c r="K65" s="338"/>
    </row>
    <row r="66" spans="1:11" s="44" customFormat="1" ht="18">
      <c r="A66" s="338"/>
      <c r="B66" s="647"/>
      <c r="C66" s="509"/>
      <c r="D66" s="509"/>
      <c r="E66" s="508"/>
      <c r="F66" s="338"/>
      <c r="G66" s="338"/>
      <c r="H66" s="338"/>
      <c r="I66" s="338"/>
      <c r="J66" s="338"/>
      <c r="K66" s="338"/>
    </row>
    <row r="67" spans="1:11" s="44" customFormat="1" ht="18">
      <c r="A67" s="338"/>
      <c r="B67" s="647"/>
      <c r="C67" s="509"/>
      <c r="D67" s="509"/>
      <c r="E67" s="508"/>
      <c r="F67" s="338"/>
      <c r="G67" s="338"/>
      <c r="H67" s="338"/>
      <c r="I67" s="338"/>
      <c r="J67" s="338"/>
      <c r="K67" s="338"/>
    </row>
    <row r="68" spans="1:11" s="44" customFormat="1" ht="18">
      <c r="A68" s="338"/>
      <c r="B68" s="647"/>
      <c r="C68" s="509"/>
      <c r="D68" s="509"/>
      <c r="E68" s="508"/>
      <c r="F68" s="338"/>
      <c r="G68" s="338"/>
      <c r="H68" s="338"/>
      <c r="I68" s="338"/>
      <c r="J68" s="338"/>
      <c r="K68" s="338"/>
    </row>
    <row r="69" spans="1:11" s="44" customFormat="1" ht="18">
      <c r="A69" s="338"/>
      <c r="B69" s="647"/>
      <c r="C69" s="509"/>
      <c r="D69" s="509"/>
      <c r="E69" s="508"/>
      <c r="F69" s="338"/>
      <c r="G69" s="338"/>
      <c r="H69" s="338"/>
      <c r="I69" s="338"/>
      <c r="J69" s="338"/>
      <c r="K69" s="338"/>
    </row>
    <row r="70" spans="1:11" s="44" customFormat="1" ht="18">
      <c r="A70" s="338"/>
      <c r="B70" s="647"/>
      <c r="C70" s="509"/>
      <c r="D70" s="509"/>
      <c r="E70" s="508"/>
      <c r="F70" s="338"/>
      <c r="G70" s="338"/>
      <c r="H70" s="338"/>
      <c r="I70" s="338"/>
      <c r="J70" s="338"/>
      <c r="K70" s="338"/>
    </row>
    <row r="71" spans="1:11" s="44" customFormat="1" ht="18">
      <c r="A71" s="338"/>
      <c r="B71" s="647"/>
      <c r="C71" s="509"/>
      <c r="D71" s="509"/>
      <c r="E71" s="508"/>
      <c r="F71" s="338"/>
      <c r="G71" s="338"/>
      <c r="H71" s="338"/>
      <c r="I71" s="338"/>
      <c r="J71" s="338"/>
      <c r="K71" s="338"/>
    </row>
    <row r="72" spans="1:11" s="44" customFormat="1" ht="18">
      <c r="A72" s="338"/>
      <c r="B72" s="647"/>
      <c r="C72" s="509"/>
      <c r="D72" s="509"/>
      <c r="E72" s="508"/>
      <c r="F72" s="338"/>
      <c r="G72" s="338"/>
      <c r="H72" s="338"/>
      <c r="I72" s="338"/>
      <c r="J72" s="338"/>
      <c r="K72" s="338"/>
    </row>
    <row r="73" spans="1:11" s="44" customFormat="1" ht="18">
      <c r="A73" s="338"/>
      <c r="B73" s="647"/>
      <c r="C73" s="509"/>
      <c r="D73" s="509"/>
      <c r="E73" s="508"/>
      <c r="F73" s="338"/>
      <c r="G73" s="338"/>
      <c r="H73" s="338"/>
      <c r="I73" s="338"/>
      <c r="J73" s="338"/>
      <c r="K73" s="338"/>
    </row>
    <row r="74" spans="1:11" s="44" customFormat="1" ht="18">
      <c r="A74" s="338"/>
      <c r="B74" s="647"/>
      <c r="C74" s="509"/>
      <c r="D74" s="509"/>
      <c r="E74" s="508"/>
      <c r="F74" s="338"/>
      <c r="G74" s="338"/>
      <c r="H74" s="338"/>
      <c r="I74" s="338"/>
      <c r="J74" s="338"/>
      <c r="K74" s="338"/>
    </row>
    <row r="75" spans="1:11" s="44" customFormat="1" ht="18">
      <c r="A75" s="338"/>
      <c r="B75" s="647"/>
      <c r="C75" s="509"/>
      <c r="D75" s="509"/>
      <c r="E75" s="508"/>
      <c r="F75" s="338"/>
      <c r="G75" s="338"/>
      <c r="H75" s="338"/>
      <c r="I75" s="338"/>
      <c r="J75" s="338"/>
      <c r="K75" s="338"/>
    </row>
    <row r="76" spans="1:11" s="44" customFormat="1" ht="18">
      <c r="A76" s="338"/>
      <c r="B76" s="647"/>
      <c r="C76" s="509"/>
      <c r="D76" s="509"/>
      <c r="E76" s="508"/>
      <c r="F76" s="338"/>
      <c r="G76" s="338"/>
      <c r="H76" s="338"/>
      <c r="I76" s="338"/>
      <c r="J76" s="338"/>
      <c r="K76" s="338"/>
    </row>
    <row r="77" spans="1:11" s="44" customFormat="1" ht="18">
      <c r="A77" s="338"/>
      <c r="B77" s="647"/>
      <c r="C77" s="509"/>
      <c r="D77" s="509"/>
      <c r="E77" s="508"/>
      <c r="F77" s="338"/>
      <c r="G77" s="338"/>
      <c r="H77" s="338"/>
      <c r="I77" s="338"/>
      <c r="J77" s="338"/>
      <c r="K77" s="338"/>
    </row>
    <row r="78" spans="1:11" s="44" customFormat="1" ht="18">
      <c r="A78" s="338"/>
      <c r="B78" s="647"/>
      <c r="C78" s="509"/>
      <c r="D78" s="509"/>
      <c r="E78" s="508"/>
      <c r="F78" s="338"/>
      <c r="G78" s="338"/>
      <c r="H78" s="338"/>
      <c r="I78" s="338"/>
      <c r="J78" s="338"/>
      <c r="K78" s="338"/>
    </row>
    <row r="79" spans="1:11" s="44" customFormat="1" ht="18">
      <c r="A79" s="338"/>
      <c r="B79" s="647"/>
      <c r="C79" s="509"/>
      <c r="D79" s="509"/>
      <c r="E79" s="508"/>
      <c r="F79" s="338"/>
      <c r="G79" s="338"/>
      <c r="H79" s="338"/>
      <c r="I79" s="338"/>
      <c r="J79" s="338"/>
      <c r="K79" s="338"/>
    </row>
    <row r="80" spans="1:11" s="44" customFormat="1" ht="18">
      <c r="A80" s="338"/>
      <c r="B80" s="647"/>
      <c r="C80" s="509"/>
      <c r="D80" s="509"/>
      <c r="E80" s="508"/>
      <c r="F80" s="338"/>
      <c r="G80" s="338"/>
      <c r="H80" s="338"/>
      <c r="I80" s="338"/>
      <c r="J80" s="338"/>
      <c r="K80" s="338"/>
    </row>
    <row r="81" spans="1:11" s="44" customFormat="1" ht="18">
      <c r="A81" s="338"/>
      <c r="B81" s="647"/>
      <c r="C81" s="509"/>
      <c r="D81" s="509"/>
      <c r="E81" s="508"/>
      <c r="F81" s="338"/>
      <c r="G81" s="338"/>
      <c r="H81" s="338"/>
      <c r="I81" s="338"/>
      <c r="J81" s="338"/>
      <c r="K81" s="338"/>
    </row>
    <row r="82" spans="1:11" s="44" customFormat="1" ht="18">
      <c r="A82" s="338"/>
      <c r="B82" s="647"/>
      <c r="C82" s="509"/>
      <c r="D82" s="509"/>
      <c r="E82" s="508"/>
      <c r="F82" s="338"/>
      <c r="G82" s="338"/>
      <c r="H82" s="338"/>
      <c r="I82" s="338"/>
      <c r="J82" s="338"/>
      <c r="K82" s="338"/>
    </row>
    <row r="83" spans="1:11" s="44" customFormat="1" ht="18">
      <c r="A83" s="338"/>
      <c r="B83" s="647"/>
      <c r="C83" s="509"/>
      <c r="D83" s="509"/>
      <c r="E83" s="508"/>
      <c r="F83" s="338"/>
      <c r="G83" s="338"/>
      <c r="H83" s="338"/>
      <c r="I83" s="338"/>
      <c r="J83" s="338"/>
      <c r="K83" s="338"/>
    </row>
    <row r="84" spans="1:11" s="44" customFormat="1" ht="18">
      <c r="A84" s="338"/>
      <c r="B84" s="647"/>
      <c r="C84" s="509"/>
      <c r="D84" s="509"/>
      <c r="E84" s="508"/>
      <c r="F84" s="338"/>
      <c r="G84" s="338"/>
      <c r="H84" s="338"/>
      <c r="I84" s="338"/>
      <c r="J84" s="338"/>
      <c r="K84" s="338"/>
    </row>
    <row r="85" spans="1:11" s="44" customFormat="1" ht="18">
      <c r="A85" s="338"/>
      <c r="B85" s="647"/>
      <c r="C85" s="509"/>
      <c r="D85" s="509"/>
      <c r="E85" s="508"/>
      <c r="F85" s="338"/>
      <c r="G85" s="338"/>
      <c r="H85" s="338"/>
      <c r="I85" s="338"/>
      <c r="J85" s="338"/>
      <c r="K85" s="338"/>
    </row>
    <row r="86" spans="1:11" s="44" customFormat="1" ht="18">
      <c r="A86" s="338"/>
      <c r="B86" s="647"/>
      <c r="C86" s="509"/>
      <c r="D86" s="509"/>
      <c r="E86" s="508"/>
      <c r="F86" s="338"/>
      <c r="G86" s="338"/>
      <c r="H86" s="338"/>
      <c r="I86" s="338"/>
      <c r="J86" s="338"/>
      <c r="K86" s="338"/>
    </row>
    <row r="87" spans="1:11" s="44" customFormat="1" ht="18">
      <c r="A87" s="338"/>
      <c r="B87" s="647"/>
      <c r="C87" s="509"/>
      <c r="D87" s="509"/>
      <c r="E87" s="508"/>
      <c r="F87" s="338"/>
      <c r="G87" s="338"/>
      <c r="H87" s="338"/>
      <c r="I87" s="338"/>
      <c r="J87" s="338"/>
      <c r="K87" s="338"/>
    </row>
    <row r="88" spans="1:11" s="44" customFormat="1" ht="18">
      <c r="A88" s="338"/>
      <c r="B88" s="647"/>
      <c r="C88" s="509"/>
      <c r="D88" s="509"/>
      <c r="E88" s="508"/>
      <c r="F88" s="338"/>
      <c r="G88" s="338"/>
      <c r="H88" s="338"/>
      <c r="I88" s="338"/>
      <c r="J88" s="338"/>
      <c r="K88" s="338"/>
    </row>
    <row r="89" spans="1:11" s="44" customFormat="1" ht="18">
      <c r="A89" s="338"/>
      <c r="B89" s="647"/>
      <c r="C89" s="509"/>
      <c r="D89" s="509"/>
      <c r="E89" s="508"/>
      <c r="F89" s="338"/>
      <c r="G89" s="338"/>
      <c r="H89" s="338"/>
      <c r="I89" s="338"/>
      <c r="J89" s="338"/>
      <c r="K89" s="338"/>
    </row>
    <row r="90" spans="1:11" s="44" customFormat="1" ht="18">
      <c r="A90" s="338"/>
      <c r="B90" s="647"/>
      <c r="C90" s="509"/>
      <c r="D90" s="509"/>
      <c r="E90" s="508"/>
      <c r="F90" s="338"/>
      <c r="G90" s="338"/>
      <c r="H90" s="338"/>
      <c r="I90" s="338"/>
      <c r="J90" s="338"/>
      <c r="K90" s="338"/>
    </row>
    <row r="91" spans="1:11" s="44" customFormat="1" ht="18">
      <c r="A91" s="338"/>
      <c r="B91" s="647"/>
      <c r="C91" s="509"/>
      <c r="D91" s="509"/>
      <c r="E91" s="508"/>
      <c r="F91" s="338"/>
      <c r="G91" s="338"/>
      <c r="H91" s="338"/>
      <c r="I91" s="338"/>
      <c r="J91" s="338"/>
      <c r="K91" s="338"/>
    </row>
    <row r="92" spans="1:11" s="44" customFormat="1" ht="18">
      <c r="A92" s="338"/>
      <c r="B92" s="647"/>
      <c r="C92" s="509"/>
      <c r="D92" s="509"/>
      <c r="E92" s="508"/>
      <c r="F92" s="338"/>
      <c r="G92" s="338"/>
      <c r="H92" s="338"/>
      <c r="I92" s="338"/>
      <c r="J92" s="338"/>
      <c r="K92" s="338"/>
    </row>
    <row r="93" spans="1:11" s="44" customFormat="1" ht="18">
      <c r="A93" s="338"/>
      <c r="B93" s="647"/>
      <c r="C93" s="509"/>
      <c r="D93" s="509"/>
      <c r="E93" s="508"/>
      <c r="F93" s="338"/>
      <c r="G93" s="338"/>
      <c r="H93" s="338"/>
      <c r="I93" s="338"/>
      <c r="J93" s="338"/>
      <c r="K93" s="338"/>
    </row>
    <row r="94" spans="1:11" s="44" customFormat="1" ht="18">
      <c r="A94" s="338"/>
      <c r="B94" s="647"/>
      <c r="C94" s="509"/>
      <c r="D94" s="509"/>
      <c r="E94" s="508"/>
      <c r="F94" s="338"/>
      <c r="G94" s="338"/>
      <c r="H94" s="338"/>
      <c r="I94" s="338"/>
      <c r="J94" s="338"/>
      <c r="K94" s="338"/>
    </row>
    <row r="95" spans="1:11" s="44" customFormat="1" ht="18">
      <c r="A95" s="338"/>
      <c r="B95" s="647"/>
      <c r="C95" s="509"/>
      <c r="D95" s="509"/>
      <c r="E95" s="508"/>
      <c r="F95" s="338"/>
      <c r="G95" s="338"/>
      <c r="H95" s="338"/>
      <c r="I95" s="338"/>
      <c r="J95" s="338"/>
      <c r="K95" s="338"/>
    </row>
    <row r="96" spans="1:11" s="44" customFormat="1" ht="18">
      <c r="A96" s="338"/>
      <c r="B96" s="647"/>
      <c r="C96" s="509"/>
      <c r="D96" s="509"/>
      <c r="E96" s="508"/>
      <c r="F96" s="338"/>
      <c r="G96" s="338"/>
      <c r="H96" s="338"/>
      <c r="I96" s="338"/>
      <c r="J96" s="338"/>
      <c r="K96" s="338"/>
    </row>
    <row r="97" spans="1:11" s="44" customFormat="1" ht="18">
      <c r="A97" s="338"/>
      <c r="B97" s="647"/>
      <c r="C97" s="509"/>
      <c r="D97" s="509"/>
      <c r="E97" s="508"/>
      <c r="F97" s="338"/>
      <c r="G97" s="338"/>
      <c r="H97" s="338"/>
      <c r="I97" s="338"/>
      <c r="J97" s="338"/>
      <c r="K97" s="338"/>
    </row>
    <row r="98" spans="1:11" s="44" customFormat="1" ht="18">
      <c r="A98" s="338"/>
      <c r="B98" s="647"/>
      <c r="C98" s="509"/>
      <c r="D98" s="509"/>
      <c r="E98" s="508"/>
      <c r="F98" s="338"/>
      <c r="G98" s="338"/>
      <c r="H98" s="338"/>
      <c r="I98" s="338"/>
      <c r="J98" s="338"/>
      <c r="K98" s="338"/>
    </row>
    <row r="99" spans="1:11" s="44" customFormat="1" ht="18">
      <c r="A99" s="338"/>
      <c r="B99" s="647"/>
      <c r="C99" s="509"/>
      <c r="D99" s="509"/>
      <c r="E99" s="508"/>
      <c r="F99" s="338"/>
      <c r="G99" s="338"/>
      <c r="H99" s="338"/>
      <c r="I99" s="338"/>
      <c r="J99" s="338"/>
      <c r="K99" s="338"/>
    </row>
    <row r="100" spans="1:11" s="44" customFormat="1" ht="18">
      <c r="A100" s="338"/>
      <c r="B100" s="647"/>
      <c r="C100" s="509"/>
      <c r="D100" s="509"/>
      <c r="E100" s="508"/>
      <c r="F100" s="338"/>
      <c r="G100" s="338"/>
      <c r="H100" s="338"/>
      <c r="I100" s="338"/>
      <c r="J100" s="338"/>
      <c r="K100" s="338"/>
    </row>
    <row r="101" spans="1:11" s="44" customFormat="1" ht="18">
      <c r="A101" s="338"/>
      <c r="B101" s="647"/>
      <c r="C101" s="509"/>
      <c r="D101" s="509"/>
      <c r="E101" s="508"/>
      <c r="F101" s="338"/>
      <c r="G101" s="338"/>
      <c r="H101" s="338"/>
      <c r="I101" s="338"/>
      <c r="J101" s="338"/>
      <c r="K101" s="338"/>
    </row>
    <row r="102" spans="1:11" s="44" customFormat="1" ht="18">
      <c r="A102" s="338"/>
      <c r="B102" s="647"/>
      <c r="C102" s="509"/>
      <c r="D102" s="509"/>
      <c r="E102" s="508"/>
      <c r="F102" s="338"/>
      <c r="G102" s="338"/>
      <c r="H102" s="338"/>
      <c r="I102" s="338"/>
      <c r="J102" s="338"/>
      <c r="K102" s="338"/>
    </row>
    <row r="103" spans="1:11" s="44" customFormat="1" ht="18">
      <c r="A103" s="338"/>
      <c r="B103" s="647"/>
      <c r="C103" s="509"/>
      <c r="D103" s="509"/>
      <c r="E103" s="508"/>
      <c r="F103" s="338"/>
      <c r="G103" s="338"/>
      <c r="H103" s="338"/>
      <c r="I103" s="338"/>
      <c r="J103" s="338"/>
      <c r="K103" s="338"/>
    </row>
    <row r="104" spans="1:11" s="44" customFormat="1" ht="18">
      <c r="A104" s="338"/>
      <c r="B104" s="647"/>
      <c r="C104" s="509"/>
      <c r="D104" s="509"/>
      <c r="E104" s="508"/>
      <c r="F104" s="338"/>
      <c r="G104" s="338"/>
      <c r="H104" s="338"/>
      <c r="I104" s="338"/>
      <c r="J104" s="338"/>
      <c r="K104" s="338"/>
    </row>
    <row r="105" spans="1:11" s="44" customFormat="1" ht="18">
      <c r="A105" s="338"/>
      <c r="B105" s="647"/>
      <c r="C105" s="509"/>
      <c r="D105" s="509"/>
      <c r="E105" s="508"/>
      <c r="F105" s="338"/>
      <c r="G105" s="338"/>
      <c r="H105" s="338"/>
      <c r="I105" s="338"/>
      <c r="J105" s="338"/>
      <c r="K105" s="338"/>
    </row>
    <row r="106" spans="1:11" s="44" customFormat="1" ht="18">
      <c r="A106" s="338"/>
      <c r="B106" s="647"/>
      <c r="C106" s="509"/>
      <c r="D106" s="509"/>
      <c r="E106" s="508"/>
      <c r="F106" s="338"/>
      <c r="G106" s="338"/>
      <c r="H106" s="338"/>
      <c r="I106" s="338"/>
      <c r="J106" s="338"/>
      <c r="K106" s="338"/>
    </row>
    <row r="107" spans="1:11" s="44" customFormat="1" ht="18">
      <c r="A107" s="338"/>
      <c r="B107" s="647"/>
      <c r="C107" s="509"/>
      <c r="D107" s="509"/>
      <c r="E107" s="508"/>
      <c r="F107" s="338"/>
      <c r="G107" s="338"/>
      <c r="H107" s="338"/>
      <c r="I107" s="338"/>
      <c r="J107" s="338"/>
      <c r="K107" s="338"/>
    </row>
    <row r="108" spans="1:11" s="44" customFormat="1" ht="18">
      <c r="A108" s="338"/>
      <c r="B108" s="647"/>
      <c r="C108" s="509"/>
      <c r="D108" s="509"/>
      <c r="E108" s="508"/>
      <c r="F108" s="338"/>
      <c r="G108" s="338"/>
      <c r="H108" s="338"/>
      <c r="I108" s="338"/>
      <c r="J108" s="338"/>
      <c r="K108" s="338"/>
    </row>
    <row r="109" spans="1:11" s="44" customFormat="1" ht="18">
      <c r="A109" s="338"/>
      <c r="B109" s="647"/>
      <c r="C109" s="509"/>
      <c r="D109" s="509"/>
      <c r="E109" s="508"/>
      <c r="F109" s="338"/>
      <c r="G109" s="338"/>
      <c r="H109" s="338"/>
      <c r="I109" s="338"/>
      <c r="J109" s="338"/>
      <c r="K109" s="338"/>
    </row>
    <row r="110" spans="1:11" s="44" customFormat="1" ht="18">
      <c r="A110" s="338"/>
      <c r="B110" s="647"/>
      <c r="C110" s="509"/>
      <c r="D110" s="509"/>
      <c r="E110" s="508"/>
      <c r="F110" s="338"/>
      <c r="G110" s="338"/>
      <c r="H110" s="338"/>
      <c r="I110" s="338"/>
      <c r="J110" s="338"/>
      <c r="K110" s="338"/>
    </row>
    <row r="111" spans="1:11" s="44" customFormat="1" ht="18">
      <c r="A111" s="338"/>
      <c r="B111" s="647"/>
      <c r="C111" s="509"/>
      <c r="D111" s="509"/>
      <c r="E111" s="508"/>
      <c r="F111" s="338"/>
      <c r="G111" s="338"/>
      <c r="H111" s="338"/>
      <c r="I111" s="338"/>
      <c r="J111" s="338"/>
      <c r="K111" s="338"/>
    </row>
    <row r="112" spans="1:11" s="44" customFormat="1" ht="18">
      <c r="A112" s="338"/>
      <c r="B112" s="647"/>
      <c r="C112" s="509"/>
      <c r="D112" s="509"/>
      <c r="E112" s="508"/>
      <c r="F112" s="338"/>
      <c r="G112" s="338"/>
      <c r="H112" s="338"/>
      <c r="I112" s="338"/>
      <c r="J112" s="338"/>
      <c r="K112" s="338"/>
    </row>
    <row r="113" spans="1:11" s="44" customFormat="1" ht="18">
      <c r="A113" s="338"/>
      <c r="B113" s="647"/>
      <c r="C113" s="509"/>
      <c r="D113" s="509"/>
      <c r="E113" s="508"/>
      <c r="F113" s="338"/>
      <c r="G113" s="338"/>
      <c r="H113" s="338"/>
      <c r="I113" s="338"/>
      <c r="J113" s="338"/>
      <c r="K113" s="338"/>
    </row>
    <row r="114" spans="1:11" s="44" customFormat="1" ht="18">
      <c r="A114" s="338"/>
      <c r="B114" s="647"/>
      <c r="C114" s="509"/>
      <c r="D114" s="509"/>
      <c r="E114" s="508"/>
      <c r="F114" s="338"/>
      <c r="G114" s="338"/>
      <c r="H114" s="338"/>
      <c r="I114" s="338"/>
      <c r="J114" s="338"/>
      <c r="K114" s="338"/>
    </row>
    <row r="115" spans="1:11" s="44" customFormat="1" ht="18">
      <c r="A115" s="338"/>
      <c r="B115" s="647"/>
      <c r="C115" s="509"/>
      <c r="D115" s="509"/>
      <c r="E115" s="508"/>
      <c r="F115" s="338"/>
      <c r="G115" s="338"/>
      <c r="H115" s="338"/>
      <c r="I115" s="338"/>
      <c r="J115" s="338"/>
      <c r="K115" s="338"/>
    </row>
    <row r="116" spans="1:11" s="44" customFormat="1" ht="18">
      <c r="A116" s="338"/>
      <c r="B116" s="647"/>
      <c r="C116" s="509"/>
      <c r="D116" s="509"/>
      <c r="E116" s="508"/>
      <c r="F116" s="338"/>
      <c r="G116" s="338"/>
      <c r="H116" s="338"/>
      <c r="I116" s="338"/>
      <c r="J116" s="338"/>
      <c r="K116" s="338"/>
    </row>
    <row r="117" spans="1:11" s="44" customFormat="1" ht="18">
      <c r="A117" s="338"/>
      <c r="B117" s="647"/>
      <c r="C117" s="509"/>
      <c r="D117" s="509"/>
      <c r="E117" s="508"/>
      <c r="F117" s="338"/>
      <c r="G117" s="338"/>
      <c r="H117" s="338"/>
      <c r="I117" s="338"/>
      <c r="J117" s="338"/>
      <c r="K117" s="338"/>
    </row>
    <row r="118" spans="1:11" s="44" customFormat="1" ht="18">
      <c r="A118" s="338"/>
      <c r="B118" s="647"/>
      <c r="C118" s="509"/>
      <c r="D118" s="509"/>
      <c r="E118" s="508"/>
      <c r="F118" s="338"/>
      <c r="G118" s="338"/>
      <c r="H118" s="338"/>
      <c r="I118" s="338"/>
      <c r="J118" s="338"/>
      <c r="K118" s="338"/>
    </row>
    <row r="119" spans="1:11" s="44" customFormat="1" ht="18">
      <c r="A119" s="338"/>
      <c r="B119" s="647"/>
      <c r="C119" s="509"/>
      <c r="D119" s="509"/>
      <c r="E119" s="508"/>
      <c r="F119" s="338"/>
      <c r="G119" s="338"/>
      <c r="H119" s="338"/>
      <c r="I119" s="338"/>
      <c r="J119" s="338"/>
      <c r="K119" s="338"/>
    </row>
    <row r="120" spans="1:11" s="44" customFormat="1" ht="18">
      <c r="A120" s="338"/>
      <c r="B120" s="647"/>
      <c r="C120" s="509"/>
      <c r="D120" s="509"/>
      <c r="E120" s="508"/>
      <c r="F120" s="338"/>
      <c r="G120" s="338"/>
      <c r="H120" s="338"/>
      <c r="I120" s="338"/>
      <c r="J120" s="338"/>
      <c r="K120" s="338"/>
    </row>
    <row r="121" spans="1:11" s="44" customFormat="1" ht="18">
      <c r="A121" s="338"/>
      <c r="B121" s="647"/>
      <c r="C121" s="509"/>
      <c r="D121" s="509"/>
      <c r="E121" s="508"/>
      <c r="F121" s="338"/>
      <c r="G121" s="338"/>
      <c r="H121" s="338"/>
      <c r="I121" s="338"/>
      <c r="J121" s="338"/>
      <c r="K121" s="338"/>
    </row>
    <row r="122" spans="1:11" s="44" customFormat="1" ht="18">
      <c r="A122" s="338"/>
      <c r="B122" s="647"/>
      <c r="C122" s="509"/>
      <c r="D122" s="509"/>
      <c r="E122" s="508"/>
      <c r="F122" s="338"/>
      <c r="G122" s="338"/>
      <c r="H122" s="338"/>
      <c r="I122" s="338"/>
      <c r="J122" s="338"/>
      <c r="K122" s="338"/>
    </row>
    <row r="123" spans="1:11" s="44" customFormat="1" ht="18">
      <c r="A123" s="338"/>
      <c r="B123" s="647"/>
      <c r="C123" s="509"/>
      <c r="D123" s="509"/>
      <c r="E123" s="508"/>
      <c r="F123" s="338"/>
      <c r="G123" s="338"/>
      <c r="H123" s="338"/>
      <c r="I123" s="338"/>
      <c r="J123" s="338"/>
      <c r="K123" s="338"/>
    </row>
    <row r="124" spans="1:11" s="44" customFormat="1" ht="18">
      <c r="A124" s="338"/>
      <c r="B124" s="647"/>
      <c r="C124" s="509"/>
      <c r="D124" s="509"/>
      <c r="E124" s="508"/>
      <c r="F124" s="338"/>
      <c r="G124" s="338"/>
      <c r="H124" s="338"/>
      <c r="I124" s="338"/>
      <c r="J124" s="338"/>
      <c r="K124" s="338"/>
    </row>
    <row r="125" spans="1:11" s="44" customFormat="1" ht="18">
      <c r="A125" s="338"/>
      <c r="B125" s="647"/>
      <c r="C125" s="509"/>
      <c r="D125" s="509"/>
      <c r="E125" s="508"/>
      <c r="F125" s="338"/>
      <c r="G125" s="338"/>
      <c r="H125" s="338"/>
      <c r="I125" s="338"/>
      <c r="J125" s="338"/>
      <c r="K125" s="338"/>
    </row>
    <row r="126" spans="1:11" s="44" customFormat="1" ht="18">
      <c r="A126" s="338"/>
      <c r="B126" s="647"/>
      <c r="C126" s="509"/>
      <c r="D126" s="509"/>
      <c r="E126" s="508"/>
      <c r="F126" s="338"/>
      <c r="G126" s="338"/>
      <c r="H126" s="338"/>
      <c r="I126" s="338"/>
      <c r="J126" s="338"/>
      <c r="K126" s="338"/>
    </row>
    <row r="127" spans="1:11" s="44" customFormat="1" ht="18">
      <c r="A127" s="338"/>
      <c r="B127" s="647"/>
      <c r="C127" s="509"/>
      <c r="D127" s="509"/>
      <c r="E127" s="508"/>
      <c r="F127" s="338"/>
      <c r="G127" s="338"/>
      <c r="H127" s="338"/>
      <c r="I127" s="338"/>
      <c r="J127" s="338"/>
      <c r="K127" s="338"/>
    </row>
    <row r="128" spans="1:11" s="44" customFormat="1" ht="18">
      <c r="A128" s="338"/>
      <c r="B128" s="647"/>
      <c r="C128" s="509"/>
      <c r="D128" s="509"/>
      <c r="E128" s="508"/>
      <c r="F128" s="338"/>
      <c r="G128" s="338"/>
      <c r="H128" s="338"/>
      <c r="I128" s="338"/>
      <c r="J128" s="338"/>
      <c r="K128" s="338"/>
    </row>
    <row r="129" spans="1:11" s="44" customFormat="1" ht="18">
      <c r="A129" s="338"/>
      <c r="B129" s="647"/>
      <c r="C129" s="509"/>
      <c r="D129" s="509"/>
      <c r="E129" s="508"/>
      <c r="F129" s="338"/>
      <c r="G129" s="338"/>
      <c r="H129" s="338"/>
      <c r="I129" s="338"/>
      <c r="J129" s="338"/>
      <c r="K129" s="338"/>
    </row>
    <row r="130" spans="1:11" s="44" customFormat="1" ht="18">
      <c r="A130" s="338"/>
      <c r="B130" s="647"/>
      <c r="C130" s="509"/>
      <c r="D130" s="509"/>
      <c r="E130" s="508"/>
      <c r="F130" s="338"/>
      <c r="G130" s="338"/>
      <c r="H130" s="338"/>
      <c r="I130" s="338"/>
      <c r="J130" s="338"/>
      <c r="K130" s="338"/>
    </row>
    <row r="131" spans="1:11" s="44" customFormat="1" ht="18">
      <c r="A131" s="338"/>
      <c r="B131" s="647"/>
      <c r="C131" s="509"/>
      <c r="D131" s="509"/>
      <c r="E131" s="508"/>
      <c r="F131" s="338"/>
      <c r="G131" s="338"/>
      <c r="H131" s="338"/>
      <c r="I131" s="338"/>
      <c r="J131" s="338"/>
      <c r="K131" s="338"/>
    </row>
    <row r="132" spans="1:11" s="44" customFormat="1" ht="18">
      <c r="A132" s="338"/>
      <c r="B132" s="647"/>
      <c r="C132" s="509"/>
      <c r="D132" s="509"/>
      <c r="E132" s="508"/>
      <c r="F132" s="338"/>
      <c r="G132" s="338"/>
      <c r="H132" s="338"/>
      <c r="I132" s="338"/>
      <c r="J132" s="338"/>
      <c r="K132" s="338"/>
    </row>
    <row r="133" spans="1:11" s="44" customFormat="1" ht="18">
      <c r="A133" s="338"/>
      <c r="B133" s="647"/>
      <c r="C133" s="509"/>
      <c r="D133" s="509"/>
      <c r="E133" s="508"/>
      <c r="F133" s="338"/>
      <c r="G133" s="338"/>
      <c r="H133" s="338"/>
      <c r="I133" s="338"/>
      <c r="J133" s="338"/>
      <c r="K133" s="338"/>
    </row>
    <row r="134" spans="1:11" s="44" customFormat="1" ht="18">
      <c r="A134" s="338"/>
      <c r="B134" s="647"/>
      <c r="C134" s="509"/>
      <c r="D134" s="509"/>
      <c r="E134" s="508"/>
      <c r="F134" s="338"/>
      <c r="G134" s="338"/>
      <c r="H134" s="338"/>
      <c r="I134" s="338"/>
      <c r="J134" s="338"/>
      <c r="K134" s="338"/>
    </row>
    <row r="135" spans="1:11" s="44" customFormat="1" ht="18">
      <c r="A135" s="338"/>
      <c r="B135" s="647"/>
      <c r="C135" s="509"/>
      <c r="D135" s="509"/>
      <c r="E135" s="508"/>
      <c r="F135" s="338"/>
      <c r="G135" s="338"/>
      <c r="H135" s="338"/>
      <c r="I135" s="338"/>
      <c r="J135" s="338"/>
      <c r="K135" s="338"/>
    </row>
    <row r="136" spans="1:11" s="44" customFormat="1" ht="18">
      <c r="A136" s="338"/>
      <c r="B136" s="647"/>
      <c r="C136" s="509"/>
      <c r="D136" s="509"/>
      <c r="E136" s="508"/>
      <c r="F136" s="338"/>
      <c r="G136" s="338"/>
      <c r="H136" s="338"/>
      <c r="I136" s="338"/>
      <c r="J136" s="338"/>
      <c r="K136" s="338"/>
    </row>
    <row r="137" spans="1:11" s="44" customFormat="1" ht="18">
      <c r="A137" s="338"/>
      <c r="B137" s="647"/>
      <c r="C137" s="509"/>
      <c r="D137" s="509"/>
      <c r="E137" s="508"/>
      <c r="F137" s="338"/>
      <c r="G137" s="338"/>
      <c r="H137" s="338"/>
      <c r="I137" s="338"/>
      <c r="J137" s="338"/>
      <c r="K137" s="338"/>
    </row>
    <row r="138" spans="1:11" s="44" customFormat="1" ht="18">
      <c r="A138" s="338"/>
      <c r="B138" s="647"/>
      <c r="C138" s="509"/>
      <c r="D138" s="509"/>
      <c r="E138" s="508"/>
      <c r="F138" s="338"/>
      <c r="G138" s="338"/>
      <c r="H138" s="338"/>
      <c r="I138" s="338"/>
      <c r="J138" s="338"/>
      <c r="K138" s="338"/>
    </row>
    <row r="139" spans="1:11" s="44" customFormat="1" ht="18">
      <c r="A139" s="338"/>
      <c r="B139" s="647"/>
      <c r="C139" s="509"/>
      <c r="D139" s="509"/>
      <c r="E139" s="508"/>
      <c r="F139" s="338"/>
      <c r="G139" s="338"/>
      <c r="H139" s="338"/>
      <c r="I139" s="338"/>
      <c r="J139" s="338"/>
      <c r="K139" s="338"/>
    </row>
    <row r="140" spans="1:11" s="44" customFormat="1" ht="18">
      <c r="A140" s="338"/>
      <c r="B140" s="647"/>
      <c r="C140" s="509"/>
      <c r="D140" s="509"/>
      <c r="E140" s="508"/>
      <c r="F140" s="338"/>
      <c r="G140" s="338"/>
      <c r="H140" s="338"/>
      <c r="I140" s="338"/>
      <c r="J140" s="338"/>
      <c r="K140" s="338"/>
    </row>
    <row r="141" spans="1:11" s="44" customFormat="1" ht="18">
      <c r="A141" s="338"/>
      <c r="B141" s="647"/>
      <c r="C141" s="509"/>
      <c r="D141" s="509"/>
      <c r="E141" s="508"/>
      <c r="F141" s="338"/>
      <c r="G141" s="338"/>
      <c r="H141" s="338"/>
      <c r="I141" s="338"/>
      <c r="J141" s="338"/>
      <c r="K141" s="338"/>
    </row>
    <row r="142" spans="1:11" s="44" customFormat="1" ht="18">
      <c r="A142" s="338"/>
      <c r="B142" s="647"/>
      <c r="C142" s="509"/>
      <c r="D142" s="509"/>
      <c r="E142" s="508"/>
      <c r="F142" s="338"/>
      <c r="G142" s="338"/>
      <c r="H142" s="338"/>
      <c r="I142" s="338"/>
      <c r="J142" s="338"/>
      <c r="K142" s="338"/>
    </row>
    <row r="143" spans="1:11" s="44" customFormat="1" ht="18">
      <c r="A143" s="338"/>
      <c r="B143" s="647"/>
      <c r="C143" s="509"/>
      <c r="D143" s="509"/>
      <c r="E143" s="508"/>
      <c r="F143" s="338"/>
      <c r="G143" s="338"/>
      <c r="H143" s="338"/>
      <c r="I143" s="338"/>
      <c r="J143" s="338"/>
      <c r="K143" s="338"/>
    </row>
    <row r="144" spans="1:11" s="44" customFormat="1" ht="18">
      <c r="A144" s="338"/>
      <c r="B144" s="647"/>
      <c r="C144" s="509"/>
      <c r="D144" s="509"/>
      <c r="E144" s="508"/>
      <c r="F144" s="338"/>
      <c r="G144" s="338"/>
      <c r="H144" s="338"/>
      <c r="I144" s="338"/>
      <c r="J144" s="338"/>
      <c r="K144" s="338"/>
    </row>
    <row r="145" spans="1:11" s="44" customFormat="1" ht="18">
      <c r="A145" s="338"/>
      <c r="B145" s="647"/>
      <c r="C145" s="509"/>
      <c r="D145" s="509"/>
      <c r="E145" s="508"/>
      <c r="F145" s="338"/>
      <c r="G145" s="338"/>
      <c r="H145" s="338"/>
      <c r="I145" s="338"/>
      <c r="J145" s="338"/>
      <c r="K145" s="338"/>
    </row>
    <row r="146" spans="1:11" s="44" customFormat="1" ht="18">
      <c r="A146" s="338"/>
      <c r="B146" s="647"/>
      <c r="C146" s="509"/>
      <c r="D146" s="509"/>
      <c r="E146" s="508"/>
      <c r="F146" s="338"/>
      <c r="G146" s="338"/>
      <c r="H146" s="338"/>
      <c r="I146" s="338"/>
      <c r="J146" s="338"/>
      <c r="K146" s="338"/>
    </row>
    <row r="147" spans="1:11" s="44" customFormat="1" ht="18">
      <c r="A147" s="338"/>
      <c r="B147" s="647"/>
      <c r="C147" s="509"/>
      <c r="D147" s="509"/>
      <c r="E147" s="508"/>
      <c r="F147" s="338"/>
      <c r="G147" s="338"/>
      <c r="H147" s="338"/>
      <c r="I147" s="338"/>
      <c r="J147" s="338"/>
      <c r="K147" s="338"/>
    </row>
    <row r="148" spans="1:11" s="44" customFormat="1" ht="18">
      <c r="A148" s="338"/>
      <c r="B148" s="647"/>
      <c r="C148" s="509"/>
      <c r="D148" s="509"/>
      <c r="E148" s="508"/>
      <c r="F148" s="338"/>
      <c r="G148" s="338"/>
      <c r="H148" s="338"/>
      <c r="I148" s="338"/>
      <c r="J148" s="338"/>
      <c r="K148" s="338"/>
    </row>
    <row r="149" spans="1:11" s="44" customFormat="1" ht="18">
      <c r="A149" s="338"/>
      <c r="B149" s="647"/>
      <c r="C149" s="509"/>
      <c r="D149" s="509"/>
      <c r="E149" s="508"/>
      <c r="F149" s="338"/>
      <c r="G149" s="338"/>
      <c r="H149" s="338"/>
      <c r="I149" s="338"/>
      <c r="J149" s="338"/>
      <c r="K149" s="338"/>
    </row>
    <row r="150" spans="1:11" s="44" customFormat="1" ht="18">
      <c r="A150" s="338"/>
      <c r="B150" s="647"/>
      <c r="C150" s="509"/>
      <c r="D150" s="509"/>
      <c r="E150" s="508"/>
      <c r="F150" s="338"/>
      <c r="G150" s="338"/>
      <c r="H150" s="338"/>
      <c r="I150" s="338"/>
      <c r="J150" s="338"/>
      <c r="K150" s="338"/>
    </row>
    <row r="151" spans="1:11" s="44" customFormat="1" ht="18">
      <c r="A151" s="338"/>
      <c r="B151" s="647"/>
      <c r="C151" s="509"/>
      <c r="D151" s="509"/>
      <c r="E151" s="508"/>
      <c r="F151" s="338"/>
      <c r="G151" s="338"/>
      <c r="H151" s="338"/>
      <c r="I151" s="338"/>
      <c r="J151" s="338"/>
      <c r="K151" s="338"/>
    </row>
    <row r="152" spans="1:11" s="44" customFormat="1" ht="18">
      <c r="A152" s="338"/>
      <c r="B152" s="647"/>
      <c r="C152" s="509"/>
      <c r="D152" s="509"/>
      <c r="E152" s="508"/>
      <c r="F152" s="338"/>
      <c r="G152" s="338"/>
      <c r="H152" s="338"/>
      <c r="I152" s="338"/>
      <c r="J152" s="338"/>
      <c r="K152" s="338"/>
    </row>
    <row r="153" spans="1:11" s="44" customFormat="1" ht="18">
      <c r="A153" s="338"/>
      <c r="B153" s="647"/>
      <c r="C153" s="509"/>
      <c r="D153" s="509"/>
      <c r="E153" s="508"/>
      <c r="F153" s="338"/>
      <c r="G153" s="338"/>
      <c r="H153" s="338"/>
      <c r="I153" s="338"/>
      <c r="J153" s="338"/>
      <c r="K153" s="338"/>
    </row>
    <row r="154" spans="1:11" s="44" customFormat="1" ht="18">
      <c r="A154" s="338"/>
      <c r="B154" s="647"/>
      <c r="C154" s="509"/>
      <c r="D154" s="509"/>
      <c r="E154" s="508"/>
      <c r="F154" s="338"/>
      <c r="G154" s="338"/>
      <c r="H154" s="338"/>
      <c r="I154" s="338"/>
      <c r="J154" s="338"/>
      <c r="K154" s="338"/>
    </row>
    <row r="155" spans="1:11" s="44" customFormat="1" ht="18">
      <c r="A155" s="338"/>
      <c r="B155" s="647"/>
      <c r="C155" s="509"/>
      <c r="D155" s="509"/>
      <c r="E155" s="508"/>
      <c r="F155" s="338"/>
      <c r="G155" s="338"/>
      <c r="H155" s="338"/>
      <c r="I155" s="338"/>
      <c r="J155" s="338"/>
      <c r="K155" s="338"/>
    </row>
    <row r="156" spans="1:11" s="44" customFormat="1" ht="18">
      <c r="A156" s="338"/>
      <c r="B156" s="647"/>
      <c r="C156" s="509"/>
      <c r="D156" s="509"/>
      <c r="E156" s="508"/>
      <c r="F156" s="338"/>
      <c r="G156" s="338"/>
      <c r="H156" s="338"/>
      <c r="I156" s="338"/>
      <c r="J156" s="338"/>
      <c r="K156" s="338"/>
    </row>
    <row r="157" spans="1:11" s="44" customFormat="1" ht="18">
      <c r="A157" s="338"/>
      <c r="B157" s="647"/>
      <c r="C157" s="509"/>
      <c r="D157" s="509"/>
      <c r="E157" s="508"/>
      <c r="F157" s="338"/>
      <c r="G157" s="338"/>
      <c r="H157" s="338"/>
      <c r="I157" s="338"/>
      <c r="J157" s="338"/>
      <c r="K157" s="338"/>
    </row>
    <row r="158" spans="1:11" s="44" customFormat="1" ht="18">
      <c r="A158" s="338"/>
      <c r="B158" s="647"/>
      <c r="C158" s="509"/>
      <c r="D158" s="509"/>
      <c r="E158" s="508"/>
      <c r="F158" s="338"/>
      <c r="G158" s="338"/>
      <c r="H158" s="338"/>
      <c r="I158" s="338"/>
      <c r="J158" s="338"/>
      <c r="K158" s="338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mmichnicka</cp:lastModifiedBy>
  <cp:lastPrinted>2015-10-20T08:10:43Z</cp:lastPrinted>
  <dcterms:created xsi:type="dcterms:W3CDTF">2009-03-04T08:33:11Z</dcterms:created>
  <dcterms:modified xsi:type="dcterms:W3CDTF">2015-10-20T12:22:17Z</dcterms:modified>
  <cp:category/>
  <cp:version/>
  <cp:contentType/>
  <cp:contentStatus/>
</cp:coreProperties>
</file>